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23256" windowHeight="12576"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土地案例" sheetId="77" r:id="rId44"/>
    <sheet name="容积率修正 (2)" sheetId="78" r:id="rId45"/>
    <sheet name="入表前修正" sheetId="79" r:id="rId46"/>
    <sheet name="土地比较法-工业" sheetId="40" r:id="rId47"/>
    <sheet name="年期修正系数" sheetId="80" r:id="rId48"/>
  </sheets>
  <externalReferences>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5" hidden="1">入表前修正!$A$1:$P$249</definedName>
    <definedName name="_xlnm._FilterDatabase" localSheetId="11" hidden="1">'数据-基础表'!$A$12:$AT$587</definedName>
    <definedName name="_xlnm._FilterDatabase" localSheetId="46"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46">'土地比较法-工业'!$A$1:$K$61,'土地比较法-工业'!$A$64:$O$121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 localSheetId="45">[1]定义!$F$2:$F$4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'[2]比较法-工业'!$B$116:$M$116</definedName>
    <definedName name="套工交易情况">'土地比较法-住宅、综合'!$A$73:$M$73</definedName>
    <definedName name="套工开发程度">'[2]比较法-工业'!$B$114:$M$114</definedName>
    <definedName name="套工临街等级">'[2]比较法-工业'!$B$99:$M$99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[2]定义!$A$1:$A$50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D251" i="79" l="1"/>
  <c r="AE256" i="79"/>
  <c r="Q25" i="1"/>
  <c r="Q24" i="1"/>
  <c r="P22" i="1"/>
  <c r="P24" i="1" s="1"/>
  <c r="O24" i="1" s="1"/>
  <c r="P23" i="1"/>
  <c r="P21" i="1"/>
  <c r="X251" i="79" l="1"/>
  <c r="AB251" i="79"/>
  <c r="Z251" i="79"/>
  <c r="Q242" i="79" l="1"/>
  <c r="Q240" i="79"/>
  <c r="Q207" i="79"/>
  <c r="Q180" i="79"/>
  <c r="Q172" i="79"/>
  <c r="Q173" i="79"/>
  <c r="Q144" i="79"/>
  <c r="Q118" i="79"/>
  <c r="R118" i="79"/>
  <c r="T118" i="79" s="1"/>
  <c r="V118" i="79" s="1"/>
  <c r="S118" i="79"/>
  <c r="AB118" i="79"/>
  <c r="AC118" i="79" s="1"/>
  <c r="AD118" i="79" s="1"/>
  <c r="Q119" i="79"/>
  <c r="R119" i="79"/>
  <c r="T119" i="79" s="1"/>
  <c r="V119" i="79" s="1"/>
  <c r="S119" i="79"/>
  <c r="AB119" i="79"/>
  <c r="AC119" i="79" s="1"/>
  <c r="AD119" i="79" s="1"/>
  <c r="Q110" i="79"/>
  <c r="T110" i="79"/>
  <c r="AB110" i="79"/>
  <c r="AC110" i="79"/>
  <c r="AD110" i="79" s="1"/>
  <c r="Q104" i="79"/>
  <c r="R104" i="79"/>
  <c r="T104" i="79" s="1"/>
  <c r="S104" i="79"/>
  <c r="AB104" i="79"/>
  <c r="AC104" i="79" s="1"/>
  <c r="AD104" i="79" s="1"/>
  <c r="Q105" i="79"/>
  <c r="R105" i="79"/>
  <c r="T105" i="79" s="1"/>
  <c r="V105" i="79" s="1"/>
  <c r="S105" i="79"/>
  <c r="AB105" i="79"/>
  <c r="AC105" i="79" s="1"/>
  <c r="AD105" i="79" s="1"/>
  <c r="Q106" i="79"/>
  <c r="R106" i="79"/>
  <c r="S106" i="79"/>
  <c r="T106" i="79"/>
  <c r="V106" i="79" s="1"/>
  <c r="AB106" i="79"/>
  <c r="AC106" i="79"/>
  <c r="AD106" i="79" s="1"/>
  <c r="Q107" i="79"/>
  <c r="R107" i="79"/>
  <c r="S107" i="79"/>
  <c r="T107" i="79"/>
  <c r="V107" i="79" s="1"/>
  <c r="AB107" i="79"/>
  <c r="AC107" i="79" s="1"/>
  <c r="AD107" i="79" s="1"/>
  <c r="Q67" i="79"/>
  <c r="R67" i="79"/>
  <c r="S67" i="79"/>
  <c r="T67" i="79"/>
  <c r="U67" i="79" s="1"/>
  <c r="Y67" i="79" s="1"/>
  <c r="AB67" i="79"/>
  <c r="AC67" i="79"/>
  <c r="AD67" i="79" s="1"/>
  <c r="Q65" i="79"/>
  <c r="T65" i="79"/>
  <c r="AB65" i="79"/>
  <c r="AC65" i="79"/>
  <c r="AD65" i="79" s="1"/>
  <c r="Q63" i="79"/>
  <c r="T63" i="79"/>
  <c r="AB63" i="79"/>
  <c r="AC63" i="79"/>
  <c r="AD63" i="79" s="1"/>
  <c r="Q39" i="79"/>
  <c r="R39" i="79"/>
  <c r="S39" i="79"/>
  <c r="T39" i="79"/>
  <c r="V39" i="79" s="1"/>
  <c r="AB39" i="79"/>
  <c r="AC39" i="79" s="1"/>
  <c r="AD39" i="79" s="1"/>
  <c r="Q40" i="79"/>
  <c r="R40" i="79"/>
  <c r="S40" i="79"/>
  <c r="T40" i="79"/>
  <c r="V40" i="79" s="1"/>
  <c r="AB40" i="79"/>
  <c r="AC40" i="79"/>
  <c r="AD40" i="79" s="1"/>
  <c r="Q41" i="79"/>
  <c r="R41" i="79"/>
  <c r="S41" i="79"/>
  <c r="T41" i="79"/>
  <c r="V41" i="79" s="1"/>
  <c r="AB41" i="79"/>
  <c r="AC41" i="79" s="1"/>
  <c r="AD41" i="79" s="1"/>
  <c r="Q42" i="79"/>
  <c r="R42" i="79"/>
  <c r="S42" i="79"/>
  <c r="T42" i="79"/>
  <c r="V42" i="79" s="1"/>
  <c r="U42" i="79"/>
  <c r="Y42" i="79" s="1"/>
  <c r="AB42" i="79"/>
  <c r="AC42" i="79"/>
  <c r="AD42" i="79" s="1"/>
  <c r="Q37" i="79"/>
  <c r="R37" i="79"/>
  <c r="S37" i="79"/>
  <c r="T37" i="79"/>
  <c r="U37" i="79" s="1"/>
  <c r="AB37" i="79"/>
  <c r="AC37" i="79" s="1"/>
  <c r="AD37" i="79" s="1"/>
  <c r="Q35" i="79"/>
  <c r="R35" i="79"/>
  <c r="T35" i="79" s="1"/>
  <c r="V35" i="79" s="1"/>
  <c r="S35" i="79"/>
  <c r="AB35" i="79"/>
  <c r="AC35" i="79"/>
  <c r="AD35" i="79" s="1"/>
  <c r="Q23" i="79"/>
  <c r="T23" i="79"/>
  <c r="AB23" i="79"/>
  <c r="AC23" i="79" s="1"/>
  <c r="AD23" i="79" s="1"/>
  <c r="Q21" i="79"/>
  <c r="R21" i="79"/>
  <c r="S21" i="79"/>
  <c r="T21" i="79"/>
  <c r="U21" i="79" s="1"/>
  <c r="AB21" i="79"/>
  <c r="AC21" i="79" s="1"/>
  <c r="AD21" i="79" s="1"/>
  <c r="Q8" i="79"/>
  <c r="R8" i="79"/>
  <c r="S8" i="79"/>
  <c r="T8" i="79"/>
  <c r="U8" i="79" s="1"/>
  <c r="Y8" i="79" s="1"/>
  <c r="V8" i="79"/>
  <c r="AB8" i="79"/>
  <c r="AC8" i="79"/>
  <c r="AD8" i="79" s="1"/>
  <c r="V37" i="79" l="1"/>
  <c r="V67" i="79"/>
  <c r="U104" i="79"/>
  <c r="V104" i="79"/>
  <c r="V21" i="79"/>
  <c r="AF37" i="79"/>
  <c r="AF8" i="79"/>
  <c r="AF21" i="79"/>
  <c r="Y21" i="79"/>
  <c r="AF23" i="79"/>
  <c r="AF35" i="79"/>
  <c r="AF40" i="79"/>
  <c r="AF63" i="79"/>
  <c r="AF65" i="79"/>
  <c r="AF67" i="79"/>
  <c r="AF107" i="79"/>
  <c r="AF105" i="79"/>
  <c r="AF118" i="79"/>
  <c r="Y37" i="79"/>
  <c r="AF42" i="79"/>
  <c r="AF41" i="79"/>
  <c r="AF39" i="79"/>
  <c r="AF106" i="79"/>
  <c r="AF104" i="79"/>
  <c r="Y104" i="79"/>
  <c r="AF110" i="79"/>
  <c r="AF119" i="79"/>
  <c r="Z250" i="79"/>
  <c r="X250" i="79"/>
  <c r="AE8" i="79" s="1"/>
  <c r="Y253" i="79"/>
  <c r="B16" i="80"/>
  <c r="C13" i="80"/>
  <c r="F10" i="80"/>
  <c r="B13" i="80" s="1"/>
  <c r="F9" i="80"/>
  <c r="G9" i="80" s="1"/>
  <c r="W254" i="79" s="1"/>
  <c r="C5" i="80"/>
  <c r="D5" i="80" s="1"/>
  <c r="C4" i="80"/>
  <c r="D4" i="80" s="1"/>
  <c r="C3" i="80"/>
  <c r="D3" i="80" s="1"/>
  <c r="Q222" i="79"/>
  <c r="Q212" i="79"/>
  <c r="AB117" i="79"/>
  <c r="AC117" i="79" s="1"/>
  <c r="AD117" i="79" s="1"/>
  <c r="T117" i="79"/>
  <c r="AB116" i="79"/>
  <c r="AC116" i="79" s="1"/>
  <c r="AD116" i="79" s="1"/>
  <c r="AG116" i="79" s="1"/>
  <c r="T116" i="79"/>
  <c r="AB115" i="79"/>
  <c r="AC115" i="79" s="1"/>
  <c r="AD115" i="79" s="1"/>
  <c r="T115" i="79"/>
  <c r="AB114" i="79"/>
  <c r="AC114" i="79" s="1"/>
  <c r="AD114" i="79" s="1"/>
  <c r="T114" i="79"/>
  <c r="AB113" i="79"/>
  <c r="AC113" i="79" s="1"/>
  <c r="AD113" i="79" s="1"/>
  <c r="T113" i="79"/>
  <c r="AB112" i="79"/>
  <c r="AC112" i="79" s="1"/>
  <c r="AD112" i="79" s="1"/>
  <c r="AG112" i="79" s="1"/>
  <c r="T112" i="79"/>
  <c r="AC111" i="79"/>
  <c r="AD111" i="79" s="1"/>
  <c r="AB111" i="79"/>
  <c r="T111" i="79"/>
  <c r="AB109" i="79"/>
  <c r="AC109" i="79" s="1"/>
  <c r="AD109" i="79" s="1"/>
  <c r="AG109" i="79" s="1"/>
  <c r="T109" i="79"/>
  <c r="AB108" i="79"/>
  <c r="AC108" i="79" s="1"/>
  <c r="AD108" i="79" s="1"/>
  <c r="T108" i="79"/>
  <c r="AB103" i="79"/>
  <c r="AC103" i="79" s="1"/>
  <c r="AD103" i="79" s="1"/>
  <c r="AF103" i="79" s="1"/>
  <c r="T103" i="79"/>
  <c r="U103" i="79" s="1"/>
  <c r="Y103" i="79" s="1"/>
  <c r="AB102" i="79"/>
  <c r="AC102" i="79" s="1"/>
  <c r="AD102" i="79" s="1"/>
  <c r="AF102" i="79" s="1"/>
  <c r="T102" i="79"/>
  <c r="U102" i="79" s="1"/>
  <c r="AB101" i="79"/>
  <c r="AC101" i="79" s="1"/>
  <c r="AD101" i="79" s="1"/>
  <c r="AF101" i="79" s="1"/>
  <c r="T101" i="79"/>
  <c r="U101" i="79" s="1"/>
  <c r="Y101" i="79" s="1"/>
  <c r="AB100" i="79"/>
  <c r="AC100" i="79" s="1"/>
  <c r="AD100" i="79" s="1"/>
  <c r="AF100" i="79" s="1"/>
  <c r="T100" i="79"/>
  <c r="U100" i="79" s="1"/>
  <c r="Y100" i="79" s="1"/>
  <c r="AB99" i="79"/>
  <c r="AC99" i="79" s="1"/>
  <c r="AD99" i="79" s="1"/>
  <c r="AF99" i="79" s="1"/>
  <c r="T99" i="79"/>
  <c r="U99" i="79" s="1"/>
  <c r="Y99" i="79" s="1"/>
  <c r="AB98" i="79"/>
  <c r="AC98" i="79" s="1"/>
  <c r="AD98" i="79" s="1"/>
  <c r="T98" i="79"/>
  <c r="U98" i="79" s="1"/>
  <c r="Y98" i="79" s="1"/>
  <c r="AB97" i="79"/>
  <c r="AC97" i="79" s="1"/>
  <c r="AD97" i="79" s="1"/>
  <c r="T97" i="79"/>
  <c r="U97" i="79" s="1"/>
  <c r="Y97" i="79" s="1"/>
  <c r="AB96" i="79"/>
  <c r="AC96" i="79" s="1"/>
  <c r="AD96" i="79" s="1"/>
  <c r="AF96" i="79" s="1"/>
  <c r="T96" i="79"/>
  <c r="U96" i="79" s="1"/>
  <c r="Y96" i="79" s="1"/>
  <c r="AB95" i="79"/>
  <c r="AC95" i="79" s="1"/>
  <c r="AD95" i="79" s="1"/>
  <c r="AF95" i="79" s="1"/>
  <c r="T95" i="79"/>
  <c r="U95" i="79" s="1"/>
  <c r="Y95" i="79" s="1"/>
  <c r="AB94" i="79"/>
  <c r="AC94" i="79" s="1"/>
  <c r="AD94" i="79" s="1"/>
  <c r="T94" i="79"/>
  <c r="U94" i="79" s="1"/>
  <c r="AB93" i="79"/>
  <c r="AC93" i="79" s="1"/>
  <c r="AD93" i="79" s="1"/>
  <c r="T93" i="79"/>
  <c r="U93" i="79" s="1"/>
  <c r="Y93" i="79" s="1"/>
  <c r="AB92" i="79"/>
  <c r="AC92" i="79" s="1"/>
  <c r="AD92" i="79" s="1"/>
  <c r="T92" i="79"/>
  <c r="U92" i="79" s="1"/>
  <c r="AB91" i="79"/>
  <c r="AC91" i="79" s="1"/>
  <c r="AD91" i="79" s="1"/>
  <c r="T91" i="79"/>
  <c r="U91" i="79" s="1"/>
  <c r="Y91" i="79" s="1"/>
  <c r="AB90" i="79"/>
  <c r="AC90" i="79" s="1"/>
  <c r="AD90" i="79" s="1"/>
  <c r="T90" i="79"/>
  <c r="U90" i="79" s="1"/>
  <c r="AB89" i="79"/>
  <c r="AC89" i="79" s="1"/>
  <c r="AD89" i="79" s="1"/>
  <c r="T89" i="79"/>
  <c r="U89" i="79" s="1"/>
  <c r="Y89" i="79" s="1"/>
  <c r="AB88" i="79"/>
  <c r="AC88" i="79" s="1"/>
  <c r="AD88" i="79" s="1"/>
  <c r="T88" i="79"/>
  <c r="U88" i="79" s="1"/>
  <c r="AB87" i="79"/>
  <c r="AC87" i="79" s="1"/>
  <c r="AD87" i="79" s="1"/>
  <c r="T87" i="79"/>
  <c r="U87" i="79" s="1"/>
  <c r="Y87" i="79" s="1"/>
  <c r="AB86" i="79"/>
  <c r="AC86" i="79" s="1"/>
  <c r="AD86" i="79" s="1"/>
  <c r="T86" i="79"/>
  <c r="U86" i="79" s="1"/>
  <c r="AB85" i="79"/>
  <c r="AC85" i="79" s="1"/>
  <c r="AD85" i="79" s="1"/>
  <c r="T85" i="79"/>
  <c r="U85" i="79" s="1"/>
  <c r="Y85" i="79" s="1"/>
  <c r="AB84" i="79"/>
  <c r="AC84" i="79" s="1"/>
  <c r="AD84" i="79" s="1"/>
  <c r="T84" i="79"/>
  <c r="U84" i="79" s="1"/>
  <c r="AB83" i="79"/>
  <c r="AC83" i="79" s="1"/>
  <c r="AD83" i="79" s="1"/>
  <c r="T83" i="79"/>
  <c r="U83" i="79" s="1"/>
  <c r="Y83" i="79" s="1"/>
  <c r="AB82" i="79"/>
  <c r="AC82" i="79" s="1"/>
  <c r="AD82" i="79" s="1"/>
  <c r="T82" i="79"/>
  <c r="U82" i="79" s="1"/>
  <c r="AB81" i="79"/>
  <c r="AC81" i="79" s="1"/>
  <c r="AD81" i="79" s="1"/>
  <c r="T81" i="79"/>
  <c r="U81" i="79" s="1"/>
  <c r="Y81" i="79" s="1"/>
  <c r="AB80" i="79"/>
  <c r="AC80" i="79" s="1"/>
  <c r="AD80" i="79" s="1"/>
  <c r="T80" i="79"/>
  <c r="U80" i="79" s="1"/>
  <c r="AB79" i="79"/>
  <c r="AC79" i="79" s="1"/>
  <c r="AD79" i="79" s="1"/>
  <c r="T79" i="79"/>
  <c r="U79" i="79" s="1"/>
  <c r="Y79" i="79" s="1"/>
  <c r="AB78" i="79"/>
  <c r="AC78" i="79" s="1"/>
  <c r="AD78" i="79" s="1"/>
  <c r="T78" i="79"/>
  <c r="U78" i="79" s="1"/>
  <c r="AB77" i="79"/>
  <c r="AC77" i="79" s="1"/>
  <c r="AD77" i="79" s="1"/>
  <c r="T77" i="79"/>
  <c r="U77" i="79" s="1"/>
  <c r="Y77" i="79" s="1"/>
  <c r="AB76" i="79"/>
  <c r="AC76" i="79" s="1"/>
  <c r="AD76" i="79" s="1"/>
  <c r="T76" i="79"/>
  <c r="U76" i="79" s="1"/>
  <c r="AB75" i="79"/>
  <c r="AC75" i="79" s="1"/>
  <c r="AD75" i="79" s="1"/>
  <c r="T75" i="79"/>
  <c r="U75" i="79" s="1"/>
  <c r="Y75" i="79" s="1"/>
  <c r="AB74" i="79"/>
  <c r="AC74" i="79" s="1"/>
  <c r="AD74" i="79" s="1"/>
  <c r="T74" i="79"/>
  <c r="U74" i="79" s="1"/>
  <c r="AB73" i="79"/>
  <c r="AC73" i="79" s="1"/>
  <c r="AD73" i="79" s="1"/>
  <c r="T73" i="79"/>
  <c r="U73" i="79" s="1"/>
  <c r="Y73" i="79" s="1"/>
  <c r="AB72" i="79"/>
  <c r="AC72" i="79" s="1"/>
  <c r="AD72" i="79" s="1"/>
  <c r="S72" i="79"/>
  <c r="R72" i="79"/>
  <c r="T72" i="79" s="1"/>
  <c r="U72" i="79" s="1"/>
  <c r="AB71" i="79"/>
  <c r="AC71" i="79" s="1"/>
  <c r="AD71" i="79" s="1"/>
  <c r="S71" i="79"/>
  <c r="R71" i="79"/>
  <c r="T71" i="79" s="1"/>
  <c r="U71" i="79" s="1"/>
  <c r="AB70" i="79"/>
  <c r="AC70" i="79" s="1"/>
  <c r="AD70" i="79" s="1"/>
  <c r="S70" i="79"/>
  <c r="R70" i="79"/>
  <c r="T70" i="79" s="1"/>
  <c r="U70" i="79" s="1"/>
  <c r="AB69" i="79"/>
  <c r="AC69" i="79" s="1"/>
  <c r="AD69" i="79" s="1"/>
  <c r="S69" i="79"/>
  <c r="R69" i="79"/>
  <c r="T69" i="79" s="1"/>
  <c r="U69" i="79" s="1"/>
  <c r="AB68" i="79"/>
  <c r="AC68" i="79" s="1"/>
  <c r="AD68" i="79" s="1"/>
  <c r="R68" i="79"/>
  <c r="T68" i="79" s="1"/>
  <c r="U68" i="79" s="1"/>
  <c r="AB66" i="79"/>
  <c r="AC66" i="79" s="1"/>
  <c r="AD66" i="79" s="1"/>
  <c r="T66" i="79"/>
  <c r="AB64" i="79"/>
  <c r="AC64" i="79" s="1"/>
  <c r="AD64" i="79" s="1"/>
  <c r="T64" i="79"/>
  <c r="AB62" i="79"/>
  <c r="AC62" i="79" s="1"/>
  <c r="AD62" i="79" s="1"/>
  <c r="T62" i="79"/>
  <c r="AB61" i="79"/>
  <c r="AC61" i="79" s="1"/>
  <c r="AD61" i="79" s="1"/>
  <c r="T61" i="79"/>
  <c r="AB60" i="79"/>
  <c r="AC60" i="79" s="1"/>
  <c r="AD60" i="79" s="1"/>
  <c r="T60" i="79"/>
  <c r="AB59" i="79"/>
  <c r="AC59" i="79" s="1"/>
  <c r="AD59" i="79" s="1"/>
  <c r="T59" i="79"/>
  <c r="AB58" i="79"/>
  <c r="AC58" i="79" s="1"/>
  <c r="AD58" i="79" s="1"/>
  <c r="T58" i="79"/>
  <c r="AB57" i="79"/>
  <c r="AC57" i="79" s="1"/>
  <c r="AD57" i="79" s="1"/>
  <c r="T57" i="79"/>
  <c r="AB56" i="79"/>
  <c r="AC56" i="79" s="1"/>
  <c r="AD56" i="79" s="1"/>
  <c r="T56" i="79"/>
  <c r="AB55" i="79"/>
  <c r="AC55" i="79" s="1"/>
  <c r="AD55" i="79" s="1"/>
  <c r="T55" i="79"/>
  <c r="AB54" i="79"/>
  <c r="AC54" i="79" s="1"/>
  <c r="AD54" i="79" s="1"/>
  <c r="T54" i="79"/>
  <c r="AB53" i="79"/>
  <c r="AC53" i="79" s="1"/>
  <c r="AD53" i="79" s="1"/>
  <c r="T53" i="79"/>
  <c r="AB52" i="79"/>
  <c r="AC52" i="79" s="1"/>
  <c r="AD52" i="79" s="1"/>
  <c r="T52" i="79"/>
  <c r="AB51" i="79"/>
  <c r="AC51" i="79" s="1"/>
  <c r="AD51" i="79" s="1"/>
  <c r="T51" i="79"/>
  <c r="AB50" i="79"/>
  <c r="AC50" i="79" s="1"/>
  <c r="AD50" i="79" s="1"/>
  <c r="T50" i="79"/>
  <c r="AB49" i="79"/>
  <c r="AC49" i="79" s="1"/>
  <c r="AD49" i="79" s="1"/>
  <c r="T49" i="79"/>
  <c r="AB48" i="79"/>
  <c r="AC48" i="79" s="1"/>
  <c r="AD48" i="79" s="1"/>
  <c r="T48" i="79"/>
  <c r="AB47" i="79"/>
  <c r="AC47" i="79" s="1"/>
  <c r="AD47" i="79" s="1"/>
  <c r="T47" i="79"/>
  <c r="AB46" i="79"/>
  <c r="AC46" i="79" s="1"/>
  <c r="AD46" i="79" s="1"/>
  <c r="T46" i="79"/>
  <c r="AB45" i="79"/>
  <c r="AC45" i="79" s="1"/>
  <c r="AD45" i="79" s="1"/>
  <c r="T45" i="79"/>
  <c r="AB44" i="79"/>
  <c r="AC44" i="79" s="1"/>
  <c r="AD44" i="79" s="1"/>
  <c r="T44" i="79"/>
  <c r="AB43" i="79"/>
  <c r="AC43" i="79" s="1"/>
  <c r="AD43" i="79" s="1"/>
  <c r="T43" i="79"/>
  <c r="AB38" i="79"/>
  <c r="AC38" i="79" s="1"/>
  <c r="AD38" i="79" s="1"/>
  <c r="R38" i="79"/>
  <c r="T38" i="79" s="1"/>
  <c r="AB36" i="79"/>
  <c r="AC36" i="79" s="1"/>
  <c r="AD36" i="79" s="1"/>
  <c r="S36" i="79"/>
  <c r="R36" i="79"/>
  <c r="T36" i="79" s="1"/>
  <c r="AB34" i="79"/>
  <c r="AC34" i="79" s="1"/>
  <c r="AD34" i="79" s="1"/>
  <c r="S34" i="79"/>
  <c r="R34" i="79"/>
  <c r="T34" i="79" s="1"/>
  <c r="AB33" i="79"/>
  <c r="AC33" i="79" s="1"/>
  <c r="AD33" i="79" s="1"/>
  <c r="R33" i="79"/>
  <c r="T33" i="79" s="1"/>
  <c r="AB32" i="79"/>
  <c r="AC32" i="79" s="1"/>
  <c r="AD32" i="79" s="1"/>
  <c r="R32" i="79"/>
  <c r="T32" i="79" s="1"/>
  <c r="AB31" i="79"/>
  <c r="AC31" i="79" s="1"/>
  <c r="AD31" i="79" s="1"/>
  <c r="R31" i="79"/>
  <c r="T31" i="79" s="1"/>
  <c r="AB30" i="79"/>
  <c r="AC30" i="79" s="1"/>
  <c r="AD30" i="79" s="1"/>
  <c r="R30" i="79"/>
  <c r="T30" i="79" s="1"/>
  <c r="AB29" i="79"/>
  <c r="AC29" i="79" s="1"/>
  <c r="AD29" i="79" s="1"/>
  <c r="R29" i="79"/>
  <c r="T29" i="79" s="1"/>
  <c r="AB28" i="79"/>
  <c r="AC28" i="79" s="1"/>
  <c r="AD28" i="79" s="1"/>
  <c r="R28" i="79"/>
  <c r="T28" i="79" s="1"/>
  <c r="AB27" i="79"/>
  <c r="AC27" i="79" s="1"/>
  <c r="AD27" i="79" s="1"/>
  <c r="R27" i="79"/>
  <c r="T27" i="79" s="1"/>
  <c r="AB26" i="79"/>
  <c r="AC26" i="79" s="1"/>
  <c r="AD26" i="79" s="1"/>
  <c r="R26" i="79"/>
  <c r="T26" i="79" s="1"/>
  <c r="AB25" i="79"/>
  <c r="AC25" i="79" s="1"/>
  <c r="AD25" i="79" s="1"/>
  <c r="R25" i="79"/>
  <c r="T25" i="79" s="1"/>
  <c r="AB24" i="79"/>
  <c r="AC24" i="79" s="1"/>
  <c r="AD24" i="79" s="1"/>
  <c r="R24" i="79"/>
  <c r="T24" i="79" s="1"/>
  <c r="AB22" i="79"/>
  <c r="AC22" i="79" s="1"/>
  <c r="AD22" i="79" s="1"/>
  <c r="R22" i="79"/>
  <c r="T22" i="79" s="1"/>
  <c r="R20" i="79"/>
  <c r="S19" i="79"/>
  <c r="R19" i="79"/>
  <c r="S18" i="79"/>
  <c r="R18" i="79"/>
  <c r="N104" i="78"/>
  <c r="C16" i="80" l="1"/>
  <c r="AC253" i="79"/>
  <c r="AC256" i="79" s="1"/>
  <c r="AC259" i="79" s="1"/>
  <c r="I41" i="40" s="1"/>
  <c r="Y256" i="79"/>
  <c r="Y259" i="79" s="1"/>
  <c r="E41" i="40" s="1"/>
  <c r="Z67" i="79"/>
  <c r="Z42" i="79"/>
  <c r="Z8" i="79"/>
  <c r="AE119" i="79"/>
  <c r="AG110" i="79"/>
  <c r="Z104" i="79"/>
  <c r="AE104" i="79"/>
  <c r="AG106" i="79"/>
  <c r="AG39" i="79"/>
  <c r="AE41" i="79"/>
  <c r="AE42" i="79"/>
  <c r="X37" i="79"/>
  <c r="AE118" i="79"/>
  <c r="AE105" i="79"/>
  <c r="AG107" i="79"/>
  <c r="AG67" i="79"/>
  <c r="AE65" i="79"/>
  <c r="AG63" i="79"/>
  <c r="AE40" i="79"/>
  <c r="AG35" i="79"/>
  <c r="AE23" i="79"/>
  <c r="X21" i="79"/>
  <c r="AG21" i="79"/>
  <c r="AG37" i="79"/>
  <c r="X67" i="79"/>
  <c r="X42" i="79"/>
  <c r="X8" i="79"/>
  <c r="AG119" i="79"/>
  <c r="AE110" i="79"/>
  <c r="X104" i="79"/>
  <c r="AG104" i="79"/>
  <c r="AE106" i="79"/>
  <c r="AE39" i="79"/>
  <c r="AG41" i="79"/>
  <c r="AG42" i="79"/>
  <c r="Z37" i="79"/>
  <c r="AG118" i="79"/>
  <c r="AG105" i="79"/>
  <c r="AE107" i="79"/>
  <c r="AE67" i="79"/>
  <c r="AG65" i="79"/>
  <c r="AE63" i="79"/>
  <c r="AG40" i="79"/>
  <c r="AE35" i="79"/>
  <c r="AG23" i="79"/>
  <c r="Z21" i="79"/>
  <c r="AE21" i="79"/>
  <c r="AG8" i="79"/>
  <c r="AE37" i="79"/>
  <c r="AF94" i="79"/>
  <c r="AE94" i="79"/>
  <c r="Y102" i="79"/>
  <c r="X102" i="79"/>
  <c r="Z102" i="79"/>
  <c r="AF98" i="79"/>
  <c r="AE98" i="79"/>
  <c r="T18" i="79"/>
  <c r="T19" i="79"/>
  <c r="X98" i="79"/>
  <c r="AA253" i="79"/>
  <c r="AA256" i="79" s="1"/>
  <c r="AA259" i="79" s="1"/>
  <c r="G41" i="40" s="1"/>
  <c r="AE102" i="79"/>
  <c r="AG114" i="79"/>
  <c r="AG22" i="79"/>
  <c r="AE22" i="79"/>
  <c r="AF22" i="79"/>
  <c r="AF34" i="79"/>
  <c r="AG34" i="79"/>
  <c r="AE34" i="79"/>
  <c r="AF43" i="79"/>
  <c r="AG43" i="79"/>
  <c r="AE43" i="79"/>
  <c r="AG46" i="79"/>
  <c r="AE46" i="79"/>
  <c r="AF46" i="79"/>
  <c r="AF47" i="79"/>
  <c r="AG47" i="79"/>
  <c r="AE47" i="79"/>
  <c r="AG50" i="79"/>
  <c r="AE50" i="79"/>
  <c r="AF50" i="79"/>
  <c r="AF51" i="79"/>
  <c r="AG51" i="79"/>
  <c r="AE51" i="79"/>
  <c r="AG54" i="79"/>
  <c r="AE54" i="79"/>
  <c r="AF54" i="79"/>
  <c r="AF55" i="79"/>
  <c r="AG55" i="79"/>
  <c r="AE55" i="79"/>
  <c r="AG24" i="79"/>
  <c r="AE24" i="79"/>
  <c r="AF24" i="79"/>
  <c r="AG25" i="79"/>
  <c r="AE25" i="79"/>
  <c r="AF25" i="79"/>
  <c r="AG26" i="79"/>
  <c r="AE26" i="79"/>
  <c r="AF26" i="79"/>
  <c r="AG27" i="79"/>
  <c r="AE27" i="79"/>
  <c r="AF27" i="79"/>
  <c r="AG28" i="79"/>
  <c r="AE28" i="79"/>
  <c r="AF28" i="79"/>
  <c r="AG29" i="79"/>
  <c r="AE29" i="79"/>
  <c r="AF29" i="79"/>
  <c r="AG30" i="79"/>
  <c r="AE30" i="79"/>
  <c r="AF30" i="79"/>
  <c r="AG31" i="79"/>
  <c r="AE31" i="79"/>
  <c r="AF31" i="79"/>
  <c r="AG32" i="79"/>
  <c r="AE32" i="79"/>
  <c r="AF32" i="79"/>
  <c r="AG33" i="79"/>
  <c r="AE33" i="79"/>
  <c r="AF33" i="79"/>
  <c r="AF36" i="79"/>
  <c r="AG36" i="79"/>
  <c r="AE36" i="79"/>
  <c r="AG38" i="79"/>
  <c r="AE38" i="79"/>
  <c r="AF38" i="79"/>
  <c r="AG44" i="79"/>
  <c r="AE44" i="79"/>
  <c r="AF44" i="79"/>
  <c r="AF45" i="79"/>
  <c r="AG45" i="79"/>
  <c r="AE45" i="79"/>
  <c r="AG48" i="79"/>
  <c r="AE48" i="79"/>
  <c r="AF48" i="79"/>
  <c r="AF49" i="79"/>
  <c r="AG49" i="79"/>
  <c r="AE49" i="79"/>
  <c r="AG52" i="79"/>
  <c r="AE52" i="79"/>
  <c r="AF52" i="79"/>
  <c r="AF53" i="79"/>
  <c r="AG53" i="79"/>
  <c r="AE53" i="79"/>
  <c r="Z68" i="79"/>
  <c r="X68" i="79"/>
  <c r="Y68" i="79"/>
  <c r="AG68" i="79"/>
  <c r="AE68" i="79"/>
  <c r="AF68" i="79"/>
  <c r="Z70" i="79"/>
  <c r="X70" i="79"/>
  <c r="Y70" i="79"/>
  <c r="Y71" i="79"/>
  <c r="Z71" i="79"/>
  <c r="X71" i="79"/>
  <c r="AF71" i="79"/>
  <c r="AG71" i="79"/>
  <c r="AE71" i="79"/>
  <c r="AG72" i="79"/>
  <c r="AE72" i="79"/>
  <c r="AF72" i="79"/>
  <c r="Z74" i="79"/>
  <c r="X74" i="79"/>
  <c r="Y74" i="79"/>
  <c r="AG74" i="79"/>
  <c r="AE74" i="79"/>
  <c r="AF74" i="79"/>
  <c r="Z76" i="79"/>
  <c r="X76" i="79"/>
  <c r="Y76" i="79"/>
  <c r="AG76" i="79"/>
  <c r="AE76" i="79"/>
  <c r="AF76" i="79"/>
  <c r="Z78" i="79"/>
  <c r="X78" i="79"/>
  <c r="Y78" i="79"/>
  <c r="AG78" i="79"/>
  <c r="AE78" i="79"/>
  <c r="AF78" i="79"/>
  <c r="Z80" i="79"/>
  <c r="X80" i="79"/>
  <c r="Y80" i="79"/>
  <c r="AG80" i="79"/>
  <c r="AE80" i="79"/>
  <c r="AF80" i="79"/>
  <c r="Z82" i="79"/>
  <c r="X82" i="79"/>
  <c r="Y82" i="79"/>
  <c r="AG82" i="79"/>
  <c r="AE82" i="79"/>
  <c r="AF82" i="79"/>
  <c r="Z84" i="79"/>
  <c r="X84" i="79"/>
  <c r="Y84" i="79"/>
  <c r="AG84" i="79"/>
  <c r="AE84" i="79"/>
  <c r="AF84" i="79"/>
  <c r="Z86" i="79"/>
  <c r="X86" i="79"/>
  <c r="Y86" i="79"/>
  <c r="AG86" i="79"/>
  <c r="AE86" i="79"/>
  <c r="AF86" i="79"/>
  <c r="Z88" i="79"/>
  <c r="X88" i="79"/>
  <c r="Y88" i="79"/>
  <c r="AG88" i="79"/>
  <c r="AE88" i="79"/>
  <c r="AF88" i="79"/>
  <c r="Z90" i="79"/>
  <c r="X90" i="79"/>
  <c r="Y90" i="79"/>
  <c r="AG90" i="79"/>
  <c r="AE90" i="79"/>
  <c r="AF90" i="79"/>
  <c r="Z92" i="79"/>
  <c r="X92" i="79"/>
  <c r="Y92" i="79"/>
  <c r="AG92" i="79"/>
  <c r="AE92" i="79"/>
  <c r="AF92" i="79"/>
  <c r="Y94" i="79"/>
  <c r="X94" i="79"/>
  <c r="Z94" i="79"/>
  <c r="AG97" i="79"/>
  <c r="AE97" i="79"/>
  <c r="AF97" i="79"/>
  <c r="AF56" i="79"/>
  <c r="AG56" i="79"/>
  <c r="AE56" i="79"/>
  <c r="AG57" i="79"/>
  <c r="AE57" i="79"/>
  <c r="AF57" i="79"/>
  <c r="AF58" i="79"/>
  <c r="AG58" i="79"/>
  <c r="AE58" i="79"/>
  <c r="AG59" i="79"/>
  <c r="AE59" i="79"/>
  <c r="AF59" i="79"/>
  <c r="AF60" i="79"/>
  <c r="AG60" i="79"/>
  <c r="AE60" i="79"/>
  <c r="AG61" i="79"/>
  <c r="AE61" i="79"/>
  <c r="AF61" i="79"/>
  <c r="AF62" i="79"/>
  <c r="AG62" i="79"/>
  <c r="AE62" i="79"/>
  <c r="AG64" i="79"/>
  <c r="AE64" i="79"/>
  <c r="AF64" i="79"/>
  <c r="AF66" i="79"/>
  <c r="AG66" i="79"/>
  <c r="AE66" i="79"/>
  <c r="Y69" i="79"/>
  <c r="Z69" i="79"/>
  <c r="X69" i="79"/>
  <c r="AF69" i="79"/>
  <c r="AG69" i="79"/>
  <c r="AE69" i="79"/>
  <c r="AG70" i="79"/>
  <c r="AE70" i="79"/>
  <c r="AF70" i="79"/>
  <c r="Z72" i="79"/>
  <c r="X72" i="79"/>
  <c r="Y72" i="79"/>
  <c r="AF73" i="79"/>
  <c r="AG73" i="79"/>
  <c r="AE73" i="79"/>
  <c r="AF75" i="79"/>
  <c r="AG75" i="79"/>
  <c r="AE75" i="79"/>
  <c r="AF77" i="79"/>
  <c r="AG77" i="79"/>
  <c r="AE77" i="79"/>
  <c r="AF79" i="79"/>
  <c r="AG79" i="79"/>
  <c r="AE79" i="79"/>
  <c r="AF81" i="79"/>
  <c r="AG81" i="79"/>
  <c r="AE81" i="79"/>
  <c r="AF83" i="79"/>
  <c r="AG83" i="79"/>
  <c r="AE83" i="79"/>
  <c r="AF85" i="79"/>
  <c r="AG85" i="79"/>
  <c r="AE85" i="79"/>
  <c r="AF87" i="79"/>
  <c r="AG87" i="79"/>
  <c r="AE87" i="79"/>
  <c r="AF89" i="79"/>
  <c r="AG89" i="79"/>
  <c r="AE89" i="79"/>
  <c r="AF91" i="79"/>
  <c r="AG91" i="79"/>
  <c r="AE91" i="79"/>
  <c r="AF93" i="79"/>
  <c r="AG93" i="79"/>
  <c r="AE93" i="79"/>
  <c r="X73" i="79"/>
  <c r="Z73" i="79"/>
  <c r="X75" i="79"/>
  <c r="Z75" i="79"/>
  <c r="X77" i="79"/>
  <c r="Z77" i="79"/>
  <c r="X79" i="79"/>
  <c r="Z79" i="79"/>
  <c r="X81" i="79"/>
  <c r="Z81" i="79"/>
  <c r="X83" i="79"/>
  <c r="Z83" i="79"/>
  <c r="X85" i="79"/>
  <c r="Z85" i="79"/>
  <c r="X87" i="79"/>
  <c r="Z87" i="79"/>
  <c r="X89" i="79"/>
  <c r="Z89" i="79"/>
  <c r="X91" i="79"/>
  <c r="Z91" i="79"/>
  <c r="X93" i="79"/>
  <c r="Z93" i="79"/>
  <c r="AG94" i="79"/>
  <c r="Z95" i="79"/>
  <c r="X95" i="79"/>
  <c r="X96" i="79"/>
  <c r="AE96" i="79"/>
  <c r="Z98" i="79"/>
  <c r="AG98" i="79"/>
  <c r="Z99" i="79"/>
  <c r="X99" i="79"/>
  <c r="X100" i="79"/>
  <c r="AE100" i="79"/>
  <c r="AG102" i="79"/>
  <c r="Z103" i="79"/>
  <c r="X103" i="79"/>
  <c r="AG103" i="79"/>
  <c r="AE103" i="79"/>
  <c r="AF113" i="79"/>
  <c r="AG113" i="79"/>
  <c r="AE113" i="79"/>
  <c r="AF117" i="79"/>
  <c r="AG117" i="79"/>
  <c r="AE117" i="79"/>
  <c r="AG95" i="79"/>
  <c r="AE95" i="79"/>
  <c r="Z96" i="79"/>
  <c r="AG96" i="79"/>
  <c r="Z97" i="79"/>
  <c r="X97" i="79"/>
  <c r="AG99" i="79"/>
  <c r="AE99" i="79"/>
  <c r="Z100" i="79"/>
  <c r="AG100" i="79"/>
  <c r="Z101" i="79"/>
  <c r="X101" i="79"/>
  <c r="AG101" i="79"/>
  <c r="AE101" i="79"/>
  <c r="AF108" i="79"/>
  <c r="AG108" i="79"/>
  <c r="AE108" i="79"/>
  <c r="AF111" i="79"/>
  <c r="AG111" i="79"/>
  <c r="AE111" i="79"/>
  <c r="AF115" i="79"/>
  <c r="AG115" i="79"/>
  <c r="AE115" i="79"/>
  <c r="AF109" i="79"/>
  <c r="AF112" i="79"/>
  <c r="AF114" i="79"/>
  <c r="AF116" i="79"/>
  <c r="AE109" i="79"/>
  <c r="AE112" i="79"/>
  <c r="AE114" i="79"/>
  <c r="AE116" i="79"/>
  <c r="I34" i="40" l="1"/>
  <c r="G34" i="40"/>
  <c r="E34" i="40"/>
  <c r="I7" i="40"/>
  <c r="G7" i="40"/>
  <c r="E7" i="40"/>
  <c r="I5" i="40"/>
  <c r="G5" i="40"/>
  <c r="E5" i="40"/>
  <c r="D66" i="40"/>
  <c r="E66" i="40" s="1"/>
  <c r="F66" i="40" s="1"/>
  <c r="G66" i="40" s="1"/>
  <c r="H66" i="40" s="1"/>
  <c r="I66" i="40" s="1"/>
  <c r="J66" i="40" s="1"/>
  <c r="K66" i="40" s="1"/>
  <c r="L66" i="40" s="1"/>
  <c r="M66" i="40" s="1"/>
  <c r="N66" i="40" s="1"/>
  <c r="O66" i="40" s="1"/>
  <c r="AJ6" i="1"/>
  <c r="L22" i="1"/>
  <c r="L23" i="1"/>
  <c r="L21" i="1"/>
  <c r="N23" i="1"/>
  <c r="N22" i="1"/>
  <c r="N21" i="1"/>
  <c r="C11" i="4"/>
  <c r="D3" i="4"/>
  <c r="N24" i="1" l="1"/>
  <c r="N6" i="1" s="1"/>
  <c r="Y6" i="1" s="1"/>
  <c r="L24" i="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E5" i="71"/>
  <c r="AF5" i="71" s="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s="1"/>
  <c r="AD8" i="71"/>
  <c r="Q9" i="71"/>
  <c r="Q10" i="71"/>
  <c r="P9" i="71"/>
  <c r="P10" i="71"/>
  <c r="O9" i="71"/>
  <c r="O10" i="71"/>
  <c r="N9" i="71"/>
  <c r="X8" i="71" s="1"/>
  <c r="N10" i="71"/>
  <c r="AH9" i="71"/>
  <c r="AG9" i="71"/>
  <c r="AE9" i="71"/>
  <c r="AF9" i="71"/>
  <c r="AD9" i="71"/>
  <c r="F24" i="12"/>
  <c r="F7" i="69"/>
  <c r="F7" i="68"/>
  <c r="M15" i="45"/>
  <c r="L15" i="45"/>
  <c r="K15" i="45"/>
  <c r="J15" i="45"/>
  <c r="I15" i="45"/>
  <c r="H15" i="45"/>
  <c r="G15" i="45"/>
  <c r="F15" i="45"/>
  <c r="E15" i="45"/>
  <c r="D15" i="45"/>
  <c r="C15" i="45"/>
  <c r="B15" i="45"/>
  <c r="AH10" i="71"/>
  <c r="AG10" i="71"/>
  <c r="AE10" i="71"/>
  <c r="AF10" i="71" s="1"/>
  <c r="AD10" i="71"/>
  <c r="AD11" i="71"/>
  <c r="AH11" i="71"/>
  <c r="AG11" i="71"/>
  <c r="AE11" i="71"/>
  <c r="AF11" i="71"/>
  <c r="Q11" i="71"/>
  <c r="P11" i="71"/>
  <c r="O11" i="71"/>
  <c r="N11" i="71"/>
  <c r="X9" i="71" s="1"/>
  <c r="L3" i="71"/>
  <c r="AH3" i="71" s="1"/>
  <c r="K3" i="71"/>
  <c r="AG3" i="71" s="1"/>
  <c r="J3" i="71"/>
  <c r="AE3" i="71" s="1"/>
  <c r="I3" i="71"/>
  <c r="AH12" i="71"/>
  <c r="AG12" i="71"/>
  <c r="AE12" i="71"/>
  <c r="AF12" i="71"/>
  <c r="AD12" i="71"/>
  <c r="Q12" i="71"/>
  <c r="Q13" i="71"/>
  <c r="P12" i="71"/>
  <c r="P13" i="71"/>
  <c r="O12" i="71"/>
  <c r="O13" i="71"/>
  <c r="Y13" i="71" s="1"/>
  <c r="Z13" i="71" s="1"/>
  <c r="N12" i="71"/>
  <c r="X12" i="71" s="1"/>
  <c r="N13" i="71"/>
  <c r="N14" i="71"/>
  <c r="X13" i="71" s="1"/>
  <c r="AH13" i="71"/>
  <c r="AG13" i="71"/>
  <c r="AE13" i="71"/>
  <c r="AF13" i="71"/>
  <c r="AD13" i="71"/>
  <c r="Q14" i="71"/>
  <c r="P14" i="71"/>
  <c r="O14" i="71"/>
  <c r="D16" i="71"/>
  <c r="AH14" i="71"/>
  <c r="AG14" i="71"/>
  <c r="AE14" i="71"/>
  <c r="AF14" i="71"/>
  <c r="AD14" i="71"/>
  <c r="AD15" i="71"/>
  <c r="AG15" i="71"/>
  <c r="AH15" i="71"/>
  <c r="AE15" i="71"/>
  <c r="AF15" i="71"/>
  <c r="N15" i="71"/>
  <c r="Q15" i="71"/>
  <c r="AB15" i="71" s="1"/>
  <c r="P15" i="71"/>
  <c r="O15" i="71"/>
  <c r="C15" i="71"/>
  <c r="C14" i="71"/>
  <c r="Q16" i="71"/>
  <c r="P16" i="71"/>
  <c r="O16" i="71"/>
  <c r="N16" i="71"/>
  <c r="B15" i="71"/>
  <c r="B14" i="71" s="1"/>
  <c r="B13" i="71" s="1"/>
  <c r="B12" i="71" s="1"/>
  <c r="B11" i="71" s="1"/>
  <c r="B10" i="71" s="1"/>
  <c r="B9" i="71" s="1"/>
  <c r="B8" i="71" s="1"/>
  <c r="A2" i="53"/>
  <c r="K59" i="67"/>
  <c r="P74" i="67" s="1"/>
  <c r="P61"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7" i="71"/>
  <c r="P17" i="71"/>
  <c r="O17" i="71"/>
  <c r="N17" i="71"/>
  <c r="X15"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s="1"/>
  <c r="AG29" i="71"/>
  <c r="AH29" i="71"/>
  <c r="AH30" i="71"/>
  <c r="AG30" i="71"/>
  <c r="AE30" i="71"/>
  <c r="AF30" i="71"/>
  <c r="AD30" i="71"/>
  <c r="AD31" i="71"/>
  <c r="AE31" i="71"/>
  <c r="AF31" i="71" s="1"/>
  <c r="AG31" i="71"/>
  <c r="AH31" i="71"/>
  <c r="S2" i="31"/>
  <c r="M2" i="31"/>
  <c r="N2" i="31"/>
  <c r="O2" i="31"/>
  <c r="P2" i="31"/>
  <c r="Q2" i="31"/>
  <c r="R2" i="31"/>
  <c r="C1" i="73"/>
  <c r="L1" i="73" s="1"/>
  <c r="B74" i="72"/>
  <c r="Y12" i="43"/>
  <c r="Y10" i="43"/>
  <c r="AJ9" i="43"/>
  <c r="AJ12" i="43"/>
  <c r="AI9" i="43"/>
  <c r="AI12" i="43" s="1"/>
  <c r="AH9" i="43"/>
  <c r="AH12" i="43" s="1"/>
  <c r="AG9" i="43"/>
  <c r="AG12" i="43"/>
  <c r="AF9" i="43"/>
  <c r="AF12" i="43"/>
  <c r="AE9" i="43"/>
  <c r="AE10" i="43" s="1"/>
  <c r="AD9" i="43"/>
  <c r="AD12" i="43" s="1"/>
  <c r="AC9" i="43"/>
  <c r="AC12" i="43"/>
  <c r="AB9" i="43"/>
  <c r="AB12" i="43"/>
  <c r="AA9" i="43"/>
  <c r="AA12" i="43" s="1"/>
  <c r="Z9" i="43"/>
  <c r="Z10" i="43" s="1"/>
  <c r="AA10" i="43"/>
  <c r="AC10" i="43"/>
  <c r="AG10" i="43"/>
  <c r="AI10" i="43"/>
  <c r="AB10" i="43"/>
  <c r="AF10" i="43"/>
  <c r="AH10" i="43"/>
  <c r="AJ10" i="43"/>
  <c r="K49" i="9"/>
  <c r="E107" i="9"/>
  <c r="A122" i="9" s="1"/>
  <c r="A8" i="52" s="1"/>
  <c r="B54" i="72" s="1"/>
  <c r="E111" i="9"/>
  <c r="A126" i="9" s="1"/>
  <c r="E109" i="9"/>
  <c r="A124" i="9" s="1"/>
  <c r="A10" i="52" s="1"/>
  <c r="B55" i="72" s="1"/>
  <c r="B44" i="72"/>
  <c r="B42" i="72"/>
  <c r="B69" i="72"/>
  <c r="B68" i="72"/>
  <c r="B63" i="72"/>
  <c r="B62" i="72"/>
  <c r="B16" i="72"/>
  <c r="B65" i="72"/>
  <c r="B60" i="72"/>
  <c r="B67" i="72"/>
  <c r="B10" i="72"/>
  <c r="C53" i="10"/>
  <c r="B51" i="10"/>
  <c r="B19" i="72"/>
  <c r="A18" i="51"/>
  <c r="B13" i="72" s="1"/>
  <c r="B49" i="48"/>
  <c r="B5" i="72" s="1"/>
  <c r="I19" i="43"/>
  <c r="D80" i="71"/>
  <c r="F79" i="71"/>
  <c r="E79" i="71"/>
  <c r="E78" i="71"/>
  <c r="E77" i="71" s="1"/>
  <c r="C79" i="71"/>
  <c r="D79" i="71" s="1"/>
  <c r="B79" i="71"/>
  <c r="F78" i="71"/>
  <c r="F77" i="71" s="1"/>
  <c r="B78" i="71"/>
  <c r="B77" i="71"/>
  <c r="D76" i="71"/>
  <c r="F75" i="71"/>
  <c r="F74" i="71" s="1"/>
  <c r="F73" i="71" s="1"/>
  <c r="E75" i="71"/>
  <c r="E74" i="71" s="1"/>
  <c r="E73" i="71" s="1"/>
  <c r="C75" i="71"/>
  <c r="D75" i="71"/>
  <c r="B75" i="71"/>
  <c r="B74" i="71" s="1"/>
  <c r="B73" i="71" s="1"/>
  <c r="D72" i="71"/>
  <c r="Q71" i="71"/>
  <c r="P71" i="71"/>
  <c r="O71" i="71"/>
  <c r="N71" i="71"/>
  <c r="F71" i="71"/>
  <c r="V71" i="71" s="1"/>
  <c r="E71" i="71"/>
  <c r="U71" i="71"/>
  <c r="C71" i="71"/>
  <c r="T71" i="71"/>
  <c r="B71" i="71"/>
  <c r="S71" i="71" s="1"/>
  <c r="Q70" i="71"/>
  <c r="P70" i="71"/>
  <c r="O70" i="71"/>
  <c r="N70" i="71"/>
  <c r="B70" i="71"/>
  <c r="B69" i="71" s="1"/>
  <c r="Q69" i="71"/>
  <c r="P69" i="71"/>
  <c r="O69" i="71"/>
  <c r="N69" i="71"/>
  <c r="Q68" i="71"/>
  <c r="P68" i="71"/>
  <c r="O68" i="71"/>
  <c r="N68" i="71"/>
  <c r="D68" i="71"/>
  <c r="Q67" i="71"/>
  <c r="P67" i="71"/>
  <c r="O67" i="71"/>
  <c r="N67" i="71"/>
  <c r="F67" i="71"/>
  <c r="F66" i="71" s="1"/>
  <c r="F65" i="71" s="1"/>
  <c r="V67" i="71"/>
  <c r="E67" i="71"/>
  <c r="U67" i="71"/>
  <c r="C67" i="71"/>
  <c r="T67" i="71" s="1"/>
  <c r="B67" i="71"/>
  <c r="S67" i="71" s="1"/>
  <c r="Q66" i="71"/>
  <c r="P66" i="71"/>
  <c r="O66" i="71"/>
  <c r="N66" i="71"/>
  <c r="B66" i="71"/>
  <c r="B65" i="71" s="1"/>
  <c r="Q65" i="71"/>
  <c r="P65" i="71"/>
  <c r="O65" i="71"/>
  <c r="N65" i="71"/>
  <c r="Q64" i="71"/>
  <c r="P64" i="71"/>
  <c r="O64" i="71"/>
  <c r="N64" i="71"/>
  <c r="D64" i="71"/>
  <c r="Q63" i="71"/>
  <c r="P63" i="71"/>
  <c r="O63" i="71"/>
  <c r="N63" i="71"/>
  <c r="F63" i="71"/>
  <c r="V63" i="71"/>
  <c r="E63" i="71"/>
  <c r="E62" i="71" s="1"/>
  <c r="E61" i="71" s="1"/>
  <c r="U63" i="71"/>
  <c r="C63" i="71"/>
  <c r="B63" i="71"/>
  <c r="S63" i="71" s="1"/>
  <c r="Q62" i="71"/>
  <c r="P62" i="71"/>
  <c r="O62" i="71"/>
  <c r="N62" i="71"/>
  <c r="F62" i="71"/>
  <c r="F61" i="71" s="1"/>
  <c r="B62" i="71"/>
  <c r="B61" i="71" s="1"/>
  <c r="Q61" i="71"/>
  <c r="P61" i="71"/>
  <c r="O61" i="71"/>
  <c r="N61" i="71"/>
  <c r="Q60" i="71"/>
  <c r="P60" i="71"/>
  <c r="O60" i="71"/>
  <c r="N60" i="71"/>
  <c r="D60" i="71"/>
  <c r="F59" i="71"/>
  <c r="Q59" i="71" s="1"/>
  <c r="E59" i="71"/>
  <c r="E58" i="71" s="1"/>
  <c r="P58" i="71" s="1"/>
  <c r="P59" i="71"/>
  <c r="C59" i="71"/>
  <c r="B59" i="71"/>
  <c r="S59" i="71" s="1"/>
  <c r="D56" i="71"/>
  <c r="Q55" i="71"/>
  <c r="P55" i="71"/>
  <c r="O55" i="71"/>
  <c r="N55" i="71"/>
  <c r="Q54" i="71"/>
  <c r="P54" i="71"/>
  <c r="O54" i="71"/>
  <c r="N54" i="71"/>
  <c r="Q53" i="71"/>
  <c r="P53" i="71"/>
  <c r="O53" i="71"/>
  <c r="N53" i="71"/>
  <c r="Q52" i="71"/>
  <c r="F53" i="71" s="1"/>
  <c r="F54" i="71" s="1"/>
  <c r="F55" i="71" s="1"/>
  <c r="V55" i="71" s="1"/>
  <c r="P52" i="71"/>
  <c r="E53" i="71" s="1"/>
  <c r="E54" i="71" s="1"/>
  <c r="E55" i="71" s="1"/>
  <c r="U55" i="71" s="1"/>
  <c r="O52" i="71"/>
  <c r="C53" i="71"/>
  <c r="C54" i="71" s="1"/>
  <c r="D54" i="71" s="1"/>
  <c r="N52" i="71"/>
  <c r="B53" i="71"/>
  <c r="B54" i="7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c r="N48" i="71"/>
  <c r="B49" i="71"/>
  <c r="B50" i="71" s="1"/>
  <c r="B51" i="71" s="1"/>
  <c r="S51" i="71" s="1"/>
  <c r="D48" i="71"/>
  <c r="Q47" i="71"/>
  <c r="P47" i="71"/>
  <c r="O47" i="71"/>
  <c r="N47" i="71"/>
  <c r="Q46" i="71"/>
  <c r="P46" i="71"/>
  <c r="O46" i="71"/>
  <c r="N46" i="71"/>
  <c r="Q45" i="71"/>
  <c r="P45" i="71"/>
  <c r="E46" i="71" s="1"/>
  <c r="E47" i="71" s="1"/>
  <c r="U47" i="71" s="1"/>
  <c r="O45" i="71"/>
  <c r="N45" i="71"/>
  <c r="Q44" i="71"/>
  <c r="F45" i="71"/>
  <c r="F46" i="71" s="1"/>
  <c r="F47" i="71" s="1"/>
  <c r="V47" i="71"/>
  <c r="P44" i="71"/>
  <c r="E45" i="71"/>
  <c r="O44" i="71"/>
  <c r="C45" i="71" s="1"/>
  <c r="N44" i="71"/>
  <c r="B45" i="71"/>
  <c r="B46" i="71" s="1"/>
  <c r="B47" i="71" s="1"/>
  <c r="S47" i="71"/>
  <c r="D44" i="71"/>
  <c r="Q43" i="71"/>
  <c r="P43" i="71"/>
  <c r="O43" i="71"/>
  <c r="N43" i="71"/>
  <c r="Q42" i="71"/>
  <c r="P42" i="71"/>
  <c r="O42" i="71"/>
  <c r="N42" i="71"/>
  <c r="Q41" i="71"/>
  <c r="P41" i="71"/>
  <c r="O41" i="71"/>
  <c r="N41" i="71"/>
  <c r="Q40" i="71"/>
  <c r="F41" i="71"/>
  <c r="P40" i="71"/>
  <c r="E41" i="71" s="1"/>
  <c r="E42" i="71" s="1"/>
  <c r="E43" i="71" s="1"/>
  <c r="U43" i="71" s="1"/>
  <c r="O40" i="71"/>
  <c r="C41" i="71" s="1"/>
  <c r="N40" i="71"/>
  <c r="B41" i="71"/>
  <c r="B42" i="71" s="1"/>
  <c r="B43" i="71" s="1"/>
  <c r="S43" i="71" s="1"/>
  <c r="D40" i="71"/>
  <c r="T39" i="71"/>
  <c r="Q39" i="71"/>
  <c r="P39" i="71"/>
  <c r="O39" i="71"/>
  <c r="N39" i="71"/>
  <c r="D39" i="71"/>
  <c r="Q38" i="71"/>
  <c r="P38" i="71"/>
  <c r="O38" i="71"/>
  <c r="N38" i="71"/>
  <c r="Q37" i="71"/>
  <c r="P37" i="71"/>
  <c r="O37" i="71"/>
  <c r="N37" i="71"/>
  <c r="Q36" i="71"/>
  <c r="F37" i="71" s="1"/>
  <c r="F38" i="71" s="1"/>
  <c r="F39" i="71" s="1"/>
  <c r="V39" i="71" s="1"/>
  <c r="P36" i="71"/>
  <c r="E37" i="71" s="1"/>
  <c r="O36" i="71"/>
  <c r="C37" i="71" s="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c r="E34" i="71"/>
  <c r="E35" i="71" s="1"/>
  <c r="U35" i="71" s="1"/>
  <c r="O32" i="71"/>
  <c r="C33" i="71" s="1"/>
  <c r="D33" i="71" s="1"/>
  <c r="N32" i="71"/>
  <c r="B33" i="71" s="1"/>
  <c r="B34" i="71" s="1"/>
  <c r="B35" i="71" s="1"/>
  <c r="S35" i="71" s="1"/>
  <c r="D32" i="71"/>
  <c r="Q31" i="71"/>
  <c r="P31" i="71"/>
  <c r="O31" i="71"/>
  <c r="N31" i="71"/>
  <c r="Q30" i="71"/>
  <c r="AB30" i="71" s="1"/>
  <c r="P30" i="71"/>
  <c r="AA30" i="71"/>
  <c r="O30" i="71"/>
  <c r="Y30" i="71" s="1"/>
  <c r="Z30" i="71" s="1"/>
  <c r="N30" i="71"/>
  <c r="X30" i="71"/>
  <c r="Q29" i="71"/>
  <c r="P29" i="71"/>
  <c r="AA28" i="71" s="1"/>
  <c r="O29" i="71"/>
  <c r="Y29" i="71" s="1"/>
  <c r="Z29" i="71" s="1"/>
  <c r="N29" i="71"/>
  <c r="F29" i="71"/>
  <c r="F30" i="71"/>
  <c r="Q28" i="71"/>
  <c r="P28" i="71"/>
  <c r="O28" i="71"/>
  <c r="Y25" i="71" s="1"/>
  <c r="Z25" i="71" s="1"/>
  <c r="N28" i="71"/>
  <c r="X28" i="71" s="1"/>
  <c r="D28" i="71"/>
  <c r="Q27" i="71"/>
  <c r="AB17" i="71" s="1"/>
  <c r="P27" i="71"/>
  <c r="AA27" i="71" s="1"/>
  <c r="O27" i="71"/>
  <c r="Y27" i="71" s="1"/>
  <c r="Z27" i="71" s="1"/>
  <c r="N27" i="71"/>
  <c r="Q26" i="71"/>
  <c r="P26" i="71"/>
  <c r="O26" i="71"/>
  <c r="Y26" i="71" s="1"/>
  <c r="Z26" i="71" s="1"/>
  <c r="N26" i="71"/>
  <c r="X20" i="71" s="1"/>
  <c r="Q25" i="71"/>
  <c r="P25" i="71"/>
  <c r="AA25" i="71" s="1"/>
  <c r="O25" i="71"/>
  <c r="N25" i="71"/>
  <c r="F25" i="71"/>
  <c r="F26" i="71" s="1"/>
  <c r="F27" i="71" s="1"/>
  <c r="V27" i="71"/>
  <c r="Q24" i="71"/>
  <c r="P24" i="71"/>
  <c r="AA24" i="71" s="1"/>
  <c r="O24" i="71"/>
  <c r="Y24" i="71" s="1"/>
  <c r="Z24" i="71" s="1"/>
  <c r="N24" i="71"/>
  <c r="D24" i="71"/>
  <c r="Q23" i="71"/>
  <c r="P23" i="71"/>
  <c r="O23" i="71"/>
  <c r="N23" i="71"/>
  <c r="Q22" i="71"/>
  <c r="AB19" i="71" s="1"/>
  <c r="P22" i="71"/>
  <c r="O22" i="71"/>
  <c r="N22" i="71"/>
  <c r="Q21" i="71"/>
  <c r="P21" i="71"/>
  <c r="O21" i="71"/>
  <c r="Y20" i="71" s="1"/>
  <c r="Z20" i="71" s="1"/>
  <c r="Y21" i="71"/>
  <c r="Z21" i="71" s="1"/>
  <c r="N21" i="71"/>
  <c r="X21" i="71" s="1"/>
  <c r="Q20" i="71"/>
  <c r="P20" i="71"/>
  <c r="O20" i="71"/>
  <c r="N20" i="71"/>
  <c r="B21" i="71" s="1"/>
  <c r="B22" i="71" s="1"/>
  <c r="D20" i="71"/>
  <c r="O19" i="71"/>
  <c r="N19" i="71"/>
  <c r="X18" i="71" s="1"/>
  <c r="B23" i="71"/>
  <c r="S23" i="71" s="1"/>
  <c r="B25" i="71"/>
  <c r="B26" i="71" s="1"/>
  <c r="B27" i="71" s="1"/>
  <c r="S27" i="71" s="1"/>
  <c r="B29" i="71"/>
  <c r="B30" i="71" s="1"/>
  <c r="B31" i="71" s="1"/>
  <c r="S31" i="71"/>
  <c r="E29" i="71"/>
  <c r="E30" i="71" s="1"/>
  <c r="E31" i="71" s="1"/>
  <c r="U31" i="71" s="1"/>
  <c r="E25" i="71"/>
  <c r="C21" i="71"/>
  <c r="C22" i="71" s="1"/>
  <c r="X23" i="71"/>
  <c r="C25" i="71"/>
  <c r="C26" i="71"/>
  <c r="C27" i="71" s="1"/>
  <c r="X27" i="71"/>
  <c r="X29" i="71"/>
  <c r="F42" i="71"/>
  <c r="F43" i="71" s="1"/>
  <c r="V43" i="71" s="1"/>
  <c r="C19" i="71"/>
  <c r="T19" i="71" s="1"/>
  <c r="Y18" i="71"/>
  <c r="Z18" i="71" s="1"/>
  <c r="X17" i="71"/>
  <c r="D25" i="71"/>
  <c r="P19" i="71"/>
  <c r="AA18" i="71" s="1"/>
  <c r="U59" i="71"/>
  <c r="Q19" i="71"/>
  <c r="T59" i="71"/>
  <c r="O59" i="71"/>
  <c r="D59" i="71"/>
  <c r="C58" i="71"/>
  <c r="C66" i="71"/>
  <c r="C65" i="71" s="1"/>
  <c r="D65" i="71" s="1"/>
  <c r="E66" i="71"/>
  <c r="E65" i="71" s="1"/>
  <c r="D67" i="71"/>
  <c r="C70" i="71"/>
  <c r="E70" i="71"/>
  <c r="E69" i="71"/>
  <c r="D71" i="71"/>
  <c r="C74" i="71"/>
  <c r="C73" i="71" s="1"/>
  <c r="D73" i="71" s="1"/>
  <c r="C78" i="71"/>
  <c r="C18" i="71"/>
  <c r="C17" i="71" s="1"/>
  <c r="D17" i="71" s="1"/>
  <c r="F19" i="71"/>
  <c r="F18" i="71"/>
  <c r="F17" i="71" s="1"/>
  <c r="AA17" i="71"/>
  <c r="D19" i="71"/>
  <c r="U19" i="71" s="1"/>
  <c r="C57" i="71"/>
  <c r="O57" i="71" s="1"/>
  <c r="O58" i="71"/>
  <c r="D58" i="71"/>
  <c r="C55" i="71"/>
  <c r="D74" i="71"/>
  <c r="D66" i="71"/>
  <c r="D70" i="71"/>
  <c r="C69" i="71"/>
  <c r="D69" i="71"/>
  <c r="E57" i="71"/>
  <c r="P56" i="71" s="1"/>
  <c r="D26" i="71"/>
  <c r="D1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s="1"/>
  <c r="A11" i="70"/>
  <c r="E11" i="70" s="1"/>
  <c r="A12" i="70"/>
  <c r="E12" i="70"/>
  <c r="A13" i="70"/>
  <c r="E13" i="70"/>
  <c r="A6" i="70"/>
  <c r="Q25" i="40"/>
  <c r="Z25" i="40"/>
  <c r="D94" i="40"/>
  <c r="E94" i="40" s="1"/>
  <c r="F94" i="40" s="1"/>
  <c r="G94" i="40" s="1"/>
  <c r="F25" i="40"/>
  <c r="AA25" i="40" s="1"/>
  <c r="Z29" i="39"/>
  <c r="Q29" i="39"/>
  <c r="D103" i="39"/>
  <c r="E103" i="39"/>
  <c r="F103" i="39" s="1"/>
  <c r="G103" i="39" s="1"/>
  <c r="F29" i="39"/>
  <c r="AA29" i="39" s="1"/>
  <c r="Q18" i="36"/>
  <c r="Z18" i="36"/>
  <c r="D66" i="36"/>
  <c r="E66" i="36" s="1"/>
  <c r="F66" i="36" s="1"/>
  <c r="G66" i="36" s="1"/>
  <c r="H18" i="36"/>
  <c r="F18" i="36"/>
  <c r="AA18" i="36" s="1"/>
  <c r="C18" i="36"/>
  <c r="Z18" i="35"/>
  <c r="Q18" i="35"/>
  <c r="D68" i="35"/>
  <c r="E68" i="35"/>
  <c r="F18" i="35"/>
  <c r="AA18" i="35" s="1"/>
  <c r="C18" i="35"/>
  <c r="Q21" i="37"/>
  <c r="Z21" i="37" s="1"/>
  <c r="D77" i="37"/>
  <c r="E77" i="37"/>
  <c r="C21" i="37"/>
  <c r="Z21" i="34"/>
  <c r="Q21" i="34"/>
  <c r="D84" i="34"/>
  <c r="E84" i="34"/>
  <c r="F21" i="34"/>
  <c r="AA21" i="34" s="1"/>
  <c r="C21" i="34"/>
  <c r="Z21" i="33"/>
  <c r="Q21" i="33"/>
  <c r="D83" i="33"/>
  <c r="E83" i="33" s="1"/>
  <c r="F83" i="33" s="1"/>
  <c r="C21" i="33"/>
  <c r="C21" i="21"/>
  <c r="Q21" i="21"/>
  <c r="Z21" i="21"/>
  <c r="H19" i="21"/>
  <c r="D83" i="21"/>
  <c r="E83" i="21" s="1"/>
  <c r="F83" i="21" s="1"/>
  <c r="G83" i="21" s="1"/>
  <c r="F21" i="21"/>
  <c r="AA21" i="21" s="1"/>
  <c r="D81" i="21"/>
  <c r="G20" i="20"/>
  <c r="C22" i="20"/>
  <c r="C29" i="39" s="1"/>
  <c r="B75" i="43"/>
  <c r="B55" i="43"/>
  <c r="B66" i="43"/>
  <c r="S29" i="39"/>
  <c r="S21" i="34"/>
  <c r="H25" i="40"/>
  <c r="AB25" i="40" s="1"/>
  <c r="J25" i="40"/>
  <c r="AC25" i="40" s="1"/>
  <c r="H29" i="39"/>
  <c r="J29" i="39"/>
  <c r="AC29" i="39" s="1"/>
  <c r="J18" i="36"/>
  <c r="W18" i="36" s="1"/>
  <c r="F68" i="35"/>
  <c r="G68" i="35" s="1"/>
  <c r="H18" i="35"/>
  <c r="U18" i="35" s="1"/>
  <c r="J18" i="35"/>
  <c r="F77" i="37"/>
  <c r="H21" i="37"/>
  <c r="F21" i="37"/>
  <c r="S21" i="37" s="1"/>
  <c r="F84" i="34"/>
  <c r="G84" i="34" s="1"/>
  <c r="H21" i="34"/>
  <c r="H21" i="33"/>
  <c r="AB21" i="33" s="1"/>
  <c r="F21" i="33"/>
  <c r="AA21" i="33" s="1"/>
  <c r="H1" i="69"/>
  <c r="AB29" i="39"/>
  <c r="U29" i="39"/>
  <c r="W29" i="39"/>
  <c r="AB21" i="37"/>
  <c r="U21" i="37"/>
  <c r="AA21" i="37"/>
  <c r="U21" i="33"/>
  <c r="AB18" i="35"/>
  <c r="G77" i="37"/>
  <c r="J21" i="37"/>
  <c r="J21" i="34"/>
  <c r="G83" i="33"/>
  <c r="J21" i="33"/>
  <c r="W21" i="33" s="1"/>
  <c r="H21" i="21"/>
  <c r="F38" i="69"/>
  <c r="E37" i="69"/>
  <c r="F36" i="69"/>
  <c r="F35" i="69"/>
  <c r="F21" i="69"/>
  <c r="F40" i="69" s="1"/>
  <c r="F20" i="69"/>
  <c r="F39" i="69" s="1"/>
  <c r="E10" i="69"/>
  <c r="E9" i="69"/>
  <c r="C7" i="69"/>
  <c r="AC21" i="37"/>
  <c r="W21" i="37"/>
  <c r="AC21" i="34"/>
  <c r="W21" i="34"/>
  <c r="AC21" i="33"/>
  <c r="AB21" i="21"/>
  <c r="U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D22" i="67"/>
  <c r="S2" i="4"/>
  <c r="C51" i="10" s="1"/>
  <c r="A13" i="51"/>
  <c r="B11" i="72" s="1"/>
  <c r="S1" i="4"/>
  <c r="B1" i="4"/>
  <c r="C27" i="66"/>
  <c r="C31" i="66" s="1"/>
  <c r="C32" i="66"/>
  <c r="I23" i="66"/>
  <c r="D20" i="66"/>
  <c r="I19" i="66"/>
  <c r="I18" i="66"/>
  <c r="I17" i="66"/>
  <c r="I20" i="66"/>
  <c r="E15" i="66"/>
  <c r="I14" i="66"/>
  <c r="I13" i="66"/>
  <c r="I12" i="66"/>
  <c r="I9" i="66"/>
  <c r="I8" i="66"/>
  <c r="I7" i="66"/>
  <c r="I6" i="66"/>
  <c r="I5" i="66"/>
  <c r="I4" i="66"/>
  <c r="I3" i="66"/>
  <c r="I10" i="66" s="1"/>
  <c r="I21" i="66" s="1"/>
  <c r="F113" i="43"/>
  <c r="N99" i="43"/>
  <c r="N108" i="43"/>
  <c r="D99" i="43"/>
  <c r="D108" i="43"/>
  <c r="E99" i="43"/>
  <c r="E108" i="43"/>
  <c r="F99" i="43"/>
  <c r="F108" i="43" s="1"/>
  <c r="G99" i="43"/>
  <c r="G100" i="43" s="1"/>
  <c r="G108" i="43"/>
  <c r="H99" i="43"/>
  <c r="H108" i="43"/>
  <c r="I99" i="43"/>
  <c r="I108" i="43"/>
  <c r="J99" i="43"/>
  <c r="J108" i="43" s="1"/>
  <c r="K99" i="43"/>
  <c r="K108" i="43"/>
  <c r="L99" i="43"/>
  <c r="L108" i="43"/>
  <c r="M99" i="43"/>
  <c r="M108" i="43"/>
  <c r="C99" i="43"/>
  <c r="C108" i="43" s="1"/>
  <c r="N100" i="43"/>
  <c r="D100" i="43"/>
  <c r="L100" i="43"/>
  <c r="E100" i="43"/>
  <c r="I100" i="43"/>
  <c r="K100" i="43"/>
  <c r="M100" i="43"/>
  <c r="B48" i="43"/>
  <c r="B84" i="43"/>
  <c r="B83" i="43"/>
  <c r="B72" i="43"/>
  <c r="B61" i="43"/>
  <c r="B50" i="43"/>
  <c r="D67" i="43"/>
  <c r="D60" i="43"/>
  <c r="D61" i="43"/>
  <c r="D62" i="43"/>
  <c r="D63" i="43"/>
  <c r="D64" i="43"/>
  <c r="D65" i="43"/>
  <c r="D66" i="43"/>
  <c r="D59" i="43"/>
  <c r="M88" i="43"/>
  <c r="N88" i="43" s="1"/>
  <c r="K88" i="43"/>
  <c r="D88" i="43" s="1"/>
  <c r="M87" i="43"/>
  <c r="N87" i="43" s="1"/>
  <c r="K87" i="43"/>
  <c r="D87" i="43" s="1"/>
  <c r="M86" i="43"/>
  <c r="N86" i="43" s="1"/>
  <c r="K86" i="43"/>
  <c r="J86" i="43" s="1"/>
  <c r="D86" i="43" s="1"/>
  <c r="M85" i="43"/>
  <c r="N85" i="43" s="1"/>
  <c r="K85" i="43"/>
  <c r="D85" i="43" s="1"/>
  <c r="M84" i="43"/>
  <c r="D84" i="43" s="1"/>
  <c r="K84" i="43"/>
  <c r="J84" i="43" s="1"/>
  <c r="M83" i="43"/>
  <c r="N83" i="43" s="1"/>
  <c r="K83" i="43"/>
  <c r="D83" i="43" s="1"/>
  <c r="M82" i="43"/>
  <c r="N82" i="43" s="1"/>
  <c r="K82" i="43"/>
  <c r="D82" i="43" s="1"/>
  <c r="M81" i="43"/>
  <c r="N81" i="43" s="1"/>
  <c r="K81" i="43"/>
  <c r="D81" i="43" s="1"/>
  <c r="M78" i="43"/>
  <c r="N78" i="43"/>
  <c r="K78" i="43"/>
  <c r="J78" i="43" s="1"/>
  <c r="D78" i="43"/>
  <c r="M77" i="43"/>
  <c r="N77" i="43" s="1"/>
  <c r="K77" i="43"/>
  <c r="J77" i="43" s="1"/>
  <c r="D77" i="43"/>
  <c r="M76" i="43"/>
  <c r="N76" i="43" s="1"/>
  <c r="K76" i="43"/>
  <c r="J76" i="43"/>
  <c r="D76" i="43"/>
  <c r="M75" i="43"/>
  <c r="N75" i="43" s="1"/>
  <c r="K75" i="43"/>
  <c r="J75" i="43"/>
  <c r="D75" i="43"/>
  <c r="M74" i="43"/>
  <c r="N74" i="43"/>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s="1"/>
  <c r="M66" i="43"/>
  <c r="N66" i="43" s="1"/>
  <c r="K66" i="43"/>
  <c r="J66" i="43"/>
  <c r="M65" i="43"/>
  <c r="N65" i="43"/>
  <c r="K65" i="43"/>
  <c r="J65" i="43" s="1"/>
  <c r="M64" i="43"/>
  <c r="N64" i="43" s="1"/>
  <c r="K64" i="43"/>
  <c r="J64" i="43"/>
  <c r="M63" i="43"/>
  <c r="N63" i="43"/>
  <c r="K63" i="43"/>
  <c r="J63" i="43" s="1"/>
  <c r="M62" i="43"/>
  <c r="N62" i="43" s="1"/>
  <c r="K62" i="43"/>
  <c r="J62" i="43"/>
  <c r="M61" i="43"/>
  <c r="N61" i="43"/>
  <c r="K61" i="43"/>
  <c r="J61" i="43" s="1"/>
  <c r="M60" i="43"/>
  <c r="N60" i="43" s="1"/>
  <c r="K60" i="43"/>
  <c r="J60" i="43"/>
  <c r="M59" i="43"/>
  <c r="N59" i="43"/>
  <c r="K59" i="43"/>
  <c r="J59" i="43" s="1"/>
  <c r="M56" i="43"/>
  <c r="N56" i="43" s="1"/>
  <c r="K56" i="43"/>
  <c r="J56" i="43"/>
  <c r="D56" i="43"/>
  <c r="M55" i="43"/>
  <c r="N55" i="43"/>
  <c r="K55" i="43"/>
  <c r="J55" i="43" s="1"/>
  <c r="D55" i="43"/>
  <c r="M54" i="43"/>
  <c r="N54" i="43"/>
  <c r="K54" i="43"/>
  <c r="J54" i="43"/>
  <c r="D54" i="43"/>
  <c r="M53" i="43"/>
  <c r="N53" i="43" s="1"/>
  <c r="K53" i="43"/>
  <c r="J53" i="43" s="1"/>
  <c r="D53" i="43"/>
  <c r="M52" i="43"/>
  <c r="N52" i="43" s="1"/>
  <c r="K52" i="43"/>
  <c r="J52" i="43"/>
  <c r="D52" i="43"/>
  <c r="M51" i="43"/>
  <c r="N51" i="43" s="1"/>
  <c r="K51" i="43"/>
  <c r="J51" i="43"/>
  <c r="D51" i="43"/>
  <c r="M50" i="43"/>
  <c r="N50" i="43"/>
  <c r="K50" i="43"/>
  <c r="J50" i="43" s="1"/>
  <c r="D50" i="43"/>
  <c r="M49" i="43"/>
  <c r="N49" i="43"/>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c r="F12" i="31"/>
  <c r="G12" i="31" s="1"/>
  <c r="H12" i="31" s="1"/>
  <c r="I12" i="31" s="1"/>
  <c r="J12" i="31" s="1"/>
  <c r="K12" i="31" s="1"/>
  <c r="L12" i="31" s="1"/>
  <c r="M12" i="31" s="1"/>
  <c r="N12" i="31" s="1"/>
  <c r="O12" i="3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c r="N6" i="31" s="1"/>
  <c r="O6" i="31" s="1"/>
  <c r="P6" i="31" s="1"/>
  <c r="Q6" i="31" s="1"/>
  <c r="R6" i="31" s="1"/>
  <c r="S6" i="31" s="1"/>
  <c r="B2" i="1"/>
  <c r="F15" i="4"/>
  <c r="F8" i="1"/>
  <c r="F9" i="1"/>
  <c r="F10" i="1"/>
  <c r="F11" i="1"/>
  <c r="F12" i="1"/>
  <c r="F13" i="1"/>
  <c r="D6" i="1"/>
  <c r="D9" i="1"/>
  <c r="D10" i="1"/>
  <c r="D11" i="1"/>
  <c r="D12" i="1"/>
  <c r="D13" i="1"/>
  <c r="D7" i="1"/>
  <c r="D8" i="1"/>
  <c r="A7" i="1"/>
  <c r="A8" i="1"/>
  <c r="B8" i="1" s="1"/>
  <c r="E8" i="1"/>
  <c r="A9" i="1"/>
  <c r="A10" i="1"/>
  <c r="K10" i="1" s="1"/>
  <c r="A11" i="1"/>
  <c r="A12" i="1"/>
  <c r="A13" i="1"/>
  <c r="A6" i="1"/>
  <c r="B11" i="1"/>
  <c r="E11" i="1" s="1"/>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A108" i="3" s="1"/>
  <c r="BF108" i="3"/>
  <c r="BE108" i="3"/>
  <c r="BD108" i="3"/>
  <c r="BC108" i="3"/>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L102" i="3" s="1"/>
  <c r="BN102" i="3"/>
  <c r="BM102" i="3"/>
  <c r="BK102" i="3"/>
  <c r="BJ102" i="3"/>
  <c r="BI102" i="3"/>
  <c r="BH102" i="3"/>
  <c r="BG102" i="3"/>
  <c r="BA102" i="3" s="1"/>
  <c r="BF102" i="3"/>
  <c r="BE102" i="3"/>
  <c r="BD102" i="3"/>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L85" i="3" s="1"/>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A84" i="3" s="1"/>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L81" i="3" s="1"/>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A72" i="3" s="1"/>
  <c r="BD72" i="3"/>
  <c r="BC72" i="3"/>
  <c r="BB72" i="3"/>
  <c r="AX72" i="3"/>
  <c r="AW72" i="3"/>
  <c r="AV72" i="3"/>
  <c r="AC72" i="3"/>
  <c r="G72" i="3" s="1"/>
  <c r="H72" i="3"/>
  <c r="BT71" i="3"/>
  <c r="BS71" i="3"/>
  <c r="BR71" i="3"/>
  <c r="BL71" i="3" s="1"/>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A64" i="3" s="1"/>
  <c r="AZ64" i="3" s="1"/>
  <c r="BB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A59" i="3" s="1"/>
  <c r="BD59" i="3"/>
  <c r="BC59" i="3"/>
  <c r="BB59" i="3"/>
  <c r="AX59" i="3"/>
  <c r="AW59" i="3"/>
  <c r="AV59" i="3"/>
  <c r="AC59" i="3"/>
  <c r="G59" i="3" s="1"/>
  <c r="H59" i="3"/>
  <c r="BT58" i="3"/>
  <c r="BS58" i="3"/>
  <c r="BR58" i="3"/>
  <c r="BL58" i="3" s="1"/>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A53" i="3" s="1"/>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L51" i="3" s="1"/>
  <c r="BM51" i="3"/>
  <c r="BK51" i="3"/>
  <c r="BJ51" i="3"/>
  <c r="BI51" i="3"/>
  <c r="BH51" i="3"/>
  <c r="BG51" i="3"/>
  <c r="BF51" i="3"/>
  <c r="BE51" i="3"/>
  <c r="BD51" i="3"/>
  <c r="BA51" i="3" s="1"/>
  <c r="BC51" i="3"/>
  <c r="BB51" i="3"/>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L39" i="3" s="1"/>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A38" i="3" s="1"/>
  <c r="AZ38" i="3" s="1"/>
  <c r="BB38" i="3"/>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A33" i="3" s="1"/>
  <c r="BD33" i="3"/>
  <c r="BC33" i="3"/>
  <c r="BB33" i="3"/>
  <c r="AX33" i="3"/>
  <c r="AW33" i="3"/>
  <c r="AV33" i="3"/>
  <c r="AC33" i="3"/>
  <c r="G33" i="3" s="1"/>
  <c r="H33" i="3"/>
  <c r="BT32" i="3"/>
  <c r="BS32" i="3"/>
  <c r="BR32" i="3"/>
  <c r="BL32" i="3" s="1"/>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L30" i="3" s="1"/>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A23" i="3" s="1"/>
  <c r="AZ23" i="3" s="1"/>
  <c r="BC23" i="3"/>
  <c r="BB23" i="3"/>
  <c r="AX23" i="3"/>
  <c r="AW23" i="3"/>
  <c r="AV23" i="3"/>
  <c r="AC23" i="3"/>
  <c r="G23" i="3" s="1"/>
  <c r="H23" i="3"/>
  <c r="BT22" i="3"/>
  <c r="BS22" i="3"/>
  <c r="BR22" i="3"/>
  <c r="BQ22" i="3"/>
  <c r="BP22" i="3"/>
  <c r="BL22" i="3" s="1"/>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C18" i="3"/>
  <c r="BA18" i="3" s="1"/>
  <c r="AZ18" i="3" s="1"/>
  <c r="BB18" i="3"/>
  <c r="AX18" i="3"/>
  <c r="AW18" i="3"/>
  <c r="AV18" i="3"/>
  <c r="AC18" i="3"/>
  <c r="H18" i="3"/>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L205" i="3" s="1"/>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A194" i="3" s="1"/>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A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L133" i="3" s="1"/>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A125" i="3" s="1"/>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L123" i="3" s="1"/>
  <c r="BQ123" i="3"/>
  <c r="BP123" i="3"/>
  <c r="BO123" i="3"/>
  <c r="BN123" i="3"/>
  <c r="BM123" i="3"/>
  <c r="BK123" i="3"/>
  <c r="BJ123" i="3"/>
  <c r="BI123" i="3"/>
  <c r="BH123" i="3"/>
  <c r="BG123" i="3"/>
  <c r="BF123" i="3"/>
  <c r="BE123" i="3"/>
  <c r="BD123" i="3"/>
  <c r="BC123" i="3"/>
  <c r="BB123" i="3"/>
  <c r="AX123" i="3"/>
  <c r="AW123" i="3"/>
  <c r="AV123" i="3"/>
  <c r="AC123" i="3"/>
  <c r="H123" i="3"/>
  <c r="G123" i="3"/>
  <c r="BT122" i="3"/>
  <c r="BS122" i="3"/>
  <c r="BL122" i="3" s="1"/>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G300" i="3" s="1"/>
  <c r="H300" i="3"/>
  <c r="BT299" i="3"/>
  <c r="BS299" i="3"/>
  <c r="BR299" i="3"/>
  <c r="BQ299" i="3"/>
  <c r="BP299" i="3"/>
  <c r="BO299" i="3"/>
  <c r="BL299" i="3" s="1"/>
  <c r="BN299" i="3"/>
  <c r="BM299" i="3"/>
  <c r="BK299" i="3"/>
  <c r="BJ299" i="3"/>
  <c r="BI299" i="3"/>
  <c r="BH299" i="3"/>
  <c r="BG299" i="3"/>
  <c r="BF299" i="3"/>
  <c r="BE299" i="3"/>
  <c r="BD299" i="3"/>
  <c r="BC299" i="3"/>
  <c r="BB299" i="3"/>
  <c r="AX299" i="3"/>
  <c r="AW299" i="3"/>
  <c r="AV299" i="3"/>
  <c r="AC299" i="3"/>
  <c r="H299" i="3"/>
  <c r="G299" i="3" s="1"/>
  <c r="BT298" i="3"/>
  <c r="BS298" i="3"/>
  <c r="BL298" i="3" s="1"/>
  <c r="BR298" i="3"/>
  <c r="BQ298" i="3"/>
  <c r="BP298" i="3"/>
  <c r="BO298" i="3"/>
  <c r="BN298" i="3"/>
  <c r="BM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A296" i="3" s="1"/>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L294" i="3" s="1"/>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G286" i="3" s="1"/>
  <c r="H286" i="3"/>
  <c r="BT285" i="3"/>
  <c r="BS285" i="3"/>
  <c r="BR285" i="3"/>
  <c r="BQ285" i="3"/>
  <c r="BP285" i="3"/>
  <c r="BL285" i="3" s="1"/>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L282" i="3" s="1"/>
  <c r="BN282" i="3"/>
  <c r="BM282" i="3"/>
  <c r="BK282" i="3"/>
  <c r="BJ282" i="3"/>
  <c r="BI282" i="3"/>
  <c r="BH282" i="3"/>
  <c r="BG282" i="3"/>
  <c r="BF282" i="3"/>
  <c r="BE282" i="3"/>
  <c r="BD282" i="3"/>
  <c r="BC282" i="3"/>
  <c r="BB282" i="3"/>
  <c r="BA282" i="3" s="1"/>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BT277" i="3"/>
  <c r="BS277" i="3"/>
  <c r="BR277" i="3"/>
  <c r="BQ277" i="3"/>
  <c r="BP277" i="3"/>
  <c r="BL277" i="3" s="1"/>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A272" i="3" s="1"/>
  <c r="BD272" i="3"/>
  <c r="BC272" i="3"/>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G267" i="3" s="1"/>
  <c r="H267" i="3"/>
  <c r="BT266" i="3"/>
  <c r="BS266" i="3"/>
  <c r="BR266" i="3"/>
  <c r="BL266" i="3" s="1"/>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L264" i="3" s="1"/>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A262" i="3" s="1"/>
  <c r="BD262" i="3"/>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L252" i="3" s="1"/>
  <c r="BP252" i="3"/>
  <c r="BO252" i="3"/>
  <c r="BN252" i="3"/>
  <c r="BM252" i="3"/>
  <c r="BK252" i="3"/>
  <c r="BJ252" i="3"/>
  <c r="BI252" i="3"/>
  <c r="BH252" i="3"/>
  <c r="BG252" i="3"/>
  <c r="BF252" i="3"/>
  <c r="BE252" i="3"/>
  <c r="BD252" i="3"/>
  <c r="BC252" i="3"/>
  <c r="BB252" i="3"/>
  <c r="BA252" i="3"/>
  <c r="AZ252" i="3" s="1"/>
  <c r="AX252" i="3"/>
  <c r="AW252" i="3"/>
  <c r="AV252" i="3"/>
  <c r="AC252" i="3"/>
  <c r="H252" i="3"/>
  <c r="BT251" i="3"/>
  <c r="BS251" i="3"/>
  <c r="BR251" i="3"/>
  <c r="BQ251" i="3"/>
  <c r="BP251" i="3"/>
  <c r="BL251" i="3" s="1"/>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A245" i="3" s="1"/>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L242" i="3" s="1"/>
  <c r="BO242" i="3"/>
  <c r="BN242" i="3"/>
  <c r="BM242" i="3"/>
  <c r="BK242" i="3"/>
  <c r="BJ242" i="3"/>
  <c r="BI242" i="3"/>
  <c r="BH242" i="3"/>
  <c r="BG242" i="3"/>
  <c r="BF242" i="3"/>
  <c r="BE242" i="3"/>
  <c r="BD242" i="3"/>
  <c r="BC242" i="3"/>
  <c r="BA242" i="3" s="1"/>
  <c r="AZ242" i="3" s="1"/>
  <c r="BB242" i="3"/>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A237" i="3" s="1"/>
  <c r="BD237" i="3"/>
  <c r="BC237" i="3"/>
  <c r="BB237" i="3"/>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L234" i="3" s="1"/>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G230" i="3" s="1"/>
  <c r="H230" i="3"/>
  <c r="BT229" i="3"/>
  <c r="BS229" i="3"/>
  <c r="BR229" i="3"/>
  <c r="BL229" i="3" s="1"/>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L225" i="3" s="1"/>
  <c r="BM225" i="3"/>
  <c r="BK225" i="3"/>
  <c r="BJ225" i="3"/>
  <c r="BI225" i="3"/>
  <c r="BH225" i="3"/>
  <c r="BG225" i="3"/>
  <c r="BF225" i="3"/>
  <c r="BA225" i="3" s="1"/>
  <c r="AZ225" i="3" s="1"/>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A224" i="3" s="1"/>
  <c r="BD224" i="3"/>
  <c r="BC224" i="3"/>
  <c r="BB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H220" i="3"/>
  <c r="G220" i="3"/>
  <c r="BT219" i="3"/>
  <c r="BS219" i="3"/>
  <c r="BR219" i="3"/>
  <c r="BQ219" i="3"/>
  <c r="BP219" i="3"/>
  <c r="BL219" i="3" s="1"/>
  <c r="BO219" i="3"/>
  <c r="BN219" i="3"/>
  <c r="BM219" i="3"/>
  <c r="BK219" i="3"/>
  <c r="BJ219" i="3"/>
  <c r="BI219" i="3"/>
  <c r="BH219" i="3"/>
  <c r="BG219" i="3"/>
  <c r="BF219" i="3"/>
  <c r="BE219" i="3"/>
  <c r="BD219" i="3"/>
  <c r="BC219" i="3"/>
  <c r="BA219" i="3" s="1"/>
  <c r="BB219" i="3"/>
  <c r="AX219" i="3"/>
  <c r="AW219" i="3"/>
  <c r="AV219" i="3"/>
  <c r="AC219" i="3"/>
  <c r="H219" i="3"/>
  <c r="G219" i="3" s="1"/>
  <c r="BT218" i="3"/>
  <c r="BS218" i="3"/>
  <c r="BR218" i="3"/>
  <c r="BQ218" i="3"/>
  <c r="BP218" i="3"/>
  <c r="BL218" i="3" s="1"/>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A217" i="3" s="1"/>
  <c r="BD217" i="3"/>
  <c r="BC217" i="3"/>
  <c r="BB217" i="3"/>
  <c r="AX217" i="3"/>
  <c r="AW217" i="3"/>
  <c r="AV217" i="3"/>
  <c r="AC217" i="3"/>
  <c r="H217" i="3"/>
  <c r="G217" i="3"/>
  <c r="BT216" i="3"/>
  <c r="BS216" i="3"/>
  <c r="BR216" i="3"/>
  <c r="BQ216" i="3"/>
  <c r="BP216" i="3"/>
  <c r="BL216" i="3" s="1"/>
  <c r="BO216" i="3"/>
  <c r="BN216" i="3"/>
  <c r="BM216" i="3"/>
  <c r="BK216" i="3"/>
  <c r="BJ216" i="3"/>
  <c r="BI216" i="3"/>
  <c r="BH216" i="3"/>
  <c r="BG216" i="3"/>
  <c r="BF216" i="3"/>
  <c r="BE216" i="3"/>
  <c r="BD216" i="3"/>
  <c r="BC216" i="3"/>
  <c r="BA216" i="3" s="1"/>
  <c r="BB216" i="3"/>
  <c r="AZ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A212" i="3" s="1"/>
  <c r="BD212" i="3"/>
  <c r="BC212" i="3"/>
  <c r="BB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A385" i="3" s="1"/>
  <c r="AZ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L368" i="3" s="1"/>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L367" i="3" s="1"/>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L359" i="3" s="1"/>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L353" i="3" s="1"/>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L350" i="3" s="1"/>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L340" i="3" s="1"/>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A335" i="3" s="1"/>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L332" i="3" s="1"/>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A487" i="3" s="1"/>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A484" i="3" s="1"/>
  <c r="BD484" i="3"/>
  <c r="BC484" i="3"/>
  <c r="BB484" i="3"/>
  <c r="AX484" i="3"/>
  <c r="AW484" i="3"/>
  <c r="AV484" i="3"/>
  <c r="AC484" i="3"/>
  <c r="H484" i="3"/>
  <c r="G484" i="3" s="1"/>
  <c r="BT483" i="3"/>
  <c r="BS483" i="3"/>
  <c r="BR483" i="3"/>
  <c r="BQ483" i="3"/>
  <c r="BP483" i="3"/>
  <c r="BL483" i="3" s="1"/>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A471" i="3" s="1"/>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A465" i="3" s="1"/>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L454" i="3" s="1"/>
  <c r="BN454" i="3"/>
  <c r="BM454" i="3"/>
  <c r="BK454" i="3"/>
  <c r="BJ454" i="3"/>
  <c r="BI454" i="3"/>
  <c r="BH454" i="3"/>
  <c r="BA454" i="3" s="1"/>
  <c r="AZ454" i="3" s="1"/>
  <c r="BG454" i="3"/>
  <c r="BF454" i="3"/>
  <c r="BE454" i="3"/>
  <c r="BD454" i="3"/>
  <c r="BC454" i="3"/>
  <c r="BB454" i="3"/>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s="1"/>
  <c r="BT450" i="3"/>
  <c r="BS450" i="3"/>
  <c r="BR450" i="3"/>
  <c r="BQ450" i="3"/>
  <c r="BP450" i="3"/>
  <c r="BL450" i="3" s="1"/>
  <c r="BO450" i="3"/>
  <c r="BN450" i="3"/>
  <c r="BM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G447" i="3" s="1"/>
  <c r="BT446" i="3"/>
  <c r="BS446" i="3"/>
  <c r="BR446" i="3"/>
  <c r="BQ446" i="3"/>
  <c r="BP446" i="3"/>
  <c r="BO446" i="3"/>
  <c r="BN446" i="3"/>
  <c r="BM446" i="3"/>
  <c r="BL446" i="3"/>
  <c r="BK446" i="3"/>
  <c r="BJ446" i="3"/>
  <c r="BI446" i="3"/>
  <c r="BH446" i="3"/>
  <c r="BG446" i="3"/>
  <c r="BF446" i="3"/>
  <c r="BE446" i="3"/>
  <c r="BA446" i="3" s="1"/>
  <c r="AZ446" i="3" s="1"/>
  <c r="BD446" i="3"/>
  <c r="BC446" i="3"/>
  <c r="BB446" i="3"/>
  <c r="AX446" i="3"/>
  <c r="AW446" i="3"/>
  <c r="AV446" i="3"/>
  <c r="AC446" i="3"/>
  <c r="G446" i="3" s="1"/>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A442" i="3" s="1"/>
  <c r="AZ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A440" i="3" s="1"/>
  <c r="BD440" i="3"/>
  <c r="BC440" i="3"/>
  <c r="BB440" i="3"/>
  <c r="AX440" i="3"/>
  <c r="AW440" i="3"/>
  <c r="AV440" i="3"/>
  <c r="AC440" i="3"/>
  <c r="H440" i="3"/>
  <c r="G440" i="3" s="1"/>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L434" i="3" s="1"/>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A423" i="3" s="1"/>
  <c r="AZ423" i="3" s="1"/>
  <c r="BD423" i="3"/>
  <c r="BC423" i="3"/>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A421" i="3" s="1"/>
  <c r="BF421" i="3"/>
  <c r="BE421" i="3"/>
  <c r="BD421" i="3"/>
  <c r="BC421" i="3"/>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A418" i="3" s="1"/>
  <c r="AZ418" i="3" s="1"/>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L415" i="3" s="1"/>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A410" i="3" s="1"/>
  <c r="BD410" i="3"/>
  <c r="BC410" i="3"/>
  <c r="BB410" i="3"/>
  <c r="AX410" i="3"/>
  <c r="AW410" i="3"/>
  <c r="AV410" i="3"/>
  <c r="AC410" i="3"/>
  <c r="H410" i="3"/>
  <c r="G410" i="3"/>
  <c r="BT409" i="3"/>
  <c r="BS409" i="3"/>
  <c r="BR409" i="3"/>
  <c r="BQ409" i="3"/>
  <c r="BP409" i="3"/>
  <c r="BL409" i="3" s="1"/>
  <c r="BO409" i="3"/>
  <c r="BN409" i="3"/>
  <c r="BM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A399" i="3" s="1"/>
  <c r="AZ399" i="3" s="1"/>
  <c r="BC399" i="3"/>
  <c r="BB399" i="3"/>
  <c r="AX399" i="3"/>
  <c r="AW399" i="3"/>
  <c r="AV399" i="3"/>
  <c r="AC399" i="3"/>
  <c r="H399" i="3"/>
  <c r="G399" i="3" s="1"/>
  <c r="BT398" i="3"/>
  <c r="BS398" i="3"/>
  <c r="BR398" i="3"/>
  <c r="BQ398" i="3"/>
  <c r="BP398" i="3"/>
  <c r="BL398" i="3" s="1"/>
  <c r="BO398" i="3"/>
  <c r="BN398" i="3"/>
  <c r="BM398" i="3"/>
  <c r="BK398" i="3"/>
  <c r="BJ398" i="3"/>
  <c r="BI398" i="3"/>
  <c r="BH398" i="3"/>
  <c r="BG398" i="3"/>
  <c r="BF398" i="3"/>
  <c r="BE398" i="3"/>
  <c r="BD398" i="3"/>
  <c r="BC398" i="3"/>
  <c r="BB398" i="3"/>
  <c r="AX398" i="3"/>
  <c r="AW398" i="3"/>
  <c r="AV398" i="3"/>
  <c r="AC398" i="3"/>
  <c r="H398" i="3"/>
  <c r="G398" i="3" s="1"/>
  <c r="H60" i="40"/>
  <c r="I60" i="40"/>
  <c r="C60" i="40"/>
  <c r="H59" i="40"/>
  <c r="I59" i="40" s="1"/>
  <c r="C59" i="40" s="1"/>
  <c r="H58" i="40"/>
  <c r="I58" i="40" s="1"/>
  <c r="C58" i="40" s="1"/>
  <c r="H57" i="40"/>
  <c r="I57" i="40" s="1"/>
  <c r="C57" i="40" s="1"/>
  <c r="H56" i="40"/>
  <c r="I56" i="40" s="1"/>
  <c r="C56" i="40" s="1"/>
  <c r="H55" i="40"/>
  <c r="I55" i="40"/>
  <c r="C55" i="40" s="1"/>
  <c r="H54" i="40"/>
  <c r="I54" i="40" s="1"/>
  <c r="C54" i="40"/>
  <c r="H53" i="40"/>
  <c r="I53" i="40" s="1"/>
  <c r="C53" i="40" s="1"/>
  <c r="H52" i="40"/>
  <c r="I52" i="40" s="1"/>
  <c r="C52" i="40" s="1"/>
  <c r="H65" i="39"/>
  <c r="I65" i="39"/>
  <c r="C65" i="39" s="1"/>
  <c r="H64" i="39"/>
  <c r="I64" i="39" s="1"/>
  <c r="C64" i="39"/>
  <c r="H60" i="39"/>
  <c r="I60" i="39" s="1"/>
  <c r="C60" i="39" s="1"/>
  <c r="H59" i="39"/>
  <c r="I59" i="39"/>
  <c r="C59" i="39" s="1"/>
  <c r="H58" i="39"/>
  <c r="I58" i="39"/>
  <c r="C58" i="39"/>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s="1"/>
  <c r="R266" i="31"/>
  <c r="R267" i="31"/>
  <c r="S267" i="31"/>
  <c r="R268" i="31"/>
  <c r="R269" i="31"/>
  <c r="S269" i="31"/>
  <c r="R270" i="31"/>
  <c r="R271" i="31"/>
  <c r="S271" i="31" s="1"/>
  <c r="R272" i="31"/>
  <c r="R273" i="31"/>
  <c r="S273" i="31"/>
  <c r="R274" i="31"/>
  <c r="R275" i="31"/>
  <c r="S275" i="3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c r="R292" i="31"/>
  <c r="R293" i="31"/>
  <c r="S293" i="31"/>
  <c r="R294" i="31"/>
  <c r="R295" i="31"/>
  <c r="S295" i="31" s="1"/>
  <c r="R296" i="31"/>
  <c r="R297" i="31"/>
  <c r="S297" i="31" s="1"/>
  <c r="R298" i="31"/>
  <c r="R299" i="31"/>
  <c r="S299" i="31"/>
  <c r="R300" i="31"/>
  <c r="R301" i="31"/>
  <c r="S301" i="31"/>
  <c r="R302" i="31"/>
  <c r="R303" i="31"/>
  <c r="S303" i="31" s="1"/>
  <c r="R304" i="31"/>
  <c r="R305" i="31"/>
  <c r="S305" i="31"/>
  <c r="R306" i="31"/>
  <c r="R307" i="31"/>
  <c r="S307" i="31" s="1"/>
  <c r="R308" i="31"/>
  <c r="R309" i="31"/>
  <c r="S309" i="31"/>
  <c r="R310" i="31"/>
  <c r="R311" i="31"/>
  <c r="S311" i="31" s="1"/>
  <c r="R312" i="31"/>
  <c r="R313" i="31"/>
  <c r="S313" i="31" s="1"/>
  <c r="R314" i="31"/>
  <c r="R315" i="31"/>
  <c r="S315" i="31"/>
  <c r="R316" i="31"/>
  <c r="R317" i="31"/>
  <c r="S317" i="31"/>
  <c r="R318" i="31"/>
  <c r="R319" i="31"/>
  <c r="S319" i="31" s="1"/>
  <c r="R320" i="31"/>
  <c r="R321" i="31"/>
  <c r="S321" i="31"/>
  <c r="R322" i="31"/>
  <c r="R323" i="31"/>
  <c r="S323" i="31"/>
  <c r="R324" i="31"/>
  <c r="R325" i="31"/>
  <c r="S325" i="31"/>
  <c r="R326" i="31"/>
  <c r="R327" i="31"/>
  <c r="S327" i="31" s="1"/>
  <c r="R328" i="31"/>
  <c r="R329" i="31"/>
  <c r="S329" i="31" s="1"/>
  <c r="R330" i="31"/>
  <c r="R331" i="31"/>
  <c r="S331" i="31"/>
  <c r="R332" i="31"/>
  <c r="R333" i="31"/>
  <c r="S333" i="31"/>
  <c r="R334" i="31"/>
  <c r="R335" i="31"/>
  <c r="S335" i="31" s="1"/>
  <c r="R336" i="31"/>
  <c r="R337" i="31"/>
  <c r="S337" i="31"/>
  <c r="R338" i="31"/>
  <c r="R339" i="31"/>
  <c r="S339" i="31"/>
  <c r="R340" i="31"/>
  <c r="R341" i="31"/>
  <c r="S341" i="31"/>
  <c r="R342" i="31"/>
  <c r="R343" i="31"/>
  <c r="S343" i="31" s="1"/>
  <c r="R344" i="31"/>
  <c r="R345" i="31"/>
  <c r="S345" i="31" s="1"/>
  <c r="R346" i="31"/>
  <c r="R347" i="31"/>
  <c r="S347" i="31" s="1"/>
  <c r="R348" i="31"/>
  <c r="R349" i="31"/>
  <c r="S349" i="31"/>
  <c r="R350" i="31"/>
  <c r="R351" i="31"/>
  <c r="S351" i="31"/>
  <c r="R352" i="31"/>
  <c r="R353" i="31"/>
  <c r="S353" i="31"/>
  <c r="R354" i="31"/>
  <c r="R355" i="31"/>
  <c r="S355" i="31" s="1"/>
  <c r="R356" i="31"/>
  <c r="R357" i="31"/>
  <c r="S357" i="31"/>
  <c r="R358" i="31"/>
  <c r="R359" i="31"/>
  <c r="S359" i="31" s="1"/>
  <c r="R360" i="31"/>
  <c r="R361" i="31"/>
  <c r="S361" i="31" s="1"/>
  <c r="R362" i="31"/>
  <c r="R363" i="31"/>
  <c r="S363" i="31"/>
  <c r="R364" i="31"/>
  <c r="R365" i="31"/>
  <c r="S365" i="31"/>
  <c r="R366" i="31"/>
  <c r="R367" i="31"/>
  <c r="S367" i="31" s="1"/>
  <c r="R368" i="31"/>
  <c r="R369" i="31"/>
  <c r="S369" i="31"/>
  <c r="R370" i="31"/>
  <c r="R371" i="31"/>
  <c r="S371" i="31"/>
  <c r="R372" i="31"/>
  <c r="R373" i="31"/>
  <c r="S373" i="31"/>
  <c r="R374" i="31"/>
  <c r="R375" i="31"/>
  <c r="S375" i="31" s="1"/>
  <c r="R376" i="31"/>
  <c r="R377" i="31"/>
  <c r="S377" i="31" s="1"/>
  <c r="R378" i="31"/>
  <c r="R379" i="31"/>
  <c r="S379" i="31"/>
  <c r="R380" i="31"/>
  <c r="R381" i="31"/>
  <c r="S381" i="31"/>
  <c r="R382" i="31"/>
  <c r="R383" i="31"/>
  <c r="S383" i="31" s="1"/>
  <c r="R384" i="31"/>
  <c r="R385" i="31"/>
  <c r="S385" i="31"/>
  <c r="R386" i="31"/>
  <c r="R387" i="31"/>
  <c r="S387" i="3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c r="D101" i="9"/>
  <c r="C101" i="9"/>
  <c r="D10" i="53"/>
  <c r="B26" i="72" s="1"/>
  <c r="C30" i="40"/>
  <c r="H30" i="40" s="1"/>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c r="G55" i="34"/>
  <c r="H55" i="34" s="1"/>
  <c r="E55" i="34"/>
  <c r="F55" i="34"/>
  <c r="I53" i="39"/>
  <c r="J53" i="39" s="1"/>
  <c r="G53" i="39"/>
  <c r="H53" i="39"/>
  <c r="E53" i="39"/>
  <c r="F53" i="39" s="1"/>
  <c r="I42" i="36"/>
  <c r="J42" i="36" s="1"/>
  <c r="G42" i="36"/>
  <c r="H42" i="36" s="1"/>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L494" i="3" s="1"/>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L500" i="3" s="1"/>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A502" i="3" s="1"/>
  <c r="BJ502" i="3"/>
  <c r="BK502" i="3"/>
  <c r="BM502" i="3"/>
  <c r="BN502" i="3"/>
  <c r="BO502" i="3"/>
  <c r="BP502" i="3"/>
  <c r="BQ502" i="3"/>
  <c r="BR502" i="3"/>
  <c r="BL502" i="3" s="1"/>
  <c r="BS502" i="3"/>
  <c r="BT502" i="3"/>
  <c r="H503" i="3"/>
  <c r="AC503" i="3"/>
  <c r="BB503" i="3"/>
  <c r="BC503" i="3"/>
  <c r="BD503" i="3"/>
  <c r="BE503" i="3"/>
  <c r="BA503" i="3" s="1"/>
  <c r="BF503" i="3"/>
  <c r="BG503" i="3"/>
  <c r="BH503" i="3"/>
  <c r="BI503" i="3"/>
  <c r="BJ503" i="3"/>
  <c r="BK503" i="3"/>
  <c r="BM503" i="3"/>
  <c r="BN503" i="3"/>
  <c r="BL503" i="3" s="1"/>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L504" i="3" s="1"/>
  <c r="BT504" i="3"/>
  <c r="H505" i="3"/>
  <c r="AC505" i="3"/>
  <c r="BB505" i="3"/>
  <c r="BC505" i="3"/>
  <c r="BD505" i="3"/>
  <c r="BE505" i="3"/>
  <c r="BF505" i="3"/>
  <c r="BA505" i="3" s="1"/>
  <c r="BG505" i="3"/>
  <c r="BH505" i="3"/>
  <c r="BI505" i="3"/>
  <c r="BJ505" i="3"/>
  <c r="BK505" i="3"/>
  <c r="BM505" i="3"/>
  <c r="BN505" i="3"/>
  <c r="BO505" i="3"/>
  <c r="BL505" i="3" s="1"/>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BL506" i="3" s="1"/>
  <c r="H507" i="3"/>
  <c r="AC507" i="3"/>
  <c r="BB507" i="3"/>
  <c r="BC507" i="3"/>
  <c r="BD507" i="3"/>
  <c r="BE507" i="3"/>
  <c r="BF507" i="3"/>
  <c r="BG507" i="3"/>
  <c r="BA507" i="3" s="1"/>
  <c r="BH507" i="3"/>
  <c r="BI507" i="3"/>
  <c r="BJ507" i="3"/>
  <c r="BK507" i="3"/>
  <c r="BM507" i="3"/>
  <c r="BN507" i="3"/>
  <c r="BO507" i="3"/>
  <c r="BP507" i="3"/>
  <c r="BL507" i="3" s="1"/>
  <c r="BR507" i="3"/>
  <c r="BS507" i="3"/>
  <c r="BT507" i="3"/>
  <c r="H508" i="3"/>
  <c r="AC508" i="3"/>
  <c r="BB508" i="3"/>
  <c r="BC508" i="3"/>
  <c r="BD508" i="3"/>
  <c r="BA508" i="3" s="1"/>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L509" i="3" s="1"/>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G511" i="3" s="1"/>
  <c r="AC511" i="3"/>
  <c r="BB511" i="3"/>
  <c r="BA511" i="3" s="1"/>
  <c r="BC511" i="3"/>
  <c r="BD511" i="3"/>
  <c r="BE511" i="3"/>
  <c r="BF511" i="3"/>
  <c r="BG511" i="3"/>
  <c r="BH511" i="3"/>
  <c r="BI511" i="3"/>
  <c r="BJ511" i="3"/>
  <c r="BK511" i="3"/>
  <c r="BM511" i="3"/>
  <c r="BN511" i="3"/>
  <c r="BO511" i="3"/>
  <c r="BP511" i="3"/>
  <c r="BR511" i="3"/>
  <c r="BS511" i="3"/>
  <c r="BT511" i="3"/>
  <c r="BL511" i="3" s="1"/>
  <c r="H512" i="3"/>
  <c r="AC512" i="3"/>
  <c r="BB512" i="3"/>
  <c r="BC512" i="3"/>
  <c r="BD512" i="3"/>
  <c r="BE512" i="3"/>
  <c r="BF512" i="3"/>
  <c r="BG512" i="3"/>
  <c r="BA512" i="3" s="1"/>
  <c r="BH512" i="3"/>
  <c r="BI512" i="3"/>
  <c r="BJ512" i="3"/>
  <c r="BK512" i="3"/>
  <c r="BM512" i="3"/>
  <c r="BN512" i="3"/>
  <c r="BO512" i="3"/>
  <c r="BP512" i="3"/>
  <c r="BL512" i="3" s="1"/>
  <c r="BQ512" i="3"/>
  <c r="BR512" i="3"/>
  <c r="BS512" i="3"/>
  <c r="BT512" i="3"/>
  <c r="H513" i="3"/>
  <c r="AC513" i="3"/>
  <c r="BB513" i="3"/>
  <c r="BC513" i="3"/>
  <c r="BA513" i="3" s="1"/>
  <c r="AZ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A514" i="3" s="1"/>
  <c r="AZ514" i="3" s="1"/>
  <c r="BI514" i="3"/>
  <c r="BJ514" i="3"/>
  <c r="BK514" i="3"/>
  <c r="BM514" i="3"/>
  <c r="BN514" i="3"/>
  <c r="BO514" i="3"/>
  <c r="BP514" i="3"/>
  <c r="BQ514" i="3"/>
  <c r="BL514" i="3" s="1"/>
  <c r="BR514" i="3"/>
  <c r="BS514" i="3"/>
  <c r="BT514" i="3"/>
  <c r="H515" i="3"/>
  <c r="AC515" i="3"/>
  <c r="BB515" i="3"/>
  <c r="BC515" i="3"/>
  <c r="BD515" i="3"/>
  <c r="BA515" i="3" s="1"/>
  <c r="BE515" i="3"/>
  <c r="BF515" i="3"/>
  <c r="BG515" i="3"/>
  <c r="BH515" i="3"/>
  <c r="BI515" i="3"/>
  <c r="BJ515" i="3"/>
  <c r="BK515" i="3"/>
  <c r="BM515" i="3"/>
  <c r="BL515" i="3" s="1"/>
  <c r="BN515" i="3"/>
  <c r="BO515" i="3"/>
  <c r="BP515" i="3"/>
  <c r="BR515" i="3"/>
  <c r="BS515" i="3"/>
  <c r="BT515" i="3"/>
  <c r="H516" i="3"/>
  <c r="AC516" i="3"/>
  <c r="G516" i="3" s="1"/>
  <c r="BB516" i="3"/>
  <c r="BC516" i="3"/>
  <c r="BD516" i="3"/>
  <c r="BE516" i="3"/>
  <c r="BF516" i="3"/>
  <c r="BG516" i="3"/>
  <c r="BH516" i="3"/>
  <c r="BI516" i="3"/>
  <c r="BA516" i="3" s="1"/>
  <c r="BJ516" i="3"/>
  <c r="BK516" i="3"/>
  <c r="BM516" i="3"/>
  <c r="BN516" i="3"/>
  <c r="BO516" i="3"/>
  <c r="BP516" i="3"/>
  <c r="BQ516" i="3"/>
  <c r="BR516" i="3"/>
  <c r="BL516" i="3" s="1"/>
  <c r="BS516" i="3"/>
  <c r="BT516" i="3"/>
  <c r="H517" i="3"/>
  <c r="AC517" i="3"/>
  <c r="BB517" i="3"/>
  <c r="BC517" i="3"/>
  <c r="BD517" i="3"/>
  <c r="BE517" i="3"/>
  <c r="BA517" i="3" s="1"/>
  <c r="BF517" i="3"/>
  <c r="BG517" i="3"/>
  <c r="BH517" i="3"/>
  <c r="BI517" i="3"/>
  <c r="BJ517" i="3"/>
  <c r="BK517" i="3"/>
  <c r="BM517" i="3"/>
  <c r="BN517" i="3"/>
  <c r="BL517" i="3" s="1"/>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L518" i="3" s="1"/>
  <c r="BT518" i="3"/>
  <c r="H519" i="3"/>
  <c r="AC519" i="3"/>
  <c r="BB519" i="3"/>
  <c r="BC519" i="3"/>
  <c r="BD519" i="3"/>
  <c r="BE519" i="3"/>
  <c r="BF519" i="3"/>
  <c r="BA519" i="3" s="1"/>
  <c r="AZ519" i="3" s="1"/>
  <c r="BG519" i="3"/>
  <c r="BH519" i="3"/>
  <c r="BI519" i="3"/>
  <c r="BJ519" i="3"/>
  <c r="BK519" i="3"/>
  <c r="BM519" i="3"/>
  <c r="BN519" i="3"/>
  <c r="BO519" i="3"/>
  <c r="BL519" i="3" s="1"/>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BL520" i="3" s="1"/>
  <c r="H521" i="3"/>
  <c r="BB521" i="3"/>
  <c r="BC521" i="3"/>
  <c r="BD521" i="3"/>
  <c r="BE521" i="3"/>
  <c r="BF521" i="3"/>
  <c r="BG521" i="3"/>
  <c r="BH521" i="3"/>
  <c r="BA521" i="3" s="1"/>
  <c r="BI521" i="3"/>
  <c r="BJ521" i="3"/>
  <c r="BK521" i="3"/>
  <c r="BM521" i="3"/>
  <c r="BN521" i="3"/>
  <c r="BO521" i="3"/>
  <c r="BP521" i="3"/>
  <c r="BR521" i="3"/>
  <c r="BL521" i="3" s="1"/>
  <c r="BS521" i="3"/>
  <c r="BT521" i="3"/>
  <c r="H522" i="3"/>
  <c r="AC522" i="3"/>
  <c r="BB522" i="3"/>
  <c r="BC522" i="3"/>
  <c r="BD522" i="3"/>
  <c r="BE522" i="3"/>
  <c r="BF522" i="3"/>
  <c r="BG522" i="3"/>
  <c r="BH522" i="3"/>
  <c r="BI522" i="3"/>
  <c r="BJ522" i="3"/>
  <c r="BK522" i="3"/>
  <c r="BM522" i="3"/>
  <c r="BN522" i="3"/>
  <c r="BL522" i="3" s="1"/>
  <c r="BO522" i="3"/>
  <c r="BP522" i="3"/>
  <c r="BQ522" i="3"/>
  <c r="BR522" i="3"/>
  <c r="BS522" i="3"/>
  <c r="BT522" i="3"/>
  <c r="H523" i="3"/>
  <c r="AC523" i="3"/>
  <c r="BB523" i="3"/>
  <c r="BC523" i="3"/>
  <c r="BD523" i="3"/>
  <c r="BE523" i="3"/>
  <c r="BF523" i="3"/>
  <c r="BG523" i="3"/>
  <c r="BH523" i="3"/>
  <c r="BI523" i="3"/>
  <c r="BA523" i="3" s="1"/>
  <c r="BJ523" i="3"/>
  <c r="BK523" i="3"/>
  <c r="BM523" i="3"/>
  <c r="BN523" i="3"/>
  <c r="BO523" i="3"/>
  <c r="BP523" i="3"/>
  <c r="BR523" i="3"/>
  <c r="BS523" i="3"/>
  <c r="BL523" i="3" s="1"/>
  <c r="BT523" i="3"/>
  <c r="H524" i="3"/>
  <c r="AC524" i="3"/>
  <c r="BB524" i="3"/>
  <c r="BC524" i="3"/>
  <c r="BD524" i="3"/>
  <c r="BE524" i="3"/>
  <c r="BF524" i="3"/>
  <c r="BA524" i="3" s="1"/>
  <c r="BG524" i="3"/>
  <c r="BH524" i="3"/>
  <c r="BI524" i="3"/>
  <c r="BJ524" i="3"/>
  <c r="BK524" i="3"/>
  <c r="BM524" i="3"/>
  <c r="BN524" i="3"/>
  <c r="BO524" i="3"/>
  <c r="BP524" i="3"/>
  <c r="BQ524" i="3"/>
  <c r="BR524" i="3"/>
  <c r="BS524" i="3"/>
  <c r="BT524" i="3"/>
  <c r="H525" i="3"/>
  <c r="G525" i="3" s="1"/>
  <c r="AC525" i="3"/>
  <c r="BB525" i="3"/>
  <c r="BA525" i="3" s="1"/>
  <c r="AZ525" i="3" s="1"/>
  <c r="BC525" i="3"/>
  <c r="BD525" i="3"/>
  <c r="BE525" i="3"/>
  <c r="BF525" i="3"/>
  <c r="BG525" i="3"/>
  <c r="BH525" i="3"/>
  <c r="BI525" i="3"/>
  <c r="BJ525" i="3"/>
  <c r="BK525" i="3"/>
  <c r="BM525" i="3"/>
  <c r="BN525" i="3"/>
  <c r="BO525" i="3"/>
  <c r="BP525" i="3"/>
  <c r="BR525" i="3"/>
  <c r="BS525" i="3"/>
  <c r="BT525" i="3"/>
  <c r="BL525" i="3" s="1"/>
  <c r="H526" i="3"/>
  <c r="G526" i="3" s="1"/>
  <c r="AC526" i="3"/>
  <c r="BB526" i="3"/>
  <c r="BC526" i="3"/>
  <c r="BD526" i="3"/>
  <c r="BE526" i="3"/>
  <c r="BF526" i="3"/>
  <c r="BG526" i="3"/>
  <c r="BA526" i="3" s="1"/>
  <c r="BH526" i="3"/>
  <c r="BI526" i="3"/>
  <c r="BJ526" i="3"/>
  <c r="BK526" i="3"/>
  <c r="BM526" i="3"/>
  <c r="BN526" i="3"/>
  <c r="BO526" i="3"/>
  <c r="BP526" i="3"/>
  <c r="BQ526" i="3"/>
  <c r="BR526" i="3"/>
  <c r="BS526" i="3"/>
  <c r="BT526" i="3"/>
  <c r="H527" i="3"/>
  <c r="AC527" i="3"/>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A528" i="3" s="1"/>
  <c r="AZ528" i="3" s="1"/>
  <c r="BI528" i="3"/>
  <c r="BJ528" i="3"/>
  <c r="BK528" i="3"/>
  <c r="BM528" i="3"/>
  <c r="BN528" i="3"/>
  <c r="BO528" i="3"/>
  <c r="BP528" i="3"/>
  <c r="BQ528" i="3"/>
  <c r="BL528" i="3" s="1"/>
  <c r="BR528" i="3"/>
  <c r="BS528" i="3"/>
  <c r="BT528" i="3"/>
  <c r="H529" i="3"/>
  <c r="AC529" i="3"/>
  <c r="BB529" i="3"/>
  <c r="BC529" i="3"/>
  <c r="BD529" i="3"/>
  <c r="BA529" i="3" s="1"/>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A531" i="3" s="1"/>
  <c r="AZ531" i="3" s="1"/>
  <c r="BF531" i="3"/>
  <c r="BG531" i="3"/>
  <c r="BH531" i="3"/>
  <c r="BI531" i="3"/>
  <c r="BJ531" i="3"/>
  <c r="BK531" i="3"/>
  <c r="BM531" i="3"/>
  <c r="BN531" i="3"/>
  <c r="BL531" i="3" s="1"/>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L532" i="3" s="1"/>
  <c r="BT532" i="3"/>
  <c r="H533" i="3"/>
  <c r="AC533" i="3"/>
  <c r="BB533" i="3"/>
  <c r="BC533" i="3"/>
  <c r="BD533" i="3"/>
  <c r="BE533" i="3"/>
  <c r="BF533" i="3"/>
  <c r="BA533" i="3" s="1"/>
  <c r="BG533" i="3"/>
  <c r="BH533" i="3"/>
  <c r="BI533" i="3"/>
  <c r="BJ533" i="3"/>
  <c r="BK533" i="3"/>
  <c r="BM533" i="3"/>
  <c r="BN533" i="3"/>
  <c r="BO533" i="3"/>
  <c r="BL533" i="3" s="1"/>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BL534" i="3" s="1"/>
  <c r="H535" i="3"/>
  <c r="AC535" i="3"/>
  <c r="BB535" i="3"/>
  <c r="BC535" i="3"/>
  <c r="BD535" i="3"/>
  <c r="BE535" i="3"/>
  <c r="BF535" i="3"/>
  <c r="BG535" i="3"/>
  <c r="BA535" i="3" s="1"/>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A537" i="3" s="1"/>
  <c r="BI537" i="3"/>
  <c r="BJ537" i="3"/>
  <c r="BK537" i="3"/>
  <c r="BM537" i="3"/>
  <c r="BN537" i="3"/>
  <c r="BO537" i="3"/>
  <c r="BP537" i="3"/>
  <c r="BR537" i="3"/>
  <c r="BL537" i="3" s="1"/>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A539" i="3" s="1"/>
  <c r="AZ539" i="3" s="1"/>
  <c r="BJ539" i="3"/>
  <c r="BK539" i="3"/>
  <c r="BM539" i="3"/>
  <c r="BN539" i="3"/>
  <c r="BO539" i="3"/>
  <c r="BP539" i="3"/>
  <c r="BR539" i="3"/>
  <c r="BS539" i="3"/>
  <c r="BL539" i="3" s="1"/>
  <c r="BT539" i="3"/>
  <c r="H540" i="3"/>
  <c r="AC540" i="3"/>
  <c r="BB540" i="3"/>
  <c r="BC540" i="3"/>
  <c r="BD540" i="3"/>
  <c r="BE540" i="3"/>
  <c r="BF540" i="3"/>
  <c r="BA540" i="3" s="1"/>
  <c r="AZ540" i="3" s="1"/>
  <c r="BG540" i="3"/>
  <c r="BH540" i="3"/>
  <c r="BI540" i="3"/>
  <c r="BJ540" i="3"/>
  <c r="BK540" i="3"/>
  <c r="BM540" i="3"/>
  <c r="BN540" i="3"/>
  <c r="BO540" i="3"/>
  <c r="BL540" i="3" s="1"/>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A542" i="3" s="1"/>
  <c r="BG542" i="3"/>
  <c r="BH542" i="3"/>
  <c r="BI542" i="3"/>
  <c r="BJ542" i="3"/>
  <c r="BK542" i="3"/>
  <c r="BM542" i="3"/>
  <c r="BN542" i="3"/>
  <c r="BO542" i="3"/>
  <c r="BL542" i="3" s="1"/>
  <c r="BP542" i="3"/>
  <c r="BQ542" i="3"/>
  <c r="BR542" i="3"/>
  <c r="BS542" i="3"/>
  <c r="BT542" i="3"/>
  <c r="H543" i="3"/>
  <c r="AC543" i="3"/>
  <c r="BB543" i="3"/>
  <c r="BA543" i="3" s="1"/>
  <c r="AZ543" i="3" s="1"/>
  <c r="BC543" i="3"/>
  <c r="BD543" i="3"/>
  <c r="BE543" i="3"/>
  <c r="BF543" i="3"/>
  <c r="BG543" i="3"/>
  <c r="BH543" i="3"/>
  <c r="BI543" i="3"/>
  <c r="BJ543" i="3"/>
  <c r="BK543" i="3"/>
  <c r="BM543" i="3"/>
  <c r="BN543" i="3"/>
  <c r="BO543" i="3"/>
  <c r="BP543" i="3"/>
  <c r="BR543" i="3"/>
  <c r="BS543" i="3"/>
  <c r="BT543" i="3"/>
  <c r="BL543" i="3" s="1"/>
  <c r="H544" i="3"/>
  <c r="AC544" i="3"/>
  <c r="BB544" i="3"/>
  <c r="BC544" i="3"/>
  <c r="BD544" i="3"/>
  <c r="BE544" i="3"/>
  <c r="BF544" i="3"/>
  <c r="BG544" i="3"/>
  <c r="BA544" i="3" s="1"/>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A546" i="3" s="1"/>
  <c r="AZ546" i="3" s="1"/>
  <c r="BI546" i="3"/>
  <c r="BJ546" i="3"/>
  <c r="BK546" i="3"/>
  <c r="BM546" i="3"/>
  <c r="BN546" i="3"/>
  <c r="BO546" i="3"/>
  <c r="BP546" i="3"/>
  <c r="BQ546" i="3"/>
  <c r="BL546" i="3" s="1"/>
  <c r="BR546" i="3"/>
  <c r="BS546" i="3"/>
  <c r="BT546" i="3"/>
  <c r="H547" i="3"/>
  <c r="AC547" i="3"/>
  <c r="BB547" i="3"/>
  <c r="BC547" i="3"/>
  <c r="BD547" i="3"/>
  <c r="BA547" i="3" s="1"/>
  <c r="BE547" i="3"/>
  <c r="BF547" i="3"/>
  <c r="BG547" i="3"/>
  <c r="BH547" i="3"/>
  <c r="BI547" i="3"/>
  <c r="BJ547" i="3"/>
  <c r="BK547" i="3"/>
  <c r="BM547" i="3"/>
  <c r="BL547" i="3" s="1"/>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BL552" i="3" s="1"/>
  <c r="H553" i="3"/>
  <c r="AC553" i="3"/>
  <c r="BB553" i="3"/>
  <c r="BC553" i="3"/>
  <c r="BD553" i="3"/>
  <c r="BE553" i="3"/>
  <c r="BF553" i="3"/>
  <c r="BG553" i="3"/>
  <c r="BA553" i="3" s="1"/>
  <c r="AZ553" i="3" s="1"/>
  <c r="BH553" i="3"/>
  <c r="BI553" i="3"/>
  <c r="BJ553" i="3"/>
  <c r="BK553" i="3"/>
  <c r="BM553" i="3"/>
  <c r="BN553" i="3"/>
  <c r="BO553" i="3"/>
  <c r="BP553" i="3"/>
  <c r="BL553" i="3" s="1"/>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A557" i="3" s="1"/>
  <c r="BJ557" i="3"/>
  <c r="BK557" i="3"/>
  <c r="BM557" i="3"/>
  <c r="BN557" i="3"/>
  <c r="BO557" i="3"/>
  <c r="BP557" i="3"/>
  <c r="BR557" i="3"/>
  <c r="BS557" i="3"/>
  <c r="BT557" i="3"/>
  <c r="H558" i="3"/>
  <c r="AC558" i="3"/>
  <c r="G558" i="3"/>
  <c r="BB558" i="3"/>
  <c r="BC558" i="3"/>
  <c r="BD558" i="3"/>
  <c r="BE558" i="3"/>
  <c r="BA558" i="3" s="1"/>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A559" i="3" s="1"/>
  <c r="BJ559" i="3"/>
  <c r="BK559" i="3"/>
  <c r="BM559" i="3"/>
  <c r="BN559" i="3"/>
  <c r="BO559" i="3"/>
  <c r="BP559" i="3"/>
  <c r="BR559" i="3"/>
  <c r="BS559" i="3"/>
  <c r="BT559" i="3"/>
  <c r="H560" i="3"/>
  <c r="AC560" i="3"/>
  <c r="BB560" i="3"/>
  <c r="BC560" i="3"/>
  <c r="BD560" i="3"/>
  <c r="BE560" i="3"/>
  <c r="BF560" i="3"/>
  <c r="BA560" i="3" s="1"/>
  <c r="AZ560" i="3" s="1"/>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BL563" i="3" s="1"/>
  <c r="H564" i="3"/>
  <c r="G564" i="3" s="1"/>
  <c r="AC564" i="3"/>
  <c r="BB564" i="3"/>
  <c r="BC564" i="3"/>
  <c r="BD564" i="3"/>
  <c r="BE564" i="3"/>
  <c r="BF564" i="3"/>
  <c r="BG564" i="3"/>
  <c r="BA564" i="3" s="1"/>
  <c r="BH564" i="3"/>
  <c r="BI564" i="3"/>
  <c r="BJ564" i="3"/>
  <c r="BK564" i="3"/>
  <c r="BM564" i="3"/>
  <c r="BN564" i="3"/>
  <c r="BO564" i="3"/>
  <c r="BP564" i="3"/>
  <c r="BL564" i="3" s="1"/>
  <c r="BQ564" i="3"/>
  <c r="BR564" i="3"/>
  <c r="BS564" i="3"/>
  <c r="BT564" i="3"/>
  <c r="H565" i="3"/>
  <c r="AC565" i="3"/>
  <c r="BB565" i="3"/>
  <c r="BC565" i="3"/>
  <c r="BA565" i="3" s="1"/>
  <c r="AZ565" i="3" s="1"/>
  <c r="BD565" i="3"/>
  <c r="BE565" i="3"/>
  <c r="BF565" i="3"/>
  <c r="BG565" i="3"/>
  <c r="BH565" i="3"/>
  <c r="BI565" i="3"/>
  <c r="BJ565" i="3"/>
  <c r="BK565" i="3"/>
  <c r="BM565" i="3"/>
  <c r="BL565" i="3" s="1"/>
  <c r="BN565" i="3"/>
  <c r="BO565" i="3"/>
  <c r="BP565" i="3"/>
  <c r="BR565" i="3"/>
  <c r="BS565" i="3"/>
  <c r="BT565" i="3"/>
  <c r="H566" i="3"/>
  <c r="G566" i="3" s="1"/>
  <c r="AC566" i="3"/>
  <c r="BB566" i="3"/>
  <c r="BC566" i="3"/>
  <c r="BD566" i="3"/>
  <c r="BE566" i="3"/>
  <c r="BF566" i="3"/>
  <c r="BG566" i="3"/>
  <c r="BH566" i="3"/>
  <c r="BA566" i="3" s="1"/>
  <c r="AZ566" i="3" s="1"/>
  <c r="BI566" i="3"/>
  <c r="BJ566" i="3"/>
  <c r="BK566" i="3"/>
  <c r="BM566" i="3"/>
  <c r="BN566" i="3"/>
  <c r="BO566" i="3"/>
  <c r="BP566" i="3"/>
  <c r="BQ566" i="3"/>
  <c r="BL566" i="3" s="1"/>
  <c r="BR566" i="3"/>
  <c r="BS566" i="3"/>
  <c r="BT566" i="3"/>
  <c r="H567" i="3"/>
  <c r="AC567" i="3"/>
  <c r="BB567" i="3"/>
  <c r="BC567" i="3"/>
  <c r="BD567" i="3"/>
  <c r="BA567" i="3" s="1"/>
  <c r="AZ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A569" i="3" s="1"/>
  <c r="AZ569" i="3" s="1"/>
  <c r="BF569" i="3"/>
  <c r="BG569" i="3"/>
  <c r="BH569" i="3"/>
  <c r="BI569" i="3"/>
  <c r="BJ569" i="3"/>
  <c r="BK569" i="3"/>
  <c r="BM569" i="3"/>
  <c r="BN569" i="3"/>
  <c r="BL569" i="3" s="1"/>
  <c r="BO569" i="3"/>
  <c r="BP569" i="3"/>
  <c r="BR569" i="3"/>
  <c r="BS569" i="3"/>
  <c r="BT569" i="3"/>
  <c r="H570" i="3"/>
  <c r="AC570" i="3"/>
  <c r="G570" i="3"/>
  <c r="BB570" i="3"/>
  <c r="BC570" i="3"/>
  <c r="BD570" i="3"/>
  <c r="BE570" i="3"/>
  <c r="BF570" i="3"/>
  <c r="BG570" i="3"/>
  <c r="BH570" i="3"/>
  <c r="BI570" i="3"/>
  <c r="BA570" i="3" s="1"/>
  <c r="BJ570" i="3"/>
  <c r="BK570" i="3"/>
  <c r="BM570" i="3"/>
  <c r="BN570" i="3"/>
  <c r="BO570" i="3"/>
  <c r="BP570" i="3"/>
  <c r="BQ570" i="3"/>
  <c r="BR570" i="3"/>
  <c r="BL570" i="3" s="1"/>
  <c r="BS570" i="3"/>
  <c r="BT570" i="3"/>
  <c r="H571" i="3"/>
  <c r="AC571" i="3"/>
  <c r="G571" i="3" s="1"/>
  <c r="BB571" i="3"/>
  <c r="BC571" i="3"/>
  <c r="BD571" i="3"/>
  <c r="BE571" i="3"/>
  <c r="BF571" i="3"/>
  <c r="BG571" i="3"/>
  <c r="BH571" i="3"/>
  <c r="BI571" i="3"/>
  <c r="BJ571" i="3"/>
  <c r="BK571" i="3"/>
  <c r="BM571" i="3"/>
  <c r="BN571" i="3"/>
  <c r="BL571" i="3" s="1"/>
  <c r="BO571" i="3"/>
  <c r="BP571" i="3"/>
  <c r="BR571" i="3"/>
  <c r="BS571" i="3"/>
  <c r="BT571" i="3"/>
  <c r="H572" i="3"/>
  <c r="AC572" i="3"/>
  <c r="BB572" i="3"/>
  <c r="BA572" i="3" s="1"/>
  <c r="AZ572" i="3" s="1"/>
  <c r="BC572" i="3"/>
  <c r="BD572" i="3"/>
  <c r="BE572" i="3"/>
  <c r="BF572" i="3"/>
  <c r="BG572" i="3"/>
  <c r="BH572" i="3"/>
  <c r="BI572" i="3"/>
  <c r="BJ572" i="3"/>
  <c r="BK572" i="3"/>
  <c r="BM572" i="3"/>
  <c r="BN572" i="3"/>
  <c r="BO572" i="3"/>
  <c r="BP572" i="3"/>
  <c r="BQ572" i="3"/>
  <c r="BR572" i="3"/>
  <c r="BS572" i="3"/>
  <c r="BL572" i="3" s="1"/>
  <c r="BT572" i="3"/>
  <c r="H573" i="3"/>
  <c r="AC573" i="3"/>
  <c r="BB573" i="3"/>
  <c r="BC573" i="3"/>
  <c r="BD573" i="3"/>
  <c r="BE573" i="3"/>
  <c r="BF573" i="3"/>
  <c r="BA573" i="3" s="1"/>
  <c r="BG573" i="3"/>
  <c r="BH573" i="3"/>
  <c r="BI573" i="3"/>
  <c r="BJ573" i="3"/>
  <c r="BK573" i="3"/>
  <c r="BM573" i="3"/>
  <c r="BN573" i="3"/>
  <c r="BO573" i="3"/>
  <c r="BL573" i="3" s="1"/>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L574" i="3" s="1"/>
  <c r="BT574" i="3"/>
  <c r="H575" i="3"/>
  <c r="AC575" i="3"/>
  <c r="BB575" i="3"/>
  <c r="BC575" i="3"/>
  <c r="BD575" i="3"/>
  <c r="BE575" i="3"/>
  <c r="BF575" i="3"/>
  <c r="BA575" i="3" s="1"/>
  <c r="AZ575" i="3" s="1"/>
  <c r="BG575" i="3"/>
  <c r="BH575" i="3"/>
  <c r="BI575" i="3"/>
  <c r="BJ575" i="3"/>
  <c r="BK575" i="3"/>
  <c r="BM575" i="3"/>
  <c r="BN575" i="3"/>
  <c r="BO575" i="3"/>
  <c r="BL575" i="3" s="1"/>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BL576" i="3" s="1"/>
  <c r="H577" i="3"/>
  <c r="AC577" i="3"/>
  <c r="BB577" i="3"/>
  <c r="BC577" i="3"/>
  <c r="BD577" i="3"/>
  <c r="BE577" i="3"/>
  <c r="BF577" i="3"/>
  <c r="BG577" i="3"/>
  <c r="BA577" i="3" s="1"/>
  <c r="BH577" i="3"/>
  <c r="BI577" i="3"/>
  <c r="BJ577" i="3"/>
  <c r="BK577" i="3"/>
  <c r="BM577" i="3"/>
  <c r="BN577" i="3"/>
  <c r="BO577" i="3"/>
  <c r="BP577" i="3"/>
  <c r="BL577" i="3" s="1"/>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A583" i="3" s="1"/>
  <c r="BJ583" i="3"/>
  <c r="BK583" i="3"/>
  <c r="BM583" i="3"/>
  <c r="BN583" i="3"/>
  <c r="BO583" i="3"/>
  <c r="BP583" i="3"/>
  <c r="BR583" i="3"/>
  <c r="BS583" i="3"/>
  <c r="BL583" i="3" s="1"/>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10" i="39"/>
  <c r="H35" i="39" s="1"/>
  <c r="AB35" i="39" s="1"/>
  <c r="B112" i="39"/>
  <c r="H36" i="39" s="1"/>
  <c r="J30" i="36"/>
  <c r="H30" i="36"/>
  <c r="F30" i="36"/>
  <c r="AA30" i="36"/>
  <c r="C26" i="35"/>
  <c r="C79" i="35"/>
  <c r="J31" i="35"/>
  <c r="AC31" i="35" s="1"/>
  <c r="W31" i="35"/>
  <c r="H31" i="35"/>
  <c r="F31" i="35"/>
  <c r="D87" i="35"/>
  <c r="E87" i="35"/>
  <c r="F87" i="35" s="1"/>
  <c r="G87" i="35" s="1"/>
  <c r="H87" i="35" s="1"/>
  <c r="I87" i="35" s="1"/>
  <c r="J87" i="35" s="1"/>
  <c r="K87" i="35" s="1"/>
  <c r="L87" i="35" s="1"/>
  <c r="M87" i="35" s="1"/>
  <c r="H34" i="37"/>
  <c r="D101" i="37"/>
  <c r="E101" i="37" s="1"/>
  <c r="F101" i="37" s="1"/>
  <c r="G101" i="37" s="1"/>
  <c r="H101" i="37" s="1"/>
  <c r="F34" i="37"/>
  <c r="S34" i="37" s="1"/>
  <c r="D99" i="37"/>
  <c r="E99" i="37" s="1"/>
  <c r="F99" i="37"/>
  <c r="G99" i="37" s="1"/>
  <c r="H99" i="37" s="1"/>
  <c r="I99" i="37" s="1"/>
  <c r="J99" i="37" s="1"/>
  <c r="K99" i="37" s="1"/>
  <c r="L99" i="37" s="1"/>
  <c r="M99" i="37" s="1"/>
  <c r="H42" i="34"/>
  <c r="J42" i="34"/>
  <c r="W42" i="34"/>
  <c r="F42" i="34"/>
  <c r="J38" i="34"/>
  <c r="W38" i="34"/>
  <c r="D114" i="34"/>
  <c r="F38" i="34"/>
  <c r="S38" i="34"/>
  <c r="D112" i="34"/>
  <c r="E112" i="34"/>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c r="D81" i="39"/>
  <c r="E81" i="39" s="1"/>
  <c r="F81" i="39" s="1"/>
  <c r="G81" i="39" s="1"/>
  <c r="H81" i="39" s="1"/>
  <c r="I81" i="39" s="1"/>
  <c r="J81" i="39" s="1"/>
  <c r="K81" i="39" s="1"/>
  <c r="L81" i="39" s="1"/>
  <c r="M81" i="39" s="1"/>
  <c r="D76" i="40"/>
  <c r="E76" i="40" s="1"/>
  <c r="B120" i="40"/>
  <c r="B118" i="40"/>
  <c r="H39" i="40" s="1"/>
  <c r="U39" i="40" s="1"/>
  <c r="J39" i="40"/>
  <c r="AC39" i="40" s="1"/>
  <c r="B116" i="40"/>
  <c r="J38" i="40" s="1"/>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M107" i="40"/>
  <c r="L107" i="40"/>
  <c r="K107" i="40"/>
  <c r="J107" i="40"/>
  <c r="H107" i="40"/>
  <c r="G107" i="40"/>
  <c r="F107" i="40"/>
  <c r="E107" i="40"/>
  <c r="D107" i="40"/>
  <c r="C107" i="40"/>
  <c r="B105" i="40"/>
  <c r="J33" i="40"/>
  <c r="W33" i="40"/>
  <c r="B103" i="40"/>
  <c r="J32" i="40" s="1"/>
  <c r="AC32" i="40"/>
  <c r="B101" i="40"/>
  <c r="J31" i="40" s="1"/>
  <c r="AC31" i="40" s="1"/>
  <c r="D100" i="40"/>
  <c r="E100" i="40"/>
  <c r="F100" i="40" s="1"/>
  <c r="G100" i="40" s="1"/>
  <c r="H100" i="40" s="1"/>
  <c r="I100" i="40" s="1"/>
  <c r="J100" i="40" s="1"/>
  <c r="K100" i="40" s="1"/>
  <c r="L100" i="40" s="1"/>
  <c r="M100" i="40" s="1"/>
  <c r="D98" i="40"/>
  <c r="D96" i="40"/>
  <c r="E96" i="40" s="1"/>
  <c r="B95" i="40"/>
  <c r="D92" i="40"/>
  <c r="E92" i="40"/>
  <c r="F92" i="40" s="1"/>
  <c r="G92" i="40" s="1"/>
  <c r="D90" i="40"/>
  <c r="E90" i="40" s="1"/>
  <c r="F90" i="40" s="1"/>
  <c r="G90" i="40" s="1"/>
  <c r="D88" i="40"/>
  <c r="J19" i="40" s="1"/>
  <c r="D86" i="40"/>
  <c r="E86" i="40" s="1"/>
  <c r="F86" i="40" s="1"/>
  <c r="G86" i="40" s="1"/>
  <c r="D84" i="40"/>
  <c r="B81" i="40"/>
  <c r="B79" i="40"/>
  <c r="B77" i="40"/>
  <c r="J12" i="40"/>
  <c r="M74" i="40"/>
  <c r="L74" i="40"/>
  <c r="K74" i="40"/>
  <c r="J74" i="40"/>
  <c r="I74" i="40"/>
  <c r="H74" i="40"/>
  <c r="G74" i="40"/>
  <c r="F74" i="40"/>
  <c r="E74" i="40"/>
  <c r="D74" i="40"/>
  <c r="C74" i="40"/>
  <c r="P43" i="40"/>
  <c r="P42" i="40"/>
  <c r="P41" i="40"/>
  <c r="Q40" i="40"/>
  <c r="Z40" i="40"/>
  <c r="H40" i="40"/>
  <c r="AB40" i="40" s="1"/>
  <c r="Q39" i="40"/>
  <c r="Z39" i="40" s="1"/>
  <c r="Q38" i="40"/>
  <c r="Z38" i="40"/>
  <c r="H38" i="40"/>
  <c r="AB38" i="40"/>
  <c r="Q37" i="40"/>
  <c r="Z37" i="40"/>
  <c r="Q36" i="40"/>
  <c r="Z36" i="40"/>
  <c r="Q35" i="40"/>
  <c r="Z35" i="40"/>
  <c r="Q34" i="40"/>
  <c r="Z34" i="40"/>
  <c r="Q33" i="40"/>
  <c r="Z33" i="40" s="1"/>
  <c r="Q32" i="40"/>
  <c r="Z32" i="40"/>
  <c r="Q31" i="40"/>
  <c r="Z31" i="40" s="1"/>
  <c r="Q30" i="40"/>
  <c r="Z30" i="40"/>
  <c r="Q28" i="40"/>
  <c r="Z28" i="40" s="1"/>
  <c r="Q27" i="40"/>
  <c r="Z27" i="40"/>
  <c r="Q23" i="40"/>
  <c r="Z23" i="40" s="1"/>
  <c r="Q21" i="40"/>
  <c r="Z21" i="40" s="1"/>
  <c r="Q19" i="40"/>
  <c r="Z19" i="40" s="1"/>
  <c r="Q17" i="40"/>
  <c r="Z17" i="40"/>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c r="F38" i="39"/>
  <c r="D124" i="39"/>
  <c r="E124" i="39" s="1"/>
  <c r="F124" i="39"/>
  <c r="G124" i="39" s="1"/>
  <c r="H124" i="39" s="1"/>
  <c r="I124" i="39" s="1"/>
  <c r="J124" i="39" s="1"/>
  <c r="K124" i="39" s="1"/>
  <c r="L124" i="39" s="1"/>
  <c r="M124" i="39" s="1"/>
  <c r="D120" i="39"/>
  <c r="E120" i="39" s="1"/>
  <c r="F120" i="39" s="1"/>
  <c r="G120" i="39"/>
  <c r="H120" i="39" s="1"/>
  <c r="I120" i="39" s="1"/>
  <c r="J120" i="39" s="1"/>
  <c r="K120" i="39" s="1"/>
  <c r="L120" i="39" s="1"/>
  <c r="M120" i="39" s="1"/>
  <c r="B114" i="39"/>
  <c r="J37" i="39"/>
  <c r="D109" i="39"/>
  <c r="F34" i="39"/>
  <c r="AA34" i="39"/>
  <c r="D107" i="39"/>
  <c r="E107" i="39" s="1"/>
  <c r="D105" i="39"/>
  <c r="E105" i="39"/>
  <c r="F105" i="39" s="1"/>
  <c r="G105" i="39" s="1"/>
  <c r="H105" i="39" s="1"/>
  <c r="I105" i="39"/>
  <c r="J105" i="39"/>
  <c r="K105" i="39" s="1"/>
  <c r="L105" i="39" s="1"/>
  <c r="M105" i="39" s="1"/>
  <c r="D101" i="39"/>
  <c r="D99" i="39"/>
  <c r="E99" i="39" s="1"/>
  <c r="F99" i="39"/>
  <c r="G99" i="39" s="1"/>
  <c r="Q39" i="39"/>
  <c r="Z39" i="39" s="1"/>
  <c r="Q40" i="39"/>
  <c r="Z40" i="39" s="1"/>
  <c r="Q41" i="39"/>
  <c r="Z41" i="39" s="1"/>
  <c r="Q42" i="39"/>
  <c r="Z42" i="39"/>
  <c r="Q43" i="39"/>
  <c r="Z43" i="39" s="1"/>
  <c r="Q44" i="39"/>
  <c r="Z44" i="39"/>
  <c r="Q45" i="39"/>
  <c r="Z45" i="39" s="1"/>
  <c r="Q38" i="39"/>
  <c r="Z38" i="39" s="1"/>
  <c r="Q36" i="39"/>
  <c r="Z36" i="39" s="1"/>
  <c r="Q37" i="39"/>
  <c r="Z37" i="39"/>
  <c r="B131" i="39"/>
  <c r="H45" i="39" s="1"/>
  <c r="B129" i="39"/>
  <c r="H44" i="39"/>
  <c r="B127" i="39"/>
  <c r="J43" i="39" s="1"/>
  <c r="D126" i="39"/>
  <c r="E126" i="39"/>
  <c r="F126" i="39"/>
  <c r="G126" i="39" s="1"/>
  <c r="H126" i="39"/>
  <c r="I126" i="39" s="1"/>
  <c r="J126" i="39" s="1"/>
  <c r="K126" i="39" s="1"/>
  <c r="L126" i="39" s="1"/>
  <c r="M126" i="39" s="1"/>
  <c r="D122" i="39"/>
  <c r="E122" i="39" s="1"/>
  <c r="F122" i="39"/>
  <c r="G122" i="39"/>
  <c r="H122" i="39" s="1"/>
  <c r="I122" i="39" s="1"/>
  <c r="J122" i="39" s="1"/>
  <c r="K122" i="39" s="1"/>
  <c r="L122" i="39" s="1"/>
  <c r="M122" i="39" s="1"/>
  <c r="B104" i="39"/>
  <c r="D97" i="39"/>
  <c r="J23" i="39"/>
  <c r="AC23" i="39" s="1"/>
  <c r="D95" i="39"/>
  <c r="E95" i="39" s="1"/>
  <c r="F95" i="39" s="1"/>
  <c r="G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J40" i="39"/>
  <c r="F40" i="39"/>
  <c r="AA40" i="39" s="1"/>
  <c r="Q35" i="39"/>
  <c r="Z35" i="39"/>
  <c r="Q34" i="39"/>
  <c r="Z34" i="39" s="1"/>
  <c r="Q32" i="39"/>
  <c r="Z32" i="39"/>
  <c r="Q31" i="39"/>
  <c r="Z31" i="39" s="1"/>
  <c r="Q27" i="39"/>
  <c r="Z27" i="39"/>
  <c r="Q25" i="39"/>
  <c r="Z25" i="39" s="1"/>
  <c r="Q23" i="39"/>
  <c r="Z23" i="39" s="1"/>
  <c r="Q21" i="39"/>
  <c r="Z21" i="39" s="1"/>
  <c r="Q19" i="39"/>
  <c r="Z19" i="39" s="1"/>
  <c r="Q17" i="39"/>
  <c r="Z17" i="39" s="1"/>
  <c r="Q15" i="39"/>
  <c r="Z15" i="39"/>
  <c r="Q14" i="39"/>
  <c r="Z14" i="39" s="1"/>
  <c r="Q13" i="39"/>
  <c r="Z13" i="39" s="1"/>
  <c r="Q12" i="39"/>
  <c r="Z12" i="39" s="1"/>
  <c r="Q11" i="39"/>
  <c r="Z11" i="39" s="1"/>
  <c r="Q10" i="39"/>
  <c r="Z10" i="39" s="1"/>
  <c r="Q9" i="39"/>
  <c r="Z9" i="39"/>
  <c r="J9" i="39"/>
  <c r="AC9" i="39" s="1"/>
  <c r="H9" i="39"/>
  <c r="AB9" i="39"/>
  <c r="F9" i="39"/>
  <c r="AA9" i="39" s="1"/>
  <c r="J8" i="39"/>
  <c r="AC8" i="39" s="1"/>
  <c r="H8" i="39"/>
  <c r="U8" i="39" s="1"/>
  <c r="F8" i="39"/>
  <c r="AA8" i="39"/>
  <c r="C20" i="36"/>
  <c r="C20" i="35"/>
  <c r="C16" i="36"/>
  <c r="C16" i="35"/>
  <c r="C14" i="36"/>
  <c r="C14" i="35"/>
  <c r="B80" i="37"/>
  <c r="H25" i="37"/>
  <c r="U25" i="37" s="1"/>
  <c r="B110" i="37"/>
  <c r="J39" i="37"/>
  <c r="AC39" i="37" s="1"/>
  <c r="B108" i="37"/>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E89" i="37" s="1"/>
  <c r="F89" i="37" s="1"/>
  <c r="B86" i="37"/>
  <c r="B84" i="37"/>
  <c r="H27" i="37"/>
  <c r="U27" i="37"/>
  <c r="B82" i="37"/>
  <c r="D79" i="37"/>
  <c r="E79" i="37"/>
  <c r="D75" i="37"/>
  <c r="E75" i="37" s="1"/>
  <c r="D73" i="37"/>
  <c r="E73" i="37"/>
  <c r="F73" i="37"/>
  <c r="G73" i="37" s="1"/>
  <c r="D71" i="37"/>
  <c r="H15" i="37"/>
  <c r="AB15"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c r="Q37" i="37"/>
  <c r="Z37" i="37" s="1"/>
  <c r="Q36" i="37"/>
  <c r="Z36" i="37"/>
  <c r="Q35" i="37"/>
  <c r="Z35" i="37" s="1"/>
  <c r="Q34" i="37"/>
  <c r="Z34" i="37"/>
  <c r="Q33" i="37"/>
  <c r="Z33" i="37" s="1"/>
  <c r="Q32" i="37"/>
  <c r="Z32" i="37" s="1"/>
  <c r="Q31" i="37"/>
  <c r="Z31" i="37" s="1"/>
  <c r="J31" i="37"/>
  <c r="AC31" i="37" s="1"/>
  <c r="Q30" i="37"/>
  <c r="Z30" i="37" s="1"/>
  <c r="J30" i="37"/>
  <c r="AC30" i="37"/>
  <c r="H30" i="37"/>
  <c r="AB30" i="37" s="1"/>
  <c r="F30" i="37"/>
  <c r="AA30" i="37"/>
  <c r="Q29" i="37"/>
  <c r="Z29" i="37" s="1"/>
  <c r="H29" i="37"/>
  <c r="AB29" i="37" s="1"/>
  <c r="Q28" i="37"/>
  <c r="Z28" i="37" s="1"/>
  <c r="Q27" i="37"/>
  <c r="Z27" i="37" s="1"/>
  <c r="Q26" i="37"/>
  <c r="Z26" i="37" s="1"/>
  <c r="Q25" i="37"/>
  <c r="Z25" i="37" s="1"/>
  <c r="J25" i="37"/>
  <c r="AC25" i="37" s="1"/>
  <c r="F25" i="37"/>
  <c r="Q23" i="37"/>
  <c r="Z23" i="37" s="1"/>
  <c r="Q19" i="37"/>
  <c r="Z19" i="37" s="1"/>
  <c r="Q17" i="37"/>
  <c r="Z17" i="37"/>
  <c r="Q15" i="37"/>
  <c r="Z15" i="37" s="1"/>
  <c r="Q14" i="37"/>
  <c r="Z14" i="37"/>
  <c r="Q13" i="37"/>
  <c r="Z13" i="37" s="1"/>
  <c r="Q12" i="37"/>
  <c r="Z12" i="37" s="1"/>
  <c r="Q11" i="37"/>
  <c r="Z11" i="37" s="1"/>
  <c r="Q10" i="37"/>
  <c r="Z10" i="37"/>
  <c r="F10" i="37"/>
  <c r="AA10" i="37" s="1"/>
  <c r="Q9" i="37"/>
  <c r="Z9" i="37" s="1"/>
  <c r="J8" i="37"/>
  <c r="W8" i="37" s="1"/>
  <c r="H8" i="37"/>
  <c r="AB8" i="37"/>
  <c r="F8" i="37"/>
  <c r="S8" i="37" s="1"/>
  <c r="J31" i="36"/>
  <c r="H31" i="36"/>
  <c r="AB31" i="36"/>
  <c r="F31" i="36"/>
  <c r="S31" i="36"/>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c r="L81" i="36"/>
  <c r="M81" i="36" s="1"/>
  <c r="F79" i="36"/>
  <c r="E79" i="36"/>
  <c r="D79" i="36"/>
  <c r="C79" i="36"/>
  <c r="B93" i="36"/>
  <c r="H33" i="36"/>
  <c r="B91" i="36"/>
  <c r="B95" i="36"/>
  <c r="D83" i="36"/>
  <c r="E83" i="36" s="1"/>
  <c r="F83" i="36"/>
  <c r="G83" i="36" s="1"/>
  <c r="H83" i="36" s="1"/>
  <c r="I83" i="36" s="1"/>
  <c r="J83" i="36" s="1"/>
  <c r="K83" i="36"/>
  <c r="L83" i="36"/>
  <c r="M83" i="36" s="1"/>
  <c r="D78" i="36"/>
  <c r="E78" i="36"/>
  <c r="F78" i="36"/>
  <c r="G78" i="36" s="1"/>
  <c r="H78" i="36" s="1"/>
  <c r="I78" i="36" s="1"/>
  <c r="J78" i="36" s="1"/>
  <c r="K78" i="36" s="1"/>
  <c r="L78" i="36"/>
  <c r="M78" i="36" s="1"/>
  <c r="B75" i="36"/>
  <c r="B73" i="36"/>
  <c r="J24" i="36"/>
  <c r="B71" i="36"/>
  <c r="D70" i="36"/>
  <c r="H22" i="36"/>
  <c r="U22" i="36" s="1"/>
  <c r="AB22" i="36"/>
  <c r="D68" i="36"/>
  <c r="E68" i="36" s="1"/>
  <c r="F68" i="36"/>
  <c r="G68" i="36"/>
  <c r="D64" i="36"/>
  <c r="E64" i="36" s="1"/>
  <c r="F64" i="36" s="1"/>
  <c r="G64" i="36" s="1"/>
  <c r="J16" i="36"/>
  <c r="D62" i="36"/>
  <c r="E62" i="36" s="1"/>
  <c r="F62" i="36"/>
  <c r="G62" i="36" s="1"/>
  <c r="B59" i="36"/>
  <c r="H13" i="36" s="1"/>
  <c r="B57" i="36"/>
  <c r="J12" i="36" s="1"/>
  <c r="B55" i="36"/>
  <c r="F54" i="36"/>
  <c r="G54" i="36"/>
  <c r="H54" i="36" s="1"/>
  <c r="I54" i="36" s="1"/>
  <c r="C51" i="36"/>
  <c r="H9" i="36" s="1"/>
  <c r="AB9" i="36" s="1"/>
  <c r="P37" i="36"/>
  <c r="P36" i="36"/>
  <c r="V35" i="36"/>
  <c r="T35" i="36"/>
  <c r="R35" i="36"/>
  <c r="P35" i="36"/>
  <c r="Q34" i="36"/>
  <c r="Z34" i="36"/>
  <c r="Q33" i="36"/>
  <c r="Z33" i="36" s="1"/>
  <c r="Q32" i="36"/>
  <c r="Z32" i="36"/>
  <c r="Q31" i="36"/>
  <c r="Z31" i="36"/>
  <c r="Q30" i="36"/>
  <c r="Z30" i="36"/>
  <c r="AC30" i="36"/>
  <c r="Q29" i="36"/>
  <c r="Z29" i="36" s="1"/>
  <c r="Q28" i="36"/>
  <c r="Z28" i="36"/>
  <c r="J28" i="36"/>
  <c r="AC28" i="36" s="1"/>
  <c r="Q27" i="36"/>
  <c r="Z27" i="36" s="1"/>
  <c r="Q26" i="36"/>
  <c r="Z26" i="36" s="1"/>
  <c r="H26" i="36"/>
  <c r="AB26" i="36" s="1"/>
  <c r="Q25" i="36"/>
  <c r="Z25" i="36" s="1"/>
  <c r="Q24" i="36"/>
  <c r="Z24" i="36"/>
  <c r="H24" i="36"/>
  <c r="Q23" i="36"/>
  <c r="Z23" i="36"/>
  <c r="J23" i="36"/>
  <c r="AC23" i="36" s="1"/>
  <c r="H23" i="36"/>
  <c r="AB23" i="36" s="1"/>
  <c r="F23" i="36"/>
  <c r="AA23" i="36" s="1"/>
  <c r="Q22" i="36"/>
  <c r="Z22" i="36"/>
  <c r="J22" i="36"/>
  <c r="AC22" i="36" s="1"/>
  <c r="Q20" i="36"/>
  <c r="Z20" i="36"/>
  <c r="Q16" i="36"/>
  <c r="Z16" i="36" s="1"/>
  <c r="Q14" i="36"/>
  <c r="Z14" i="36"/>
  <c r="Q13" i="36"/>
  <c r="Z13" i="36" s="1"/>
  <c r="Q12" i="36"/>
  <c r="Z12" i="36" s="1"/>
  <c r="H12" i="36"/>
  <c r="Q11" i="36"/>
  <c r="Z11" i="36" s="1"/>
  <c r="Q10" i="36"/>
  <c r="Z10" i="36" s="1"/>
  <c r="F10" i="36"/>
  <c r="AA10" i="36"/>
  <c r="Q9" i="36"/>
  <c r="Z9" i="36" s="1"/>
  <c r="J8" i="36"/>
  <c r="AC8" i="36" s="1"/>
  <c r="H8" i="36"/>
  <c r="U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AC27" i="35" s="1"/>
  <c r="H27" i="35"/>
  <c r="U27" i="35" s="1"/>
  <c r="F27" i="35"/>
  <c r="AA27" i="35"/>
  <c r="J22" i="35"/>
  <c r="AC22" i="35" s="1"/>
  <c r="B101" i="35"/>
  <c r="B99" i="35"/>
  <c r="B97" i="35"/>
  <c r="B77" i="35"/>
  <c r="B75" i="35"/>
  <c r="J24" i="35" s="1"/>
  <c r="AC24" i="35"/>
  <c r="B73" i="35"/>
  <c r="H23" i="35" s="1"/>
  <c r="U23" i="35" s="1"/>
  <c r="B57" i="35"/>
  <c r="J11" i="35" s="1"/>
  <c r="B61" i="35"/>
  <c r="J13" i="35" s="1"/>
  <c r="AC13" i="35" s="1"/>
  <c r="B59" i="35"/>
  <c r="F12" i="35" s="1"/>
  <c r="B131" i="34"/>
  <c r="B129" i="34"/>
  <c r="B127" i="34"/>
  <c r="B99" i="34"/>
  <c r="B97" i="34"/>
  <c r="B95" i="34"/>
  <c r="J30" i="34" s="1"/>
  <c r="AC30" i="34" s="1"/>
  <c r="B93" i="34"/>
  <c r="F29" i="34" s="1"/>
  <c r="S29" i="34" s="1"/>
  <c r="B75" i="34"/>
  <c r="B73" i="34"/>
  <c r="B71" i="34"/>
  <c r="J12" i="34" s="1"/>
  <c r="AC12" i="34" s="1"/>
  <c r="B130" i="33"/>
  <c r="B128" i="33"/>
  <c r="B126" i="33"/>
  <c r="B98" i="33"/>
  <c r="H31" i="33" s="1"/>
  <c r="B96" i="33"/>
  <c r="B94" i="33"/>
  <c r="B74" i="33"/>
  <c r="B72" i="33"/>
  <c r="B70" i="33"/>
  <c r="F12" i="33" s="1"/>
  <c r="D96" i="35"/>
  <c r="E96" i="35"/>
  <c r="F96" i="35"/>
  <c r="G96" i="35" s="1"/>
  <c r="D94" i="35"/>
  <c r="E94" i="35"/>
  <c r="F94" i="35"/>
  <c r="G94" i="35"/>
  <c r="H94" i="35" s="1"/>
  <c r="I94" i="35" s="1"/>
  <c r="J94" i="35" s="1"/>
  <c r="K94" i="35" s="1"/>
  <c r="L94" i="35" s="1"/>
  <c r="M94" i="35" s="1"/>
  <c r="D84" i="35"/>
  <c r="E84" i="35"/>
  <c r="F84" i="35" s="1"/>
  <c r="G84" i="35"/>
  <c r="H84" i="35" s="1"/>
  <c r="I84" i="35" s="1"/>
  <c r="J84" i="35" s="1"/>
  <c r="K84" i="35" s="1"/>
  <c r="L84" i="35" s="1"/>
  <c r="M84" i="35" s="1"/>
  <c r="D80" i="35"/>
  <c r="E80" i="35"/>
  <c r="F80" i="35"/>
  <c r="G80" i="35"/>
  <c r="H80" i="35" s="1"/>
  <c r="I80" i="35" s="1"/>
  <c r="J80" i="35"/>
  <c r="K80" i="35"/>
  <c r="L80" i="35" s="1"/>
  <c r="M80" i="35" s="1"/>
  <c r="D72" i="35"/>
  <c r="E72" i="35"/>
  <c r="F72" i="35" s="1"/>
  <c r="G72" i="35"/>
  <c r="D70" i="35"/>
  <c r="E70" i="35" s="1"/>
  <c r="F70" i="35" s="1"/>
  <c r="G70" i="35"/>
  <c r="D66" i="35"/>
  <c r="E66" i="35" s="1"/>
  <c r="F66" i="35" s="1"/>
  <c r="G66" i="35" s="1"/>
  <c r="D64" i="35"/>
  <c r="E64" i="35"/>
  <c r="F64" i="35" s="1"/>
  <c r="G64" i="35" s="1"/>
  <c r="J14" i="35"/>
  <c r="W14" i="35"/>
  <c r="F56" i="35"/>
  <c r="G56" i="35"/>
  <c r="H56" i="35" s="1"/>
  <c r="I56" i="35" s="1"/>
  <c r="C53" i="35"/>
  <c r="J9" i="35"/>
  <c r="AC9" i="35" s="1"/>
  <c r="P39" i="35"/>
  <c r="P38" i="35"/>
  <c r="V37" i="35"/>
  <c r="T37" i="35"/>
  <c r="R37" i="35"/>
  <c r="P37" i="35"/>
  <c r="Q36" i="35"/>
  <c r="Z36" i="35"/>
  <c r="Q35" i="35"/>
  <c r="Z35" i="35"/>
  <c r="Q34" i="35"/>
  <c r="Z34" i="35"/>
  <c r="H34" i="35"/>
  <c r="Q33" i="35"/>
  <c r="Z33" i="35" s="1"/>
  <c r="Q32" i="35"/>
  <c r="Z32" i="35"/>
  <c r="H32" i="35"/>
  <c r="F32" i="35"/>
  <c r="AA32" i="35"/>
  <c r="Q31" i="35"/>
  <c r="Z31" i="35" s="1"/>
  <c r="AB31" i="35"/>
  <c r="AA31" i="35"/>
  <c r="Q30" i="35"/>
  <c r="Z30" i="35" s="1"/>
  <c r="Q29" i="35"/>
  <c r="Z29" i="35" s="1"/>
  <c r="Q28" i="35"/>
  <c r="Z28" i="35" s="1"/>
  <c r="J28" i="35"/>
  <c r="AC28" i="35" s="1"/>
  <c r="H28" i="35"/>
  <c r="AB28" i="35" s="1"/>
  <c r="F28" i="35"/>
  <c r="AA28" i="35"/>
  <c r="Q27" i="35"/>
  <c r="Z27" i="35" s="1"/>
  <c r="Q26" i="35"/>
  <c r="Z26" i="35"/>
  <c r="Q25" i="35"/>
  <c r="Z25" i="35" s="1"/>
  <c r="Q24" i="35"/>
  <c r="Z24" i="35" s="1"/>
  <c r="Q23" i="35"/>
  <c r="Z23" i="35" s="1"/>
  <c r="J23" i="35"/>
  <c r="AC23" i="35" s="1"/>
  <c r="Q22" i="35"/>
  <c r="Z22" i="35" s="1"/>
  <c r="Q20" i="35"/>
  <c r="Z20" i="35"/>
  <c r="Q16" i="35"/>
  <c r="Z16" i="35" s="1"/>
  <c r="Q14" i="35"/>
  <c r="Z14" i="35"/>
  <c r="Q13" i="35"/>
  <c r="Z13" i="35" s="1"/>
  <c r="Q12" i="35"/>
  <c r="Z12" i="35" s="1"/>
  <c r="J12" i="35"/>
  <c r="W12" i="35" s="1"/>
  <c r="H12" i="35"/>
  <c r="U12" i="35" s="1"/>
  <c r="Q11" i="35"/>
  <c r="Z11" i="35"/>
  <c r="Q10" i="35"/>
  <c r="Z10" i="35" s="1"/>
  <c r="Q9" i="35"/>
  <c r="Z9" i="35"/>
  <c r="J8" i="35"/>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c r="G124" i="34" s="1"/>
  <c r="H124" i="34" s="1"/>
  <c r="I124" i="34" s="1"/>
  <c r="J124" i="34" s="1"/>
  <c r="K124" i="34" s="1"/>
  <c r="L124" i="34" s="1"/>
  <c r="M124" i="34" s="1"/>
  <c r="H43" i="34"/>
  <c r="AB43" i="34"/>
  <c r="D118" i="34"/>
  <c r="E118" i="34"/>
  <c r="F118" i="34" s="1"/>
  <c r="G118" i="34" s="1"/>
  <c r="D116" i="34"/>
  <c r="E116" i="34"/>
  <c r="F116" i="34" s="1"/>
  <c r="G116" i="34" s="1"/>
  <c r="H116" i="34" s="1"/>
  <c r="I116" i="34"/>
  <c r="J116" i="34"/>
  <c r="K116" i="34" s="1"/>
  <c r="L116" i="34" s="1"/>
  <c r="M116" i="34"/>
  <c r="F110" i="34"/>
  <c r="E110" i="34"/>
  <c r="D110" i="34"/>
  <c r="C110" i="34"/>
  <c r="D109" i="34"/>
  <c r="E109" i="34"/>
  <c r="F109" i="34" s="1"/>
  <c r="G109" i="34" s="1"/>
  <c r="H109" i="34"/>
  <c r="I109" i="34"/>
  <c r="J109" i="34" s="1"/>
  <c r="K109" i="34" s="1"/>
  <c r="L109" i="34" s="1"/>
  <c r="M109" i="34" s="1"/>
  <c r="D107" i="34"/>
  <c r="E107" i="34"/>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s="1"/>
  <c r="F92" i="34" s="1"/>
  <c r="G92" i="34"/>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c r="G86" i="34" s="1"/>
  <c r="D82" i="34"/>
  <c r="E82" i="34"/>
  <c r="F82" i="34"/>
  <c r="G82" i="34"/>
  <c r="D80" i="34"/>
  <c r="E80" i="34"/>
  <c r="F80" i="34"/>
  <c r="G80" i="34" s="1"/>
  <c r="D78" i="34"/>
  <c r="E78" i="34"/>
  <c r="F78" i="34"/>
  <c r="G78" i="34" s="1"/>
  <c r="D70" i="34"/>
  <c r="E70" i="34"/>
  <c r="F70" i="34" s="1"/>
  <c r="G70" i="34" s="1"/>
  <c r="H70" i="34" s="1"/>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s="1"/>
  <c r="Q43" i="34"/>
  <c r="Z43" i="34"/>
  <c r="Q42" i="34"/>
  <c r="Z42" i="34"/>
  <c r="Q41" i="34"/>
  <c r="Z41" i="34"/>
  <c r="Q40" i="34"/>
  <c r="Z40" i="34" s="1"/>
  <c r="Q39" i="34"/>
  <c r="Z39" i="34"/>
  <c r="H39" i="34"/>
  <c r="AB39" i="34"/>
  <c r="Q38" i="34"/>
  <c r="Z38" i="34"/>
  <c r="Q37" i="34"/>
  <c r="Z37" i="34" s="1"/>
  <c r="Q36" i="34"/>
  <c r="Z36" i="34"/>
  <c r="Q35" i="34"/>
  <c r="Z35" i="34"/>
  <c r="Q34" i="34"/>
  <c r="Z34" i="34"/>
  <c r="J34" i="34"/>
  <c r="AC34" i="34" s="1"/>
  <c r="H34" i="34"/>
  <c r="AB34" i="34"/>
  <c r="F34" i="34"/>
  <c r="S34" i="34" s="1"/>
  <c r="AA34" i="34"/>
  <c r="Q33" i="34"/>
  <c r="Z33" i="34"/>
  <c r="Q32" i="34"/>
  <c r="Z32" i="34" s="1"/>
  <c r="Q31" i="34"/>
  <c r="Z31" i="34"/>
  <c r="Q30" i="34"/>
  <c r="Z30" i="34" s="1"/>
  <c r="Q29" i="34"/>
  <c r="Z29" i="34"/>
  <c r="Q28" i="34"/>
  <c r="Z28" i="34" s="1"/>
  <c r="Q27" i="34"/>
  <c r="Z27" i="34"/>
  <c r="Q25" i="34"/>
  <c r="Z25" i="34"/>
  <c r="Q23" i="34"/>
  <c r="Z23" i="34"/>
  <c r="C23" i="34"/>
  <c r="Q19" i="34"/>
  <c r="Z19" i="34" s="1"/>
  <c r="C19" i="34"/>
  <c r="Q17" i="34"/>
  <c r="Z17" i="34"/>
  <c r="C17" i="34"/>
  <c r="Q15" i="34"/>
  <c r="Z15" i="34"/>
  <c r="Q14" i="34"/>
  <c r="Z14" i="34" s="1"/>
  <c r="Q13" i="34"/>
  <c r="Z13" i="34"/>
  <c r="Q12" i="34"/>
  <c r="Z12" i="34" s="1"/>
  <c r="W12" i="34"/>
  <c r="H12" i="34"/>
  <c r="AB12" i="34" s="1"/>
  <c r="Q11" i="34"/>
  <c r="Z11" i="34"/>
  <c r="Q10" i="34"/>
  <c r="Z10" i="34"/>
  <c r="F10" i="34"/>
  <c r="AA10" i="34" s="1"/>
  <c r="Q9" i="34"/>
  <c r="Z9" i="34" s="1"/>
  <c r="J9" i="34"/>
  <c r="AC9" i="34"/>
  <c r="F9" i="34"/>
  <c r="J8" i="34"/>
  <c r="AC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c r="I115" i="33"/>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c r="D85" i="33"/>
  <c r="E85" i="33"/>
  <c r="D81" i="33"/>
  <c r="E81" i="33" s="1"/>
  <c r="D79" i="33"/>
  <c r="E79" i="33" s="1"/>
  <c r="F79" i="33" s="1"/>
  <c r="G79" i="33" s="1"/>
  <c r="D77" i="33"/>
  <c r="E77" i="33"/>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c r="Q44" i="33"/>
  <c r="Z44" i="33" s="1"/>
  <c r="Q43" i="33"/>
  <c r="Z43" i="33"/>
  <c r="Q42" i="33"/>
  <c r="Z42" i="33" s="1"/>
  <c r="J42" i="33"/>
  <c r="AC42" i="33" s="1"/>
  <c r="AC41" i="33"/>
  <c r="W41" i="33"/>
  <c r="Q41" i="33"/>
  <c r="Z41" i="33" s="1"/>
  <c r="Q40" i="33"/>
  <c r="Z40" i="33" s="1"/>
  <c r="J40" i="33"/>
  <c r="AC40" i="33"/>
  <c r="H40" i="33"/>
  <c r="AB40" i="33"/>
  <c r="AA40" i="33"/>
  <c r="Q39" i="33"/>
  <c r="Z39" i="33" s="1"/>
  <c r="J39" i="33"/>
  <c r="AC39" i="33"/>
  <c r="Q38" i="33"/>
  <c r="Z38" i="33" s="1"/>
  <c r="J38" i="33"/>
  <c r="AC38" i="33"/>
  <c r="H38" i="33"/>
  <c r="AB38" i="33" s="1"/>
  <c r="F38" i="33"/>
  <c r="AA38" i="33"/>
  <c r="Q37" i="33"/>
  <c r="Z37" i="33" s="1"/>
  <c r="Q36" i="33"/>
  <c r="Z36" i="33" s="1"/>
  <c r="Q35" i="33"/>
  <c r="Z35" i="33" s="1"/>
  <c r="H35" i="33"/>
  <c r="AB35" i="33"/>
  <c r="Q34" i="33"/>
  <c r="Z34" i="33" s="1"/>
  <c r="Q33" i="33"/>
  <c r="Z33" i="33"/>
  <c r="J33" i="33"/>
  <c r="AC33" i="33" s="1"/>
  <c r="H33" i="33"/>
  <c r="AB33" i="33"/>
  <c r="F33" i="33"/>
  <c r="AA33" i="33" s="1"/>
  <c r="Q32" i="33"/>
  <c r="Z32" i="33"/>
  <c r="Q31" i="33"/>
  <c r="Z31" i="33" s="1"/>
  <c r="Q30" i="33"/>
  <c r="Z30" i="33"/>
  <c r="Q29" i="33"/>
  <c r="Z29" i="33" s="1"/>
  <c r="Q28" i="33"/>
  <c r="Z28" i="33"/>
  <c r="Q27" i="33"/>
  <c r="Z27" i="33" s="1"/>
  <c r="Q26" i="33"/>
  <c r="Z26" i="33"/>
  <c r="Q25" i="33"/>
  <c r="Z25" i="33" s="1"/>
  <c r="Q23" i="33"/>
  <c r="Z23" i="33" s="1"/>
  <c r="Q19" i="33"/>
  <c r="Z19" i="33" s="1"/>
  <c r="Q17" i="33"/>
  <c r="Z17" i="33"/>
  <c r="Q15" i="33"/>
  <c r="Z15" i="33" s="1"/>
  <c r="F15" i="33"/>
  <c r="AA15" i="33"/>
  <c r="Q14" i="33"/>
  <c r="Z14" i="33" s="1"/>
  <c r="Q13" i="33"/>
  <c r="Z13" i="33"/>
  <c r="Q12" i="33"/>
  <c r="Z12" i="33" s="1"/>
  <c r="Q11" i="33"/>
  <c r="Z11" i="33" s="1"/>
  <c r="Q10" i="33"/>
  <c r="Z10" i="33"/>
  <c r="Q9" i="33"/>
  <c r="Z9" i="33" s="1"/>
  <c r="J8" i="33"/>
  <c r="AC8" i="33" s="1"/>
  <c r="H8" i="33"/>
  <c r="AB8" i="33"/>
  <c r="F8" i="33"/>
  <c r="M102" i="21"/>
  <c r="D102" i="21"/>
  <c r="E102" i="21"/>
  <c r="F102" i="21"/>
  <c r="G102" i="21"/>
  <c r="H102" i="21"/>
  <c r="I102" i="21"/>
  <c r="J102" i="21"/>
  <c r="K102" i="21"/>
  <c r="L102" i="21"/>
  <c r="C102" i="21"/>
  <c r="C63" i="21"/>
  <c r="F9" i="21" s="1"/>
  <c r="G18" i="20"/>
  <c r="B88" i="43" s="1"/>
  <c r="G19" i="20"/>
  <c r="B85" i="43" s="1"/>
  <c r="G16" i="20"/>
  <c r="B82" i="43"/>
  <c r="G15" i="20"/>
  <c r="B81" i="43"/>
  <c r="C24" i="20"/>
  <c r="B73" i="43"/>
  <c r="C21" i="20"/>
  <c r="C20" i="20"/>
  <c r="B77" i="43" s="1"/>
  <c r="C18" i="20"/>
  <c r="B71" i="43"/>
  <c r="C17" i="20"/>
  <c r="B59" i="43" s="1"/>
  <c r="C16" i="20"/>
  <c r="C17" i="39" s="1"/>
  <c r="C15" i="20"/>
  <c r="E54" i="21"/>
  <c r="F54" i="21"/>
  <c r="I54" i="21"/>
  <c r="J54" i="21"/>
  <c r="G54" i="21"/>
  <c r="H54" i="21" s="1"/>
  <c r="D125" i="21"/>
  <c r="E125" i="21"/>
  <c r="F125" i="21" s="1"/>
  <c r="G125" i="21" s="1"/>
  <c r="D123" i="21"/>
  <c r="E123" i="21"/>
  <c r="F123" i="21" s="1"/>
  <c r="G123" i="21" s="1"/>
  <c r="H123" i="21" s="1"/>
  <c r="F42" i="21"/>
  <c r="AA42" i="21"/>
  <c r="D119" i="21"/>
  <c r="E119" i="21" s="1"/>
  <c r="F119" i="21" s="1"/>
  <c r="F40" i="21"/>
  <c r="AA40" i="21" s="1"/>
  <c r="D117" i="21"/>
  <c r="E117" i="21"/>
  <c r="F117" i="2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c r="H110" i="21" s="1"/>
  <c r="I110" i="21" s="1"/>
  <c r="J110" i="21" s="1"/>
  <c r="K110" i="21" s="1"/>
  <c r="L110" i="21" s="1"/>
  <c r="M110" i="21" s="1"/>
  <c r="J36" i="21"/>
  <c r="AC36" i="21" s="1"/>
  <c r="D108" i="21"/>
  <c r="E108" i="21"/>
  <c r="F108" i="21" s="1"/>
  <c r="G108" i="21" s="1"/>
  <c r="H108" i="21" s="1"/>
  <c r="I108" i="21" s="1"/>
  <c r="J108" i="21"/>
  <c r="K108" i="21" s="1"/>
  <c r="L108" i="21" s="1"/>
  <c r="M108" i="21"/>
  <c r="D106" i="21"/>
  <c r="E106" i="21" s="1"/>
  <c r="F106" i="21" s="1"/>
  <c r="G106" i="21" s="1"/>
  <c r="H106" i="21" s="1"/>
  <c r="I106" i="21" s="1"/>
  <c r="J106" i="21" s="1"/>
  <c r="K106" i="21" s="1"/>
  <c r="L106" i="21" s="1"/>
  <c r="M106" i="21"/>
  <c r="D101" i="21"/>
  <c r="E101" i="21"/>
  <c r="F101" i="21"/>
  <c r="G101" i="21"/>
  <c r="H101" i="21" s="1"/>
  <c r="D89" i="21"/>
  <c r="E89" i="21"/>
  <c r="F89" i="21"/>
  <c r="G89" i="21" s="1"/>
  <c r="H89" i="21" s="1"/>
  <c r="I89" i="21" s="1"/>
  <c r="J89" i="21" s="1"/>
  <c r="K89" i="2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66" i="21"/>
  <c r="E66" i="21"/>
  <c r="F66" i="21"/>
  <c r="G66" i="21" s="1"/>
  <c r="H66" i="21" s="1"/>
  <c r="I66" i="21"/>
  <c r="D111" i="21"/>
  <c r="E111" i="21"/>
  <c r="F111" i="21"/>
  <c r="C111" i="21"/>
  <c r="D79" i="21"/>
  <c r="E79" i="21" s="1"/>
  <c r="F79" i="21" s="1"/>
  <c r="G79" i="21" s="1"/>
  <c r="D85" i="21"/>
  <c r="F19" i="21"/>
  <c r="AA19" i="21" s="1"/>
  <c r="E81" i="21"/>
  <c r="F81" i="21"/>
  <c r="G81" i="21"/>
  <c r="D77" i="21"/>
  <c r="E77" i="21"/>
  <c r="B130" i="21"/>
  <c r="B128" i="21"/>
  <c r="J45" i="21" s="1"/>
  <c r="W45" i="21" s="1"/>
  <c r="B126" i="21"/>
  <c r="F44" i="21" s="1"/>
  <c r="AA44" i="21" s="1"/>
  <c r="B98" i="21"/>
  <c r="B96" i="21"/>
  <c r="F30" i="21" s="1"/>
  <c r="S30" i="21" s="1"/>
  <c r="B94" i="21"/>
  <c r="B92" i="21"/>
  <c r="B90" i="21"/>
  <c r="J27" i="21"/>
  <c r="W27" i="21" s="1"/>
  <c r="B74" i="21"/>
  <c r="B72" i="21"/>
  <c r="B70" i="21"/>
  <c r="F12" i="21"/>
  <c r="S12" i="21"/>
  <c r="C19" i="21"/>
  <c r="C17" i="21"/>
  <c r="C23" i="21"/>
  <c r="Q9" i="21"/>
  <c r="Z9" i="21" s="1"/>
  <c r="Q10" i="21"/>
  <c r="Z10" i="21"/>
  <c r="Q11" i="21"/>
  <c r="Z11" i="2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c r="Q30" i="21"/>
  <c r="Z30" i="21"/>
  <c r="Q31" i="21"/>
  <c r="Z31" i="21" s="1"/>
  <c r="Q32" i="21"/>
  <c r="Z32" i="21"/>
  <c r="Q33" i="21"/>
  <c r="Z33" i="21"/>
  <c r="Q34" i="21"/>
  <c r="Z34" i="21"/>
  <c r="J35" i="21"/>
  <c r="W35" i="21" s="1"/>
  <c r="Q35" i="21"/>
  <c r="Z35" i="21"/>
  <c r="Q36" i="21"/>
  <c r="Z36" i="21"/>
  <c r="Q37" i="21"/>
  <c r="Z37" i="21"/>
  <c r="J38" i="21"/>
  <c r="W38" i="21" s="1"/>
  <c r="Q38" i="21"/>
  <c r="Z38" i="21"/>
  <c r="J39" i="21"/>
  <c r="Q39" i="21"/>
  <c r="Z39" i="21"/>
  <c r="H40" i="2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A585" i="3" s="1"/>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c r="F36" i="21"/>
  <c r="S36" i="21" s="1"/>
  <c r="F39" i="21"/>
  <c r="AA39" i="21"/>
  <c r="J40" i="21"/>
  <c r="H35" i="21"/>
  <c r="J8" i="21"/>
  <c r="AC8" i="21" s="1"/>
  <c r="H8" i="21"/>
  <c r="U8" i="21"/>
  <c r="H10" i="21"/>
  <c r="AB10" i="21" s="1"/>
  <c r="H39" i="21"/>
  <c r="U39" i="21"/>
  <c r="J34" i="21"/>
  <c r="W34" i="21" s="1"/>
  <c r="H36" i="21"/>
  <c r="U36" i="21"/>
  <c r="F35" i="21"/>
  <c r="AA35" i="21" s="1"/>
  <c r="J10" i="21"/>
  <c r="W10" i="21" s="1"/>
  <c r="H26" i="21"/>
  <c r="AB26" i="21" s="1"/>
  <c r="AB19" i="21"/>
  <c r="J19" i="21"/>
  <c r="J12" i="21"/>
  <c r="AC12" i="21"/>
  <c r="H12" i="21"/>
  <c r="J26" i="21"/>
  <c r="W26" i="21"/>
  <c r="F26" i="21"/>
  <c r="S26" i="21" s="1"/>
  <c r="AB41" i="21"/>
  <c r="S41" i="21"/>
  <c r="AA41" i="21"/>
  <c r="F45" i="39"/>
  <c r="S45" i="39" s="1"/>
  <c r="J45" i="39"/>
  <c r="W45" i="39" s="1"/>
  <c r="J44" i="39"/>
  <c r="F36" i="39"/>
  <c r="S36" i="39" s="1"/>
  <c r="J35" i="39"/>
  <c r="W35" i="39" s="1"/>
  <c r="AC35" i="39"/>
  <c r="F35" i="39"/>
  <c r="AA35" i="39" s="1"/>
  <c r="J36" i="39"/>
  <c r="U9" i="39"/>
  <c r="W25" i="37"/>
  <c r="U30" i="37"/>
  <c r="W31" i="37"/>
  <c r="E103" i="37"/>
  <c r="F103" i="37"/>
  <c r="G103" i="37"/>
  <c r="H103" i="37" s="1"/>
  <c r="I103" i="37" s="1"/>
  <c r="J103" i="37" s="1"/>
  <c r="K103" i="37"/>
  <c r="L103" i="37" s="1"/>
  <c r="M103" i="37" s="1"/>
  <c r="F39" i="37"/>
  <c r="S39" i="37"/>
  <c r="F29" i="36"/>
  <c r="AA29" i="36"/>
  <c r="W8" i="36"/>
  <c r="F16" i="36"/>
  <c r="AA16" i="36" s="1"/>
  <c r="U9" i="36"/>
  <c r="W28" i="36"/>
  <c r="S30" i="36"/>
  <c r="AA31" i="36"/>
  <c r="AC31" i="36"/>
  <c r="W31" i="36"/>
  <c r="U31" i="36"/>
  <c r="J33" i="36"/>
  <c r="W33" i="36"/>
  <c r="H22" i="35"/>
  <c r="U31" i="35"/>
  <c r="W22" i="35"/>
  <c r="S31" i="35"/>
  <c r="F36" i="34"/>
  <c r="J35" i="34"/>
  <c r="W9" i="34"/>
  <c r="U34" i="34"/>
  <c r="H39" i="33"/>
  <c r="AB39" i="33" s="1"/>
  <c r="F26" i="33"/>
  <c r="AA26" i="33"/>
  <c r="U33" i="33"/>
  <c r="U35" i="33"/>
  <c r="S40" i="33"/>
  <c r="W33" i="33"/>
  <c r="W39" i="33"/>
  <c r="H39" i="37"/>
  <c r="AB39" i="37"/>
  <c r="S27" i="35"/>
  <c r="W8" i="40"/>
  <c r="AB39" i="40"/>
  <c r="AC9" i="40"/>
  <c r="U38" i="40"/>
  <c r="W31" i="40"/>
  <c r="S38" i="40"/>
  <c r="F42" i="39"/>
  <c r="AA42" i="39" s="1"/>
  <c r="F41" i="39"/>
  <c r="S41" i="39"/>
  <c r="H40" i="39"/>
  <c r="H39" i="39"/>
  <c r="U39" i="39" s="1"/>
  <c r="S34" i="39"/>
  <c r="H34" i="39"/>
  <c r="E109" i="39"/>
  <c r="F109" i="39" s="1"/>
  <c r="H31" i="39"/>
  <c r="AB31" i="39"/>
  <c r="F31" i="39"/>
  <c r="AA31" i="39" s="1"/>
  <c r="E101" i="39"/>
  <c r="H19" i="39"/>
  <c r="U19" i="39" s="1"/>
  <c r="F19" i="39"/>
  <c r="AA19" i="39" s="1"/>
  <c r="H17" i="39"/>
  <c r="AB17" i="39"/>
  <c r="F17" i="39"/>
  <c r="AA17" i="39" s="1"/>
  <c r="J23" i="40"/>
  <c r="AC23" i="40" s="1"/>
  <c r="F21" i="40"/>
  <c r="AA21" i="40" s="1"/>
  <c r="J21" i="40"/>
  <c r="W21" i="40" s="1"/>
  <c r="H42" i="39"/>
  <c r="AB42" i="39"/>
  <c r="J34" i="39"/>
  <c r="AC34" i="39" s="1"/>
  <c r="G109" i="39"/>
  <c r="H109" i="39"/>
  <c r="I109" i="39"/>
  <c r="J109" i="39" s="1"/>
  <c r="K109" i="39" s="1"/>
  <c r="L109" i="39" s="1"/>
  <c r="M109" i="39" s="1"/>
  <c r="J31" i="39"/>
  <c r="F101" i="39"/>
  <c r="H27" i="39"/>
  <c r="U27" i="39"/>
  <c r="J19" i="39"/>
  <c r="AC19" i="39"/>
  <c r="J17" i="39"/>
  <c r="J27" i="39"/>
  <c r="AC27" i="39" s="1"/>
  <c r="F27" i="39"/>
  <c r="S27" i="39" s="1"/>
  <c r="F11" i="21"/>
  <c r="S11" i="21"/>
  <c r="S40" i="21"/>
  <c r="S34" i="21"/>
  <c r="C25" i="39"/>
  <c r="C21" i="39"/>
  <c r="H11" i="39"/>
  <c r="U11" i="39" s="1"/>
  <c r="S40" i="39"/>
  <c r="H32" i="33"/>
  <c r="AB32" i="33"/>
  <c r="H11" i="21"/>
  <c r="U11" i="21" s="1"/>
  <c r="J11" i="21"/>
  <c r="H37" i="40"/>
  <c r="H36" i="40"/>
  <c r="AB36" i="40" s="1"/>
  <c r="F35" i="40"/>
  <c r="AA35" i="40" s="1"/>
  <c r="H23" i="40"/>
  <c r="AB23" i="40" s="1"/>
  <c r="H17" i="40"/>
  <c r="U17" i="40" s="1"/>
  <c r="AB8" i="39"/>
  <c r="AB12" i="35"/>
  <c r="W32" i="40"/>
  <c r="F37" i="39"/>
  <c r="AA37" i="39"/>
  <c r="U30" i="36"/>
  <c r="J30" i="35"/>
  <c r="W30" i="35" s="1"/>
  <c r="H30" i="35"/>
  <c r="F22" i="35"/>
  <c r="AA22" i="35" s="1"/>
  <c r="H10" i="35"/>
  <c r="U10" i="35"/>
  <c r="F33" i="36"/>
  <c r="AA33" i="36"/>
  <c r="W30" i="36"/>
  <c r="H16" i="36"/>
  <c r="AB16" i="36" s="1"/>
  <c r="J85" i="36"/>
  <c r="K85" i="36"/>
  <c r="L85" i="36" s="1"/>
  <c r="M85" i="36" s="1"/>
  <c r="J29" i="36"/>
  <c r="AC29" i="36" s="1"/>
  <c r="F12" i="36"/>
  <c r="F24" i="36"/>
  <c r="AA24" i="36"/>
  <c r="S10" i="36"/>
  <c r="AB8" i="36"/>
  <c r="S8" i="36"/>
  <c r="U8" i="35"/>
  <c r="F14" i="35"/>
  <c r="F23" i="35"/>
  <c r="AA23" i="35" s="1"/>
  <c r="J32" i="35"/>
  <c r="AC32" i="35"/>
  <c r="J16" i="35"/>
  <c r="AC16" i="35" s="1"/>
  <c r="H16" i="35"/>
  <c r="U16" i="35"/>
  <c r="F16" i="35"/>
  <c r="H14" i="35"/>
  <c r="AB14" i="35"/>
  <c r="J29" i="35"/>
  <c r="H33" i="35"/>
  <c r="AB33" i="35"/>
  <c r="J20" i="35"/>
  <c r="F35" i="37"/>
  <c r="I101" i="37"/>
  <c r="J101" i="37" s="1"/>
  <c r="K101" i="37" s="1"/>
  <c r="L101" i="37" s="1"/>
  <c r="M101" i="37" s="1"/>
  <c r="J34" i="37"/>
  <c r="W34" i="37"/>
  <c r="S10" i="37"/>
  <c r="AA39" i="37"/>
  <c r="AB34" i="37"/>
  <c r="J33" i="37"/>
  <c r="W33" i="37" s="1"/>
  <c r="AC33" i="37"/>
  <c r="H40" i="34"/>
  <c r="U40" i="34"/>
  <c r="E114" i="34"/>
  <c r="F114" i="34" s="1"/>
  <c r="G114" i="34" s="1"/>
  <c r="H36" i="34"/>
  <c r="U36" i="34" s="1"/>
  <c r="F37" i="34"/>
  <c r="AA37" i="34"/>
  <c r="F28" i="34"/>
  <c r="AA28" i="34"/>
  <c r="F27" i="34"/>
  <c r="AA27" i="34"/>
  <c r="F25" i="34"/>
  <c r="S25" i="34"/>
  <c r="H23" i="34"/>
  <c r="U23" i="34" s="1"/>
  <c r="J23" i="34"/>
  <c r="F19" i="34"/>
  <c r="AA19" i="34" s="1"/>
  <c r="H17" i="34"/>
  <c r="F15" i="34"/>
  <c r="J15" i="34"/>
  <c r="W15" i="34" s="1"/>
  <c r="H15" i="34"/>
  <c r="AB15" i="34" s="1"/>
  <c r="W8" i="34"/>
  <c r="J28" i="34"/>
  <c r="W28" i="34"/>
  <c r="F41" i="33"/>
  <c r="AA41" i="33"/>
  <c r="S38" i="33"/>
  <c r="F32" i="33"/>
  <c r="AA32" i="33"/>
  <c r="J19" i="33"/>
  <c r="AC19" i="33"/>
  <c r="J15" i="33"/>
  <c r="AC15" i="33"/>
  <c r="F11" i="33"/>
  <c r="AA11" i="33" s="1"/>
  <c r="S26" i="33"/>
  <c r="U40" i="33"/>
  <c r="W40" i="33"/>
  <c r="U8" i="33"/>
  <c r="F37" i="40"/>
  <c r="AA37" i="40" s="1"/>
  <c r="F36" i="40"/>
  <c r="F23" i="40"/>
  <c r="AA23" i="40" s="1"/>
  <c r="F17" i="40"/>
  <c r="AA17" i="40" s="1"/>
  <c r="J17" i="40"/>
  <c r="W17" i="40" s="1"/>
  <c r="F15" i="40"/>
  <c r="S15" i="40" s="1"/>
  <c r="S12" i="36"/>
  <c r="AA12" i="36"/>
  <c r="AB30" i="36"/>
  <c r="U33" i="35"/>
  <c r="F29" i="35"/>
  <c r="S29" i="35"/>
  <c r="H29" i="35"/>
  <c r="AB29" i="35"/>
  <c r="H33" i="37"/>
  <c r="AB33" i="37" s="1"/>
  <c r="F33" i="37"/>
  <c r="AA33" i="37"/>
  <c r="U34" i="37"/>
  <c r="AA34" i="37"/>
  <c r="J43" i="34"/>
  <c r="J40" i="34"/>
  <c r="H114" i="34"/>
  <c r="I114" i="34" s="1"/>
  <c r="J114" i="34" s="1"/>
  <c r="K114" i="34" s="1"/>
  <c r="L114" i="34" s="1"/>
  <c r="M114" i="34" s="1"/>
  <c r="H38" i="34"/>
  <c r="AB38" i="34" s="1"/>
  <c r="J36" i="34"/>
  <c r="W36" i="34" s="1"/>
  <c r="H37" i="34"/>
  <c r="U37" i="34"/>
  <c r="H25" i="34"/>
  <c r="AB25" i="34" s="1"/>
  <c r="J25" i="34"/>
  <c r="AB23" i="34"/>
  <c r="F23" i="34"/>
  <c r="AA23" i="34"/>
  <c r="J19" i="34"/>
  <c r="AC19" i="34" s="1"/>
  <c r="F17" i="34"/>
  <c r="AA17" i="34"/>
  <c r="J17" i="34"/>
  <c r="AA15" i="34"/>
  <c r="S15" i="34"/>
  <c r="S41" i="33"/>
  <c r="G113" i="33"/>
  <c r="H113" i="33"/>
  <c r="I113" i="33"/>
  <c r="J113" i="33" s="1"/>
  <c r="K113" i="33"/>
  <c r="L113" i="33" s="1"/>
  <c r="M113" i="33" s="1"/>
  <c r="H37" i="33"/>
  <c r="AB37" i="33"/>
  <c r="H15" i="33"/>
  <c r="AB15" i="33"/>
  <c r="H11" i="33"/>
  <c r="AB11" i="33"/>
  <c r="AA29" i="35"/>
  <c r="AA42" i="34"/>
  <c r="S42" i="34"/>
  <c r="AC38" i="34"/>
  <c r="AA38" i="34"/>
  <c r="J37" i="34"/>
  <c r="AC37" i="34" s="1"/>
  <c r="J11" i="33"/>
  <c r="W11" i="33"/>
  <c r="S28" i="34"/>
  <c r="I123" i="21"/>
  <c r="J123" i="21" s="1"/>
  <c r="K123" i="21" s="1"/>
  <c r="L123" i="21" s="1"/>
  <c r="M123" i="21" s="1"/>
  <c r="J42" i="21"/>
  <c r="AC42" i="21" s="1"/>
  <c r="H42" i="21"/>
  <c r="AB42" i="21" s="1"/>
  <c r="J44" i="34"/>
  <c r="F44" i="34"/>
  <c r="S44" i="34" s="1"/>
  <c r="AA44" i="34"/>
  <c r="J10" i="35"/>
  <c r="W10" i="35" s="1"/>
  <c r="J14" i="21"/>
  <c r="W14" i="21"/>
  <c r="F14" i="21"/>
  <c r="S14" i="21" s="1"/>
  <c r="H14" i="21"/>
  <c r="H28" i="21"/>
  <c r="AB28" i="21" s="1"/>
  <c r="F28" i="21"/>
  <c r="AA28" i="21" s="1"/>
  <c r="J28" i="21"/>
  <c r="H30" i="21"/>
  <c r="U30" i="21"/>
  <c r="J30" i="21"/>
  <c r="AC30" i="21" s="1"/>
  <c r="J44" i="21"/>
  <c r="AC44" i="21" s="1"/>
  <c r="H44" i="21"/>
  <c r="U44" i="21" s="1"/>
  <c r="H46" i="21"/>
  <c r="U46" i="21"/>
  <c r="J46" i="21"/>
  <c r="F46" i="21"/>
  <c r="G119" i="21"/>
  <c r="H119" i="21"/>
  <c r="I119" i="21" s="1"/>
  <c r="J119" i="21" s="1"/>
  <c r="K119" i="21" s="1"/>
  <c r="L119" i="21" s="1"/>
  <c r="M119" i="21" s="1"/>
  <c r="H26" i="33"/>
  <c r="U26" i="33"/>
  <c r="H28" i="33"/>
  <c r="U28" i="33"/>
  <c r="F28" i="33"/>
  <c r="AA28" i="33"/>
  <c r="J28" i="33"/>
  <c r="W28" i="33" s="1"/>
  <c r="F33" i="35"/>
  <c r="S33" i="35"/>
  <c r="J33" i="35"/>
  <c r="AC33" i="35" s="1"/>
  <c r="F30" i="35"/>
  <c r="S30" i="35"/>
  <c r="H10" i="36"/>
  <c r="AB10" i="36" s="1"/>
  <c r="J14" i="36"/>
  <c r="H14" i="36"/>
  <c r="U14" i="36" s="1"/>
  <c r="F28" i="36"/>
  <c r="AA28" i="36"/>
  <c r="H27" i="21"/>
  <c r="AB27" i="21" s="1"/>
  <c r="F27" i="21"/>
  <c r="H29" i="21"/>
  <c r="F45" i="21"/>
  <c r="AA45" i="21" s="1"/>
  <c r="F27" i="33"/>
  <c r="J13" i="33"/>
  <c r="H13" i="33"/>
  <c r="AB13" i="33"/>
  <c r="F13" i="33"/>
  <c r="S13" i="33"/>
  <c r="J29" i="33"/>
  <c r="AC29" i="33"/>
  <c r="H29" i="33"/>
  <c r="U29" i="33" s="1"/>
  <c r="F29" i="33"/>
  <c r="S29" i="33"/>
  <c r="J31" i="33"/>
  <c r="W31" i="33"/>
  <c r="F31" i="33"/>
  <c r="H45" i="33"/>
  <c r="J14" i="34"/>
  <c r="W14" i="34"/>
  <c r="F14" i="34"/>
  <c r="H14" i="34"/>
  <c r="H30" i="34"/>
  <c r="F30" i="34"/>
  <c r="W30" i="34"/>
  <c r="H32" i="34"/>
  <c r="H46" i="34"/>
  <c r="U46" i="34"/>
  <c r="F46" i="34"/>
  <c r="J46" i="34"/>
  <c r="H11" i="35"/>
  <c r="U11" i="35" s="1"/>
  <c r="AC11" i="35"/>
  <c r="F11" i="35"/>
  <c r="J26" i="36"/>
  <c r="W26" i="36"/>
  <c r="H28" i="36"/>
  <c r="J11" i="36"/>
  <c r="H11" i="36"/>
  <c r="U11" i="36" s="1"/>
  <c r="F11" i="36"/>
  <c r="AA11" i="36"/>
  <c r="G89" i="37"/>
  <c r="H89" i="37"/>
  <c r="I89" i="37"/>
  <c r="J89" i="37" s="1"/>
  <c r="K89" i="37" s="1"/>
  <c r="L89" i="37"/>
  <c r="M89" i="37" s="1"/>
  <c r="J29" i="37"/>
  <c r="W29" i="37"/>
  <c r="F29" i="37"/>
  <c r="S29" i="37"/>
  <c r="F105" i="37"/>
  <c r="G105" i="37" s="1"/>
  <c r="H36" i="37"/>
  <c r="AB36" i="37" s="1"/>
  <c r="J37" i="37"/>
  <c r="AC37" i="37"/>
  <c r="H37" i="37"/>
  <c r="U37" i="37"/>
  <c r="H40" i="37"/>
  <c r="U40" i="37"/>
  <c r="J40" i="37"/>
  <c r="F40" i="37"/>
  <c r="AA40" i="37"/>
  <c r="AC12" i="40"/>
  <c r="W12" i="40"/>
  <c r="H14" i="33"/>
  <c r="U14" i="33"/>
  <c r="F14" i="33"/>
  <c r="S14" i="33" s="1"/>
  <c r="J14" i="33"/>
  <c r="H30" i="33"/>
  <c r="AB30" i="33"/>
  <c r="F30" i="33"/>
  <c r="J30" i="33"/>
  <c r="H44" i="33"/>
  <c r="J44" i="33"/>
  <c r="AC44" i="33" s="1"/>
  <c r="F44" i="33"/>
  <c r="S44" i="33"/>
  <c r="F46" i="33"/>
  <c r="AA46" i="33" s="1"/>
  <c r="H13" i="34"/>
  <c r="U13" i="34"/>
  <c r="J13" i="34"/>
  <c r="F13" i="34"/>
  <c r="S13" i="34" s="1"/>
  <c r="AA13" i="34"/>
  <c r="J29" i="34"/>
  <c r="H29" i="34"/>
  <c r="AB29" i="34"/>
  <c r="J31" i="34"/>
  <c r="H31" i="34"/>
  <c r="AB31" i="34"/>
  <c r="F31" i="34"/>
  <c r="S31" i="34" s="1"/>
  <c r="F45" i="34"/>
  <c r="S45" i="34" s="1"/>
  <c r="H47" i="34"/>
  <c r="U47" i="34" s="1"/>
  <c r="F47" i="34"/>
  <c r="J47" i="34"/>
  <c r="AC47" i="34"/>
  <c r="F13" i="35"/>
  <c r="S13" i="35"/>
  <c r="H13" i="35"/>
  <c r="U13" i="35"/>
  <c r="J25" i="35"/>
  <c r="F25" i="35"/>
  <c r="S25" i="35"/>
  <c r="H25" i="35"/>
  <c r="AB25" i="35" s="1"/>
  <c r="J35" i="35"/>
  <c r="AC35" i="35" s="1"/>
  <c r="F35" i="35"/>
  <c r="AA35" i="35"/>
  <c r="H35" i="35"/>
  <c r="AB35" i="35"/>
  <c r="J25" i="36"/>
  <c r="W25" i="36" s="1"/>
  <c r="F25" i="36"/>
  <c r="S25" i="36" s="1"/>
  <c r="H25" i="36"/>
  <c r="AB25" i="36"/>
  <c r="H13" i="37"/>
  <c r="F13" i="37"/>
  <c r="S13" i="37" s="1"/>
  <c r="J13" i="37"/>
  <c r="W13" i="37"/>
  <c r="F28" i="37"/>
  <c r="AA28" i="37" s="1"/>
  <c r="J28" i="37"/>
  <c r="AC28" i="37" s="1"/>
  <c r="H28" i="37"/>
  <c r="U28" i="37" s="1"/>
  <c r="H38" i="37"/>
  <c r="AB38" i="37"/>
  <c r="J38" i="37"/>
  <c r="W38" i="37" s="1"/>
  <c r="AC38" i="37"/>
  <c r="F38" i="37"/>
  <c r="S38" i="37"/>
  <c r="F43" i="39"/>
  <c r="AA43" i="39" s="1"/>
  <c r="H43" i="39"/>
  <c r="J14" i="39"/>
  <c r="AC14" i="39"/>
  <c r="F14" i="39"/>
  <c r="H14" i="39"/>
  <c r="F12" i="40"/>
  <c r="S12" i="40" s="1"/>
  <c r="H12" i="40"/>
  <c r="F33" i="40"/>
  <c r="AA33" i="40"/>
  <c r="H33" i="40"/>
  <c r="U33" i="40"/>
  <c r="J37" i="40"/>
  <c r="AC37" i="40" s="1"/>
  <c r="H13" i="40"/>
  <c r="J13" i="40"/>
  <c r="W13" i="40"/>
  <c r="F13" i="40"/>
  <c r="AA13" i="40"/>
  <c r="F27" i="37"/>
  <c r="F13" i="39"/>
  <c r="J13" i="39"/>
  <c r="H13" i="39"/>
  <c r="H14" i="40"/>
  <c r="AB14" i="40" s="1"/>
  <c r="J14" i="40"/>
  <c r="W14" i="40"/>
  <c r="F14" i="40"/>
  <c r="AA14" i="40"/>
  <c r="J14" i="37"/>
  <c r="AC14" i="37" s="1"/>
  <c r="J27" i="37"/>
  <c r="AC27" i="37" s="1"/>
  <c r="AA44" i="33"/>
  <c r="AA13" i="35"/>
  <c r="U31" i="34"/>
  <c r="AA14" i="33"/>
  <c r="J36" i="37"/>
  <c r="J10" i="36"/>
  <c r="AC10" i="36"/>
  <c r="AB26" i="33"/>
  <c r="AB30" i="21"/>
  <c r="S11" i="36"/>
  <c r="W11" i="35"/>
  <c r="AB46" i="34"/>
  <c r="AB31" i="33"/>
  <c r="U31" i="33"/>
  <c r="W29" i="33"/>
  <c r="U13" i="33"/>
  <c r="F17" i="21"/>
  <c r="H17" i="21"/>
  <c r="F15" i="21"/>
  <c r="S15" i="21" s="1"/>
  <c r="AB11" i="21"/>
  <c r="J41" i="39"/>
  <c r="W41" i="39"/>
  <c r="S35" i="39"/>
  <c r="G544" i="3"/>
  <c r="G540" i="3"/>
  <c r="G536" i="3"/>
  <c r="G535" i="3"/>
  <c r="G532" i="3"/>
  <c r="G531" i="3"/>
  <c r="G527" i="3"/>
  <c r="G523" i="3"/>
  <c r="G518" i="3"/>
  <c r="G510" i="3"/>
  <c r="G508" i="3"/>
  <c r="G496" i="3"/>
  <c r="G584" i="3"/>
  <c r="G580" i="3"/>
  <c r="G576" i="3"/>
  <c r="G572" i="3"/>
  <c r="G560" i="3"/>
  <c r="G554" i="3"/>
  <c r="BL580" i="3"/>
  <c r="AZ580" i="3" s="1"/>
  <c r="BL578" i="3"/>
  <c r="G533" i="3"/>
  <c r="G529" i="3"/>
  <c r="BA582" i="3"/>
  <c r="BA580" i="3"/>
  <c r="BA578" i="3"/>
  <c r="AZ578" i="3"/>
  <c r="AZ564" i="3"/>
  <c r="BA562" i="3"/>
  <c r="AZ562" i="3" s="1"/>
  <c r="AZ556" i="3"/>
  <c r="BA554" i="3"/>
  <c r="AZ554" i="3" s="1"/>
  <c r="BA552" i="3"/>
  <c r="AZ552" i="3" s="1"/>
  <c r="BA579" i="3"/>
  <c r="BA571" i="3"/>
  <c r="AZ571" i="3" s="1"/>
  <c r="BA555" i="3"/>
  <c r="AZ555" i="3" s="1"/>
  <c r="G583" i="3"/>
  <c r="G581" i="3"/>
  <c r="G579" i="3"/>
  <c r="G577" i="3"/>
  <c r="G575" i="3"/>
  <c r="G573" i="3"/>
  <c r="G569" i="3"/>
  <c r="G567" i="3"/>
  <c r="G565" i="3"/>
  <c r="G563" i="3"/>
  <c r="G561" i="3"/>
  <c r="AC557" i="3"/>
  <c r="G557" i="3"/>
  <c r="BQ557" i="3"/>
  <c r="BQ583" i="3"/>
  <c r="BQ581" i="3"/>
  <c r="BL581" i="3"/>
  <c r="BQ579" i="3"/>
  <c r="BL579" i="3"/>
  <c r="BQ577" i="3"/>
  <c r="BQ575" i="3"/>
  <c r="BQ573" i="3"/>
  <c r="AZ573" i="3"/>
  <c r="BQ571" i="3"/>
  <c r="BQ569" i="3"/>
  <c r="BQ567" i="3"/>
  <c r="BQ565" i="3"/>
  <c r="BQ563" i="3"/>
  <c r="BQ561" i="3"/>
  <c r="BL561" i="3" s="1"/>
  <c r="BQ559" i="3"/>
  <c r="BL559" i="3" s="1"/>
  <c r="G553" i="3"/>
  <c r="G549" i="3"/>
  <c r="G547" i="3"/>
  <c r="G545" i="3"/>
  <c r="G543" i="3"/>
  <c r="G541" i="3"/>
  <c r="BQ555" i="3"/>
  <c r="BL555" i="3"/>
  <c r="BQ553" i="3"/>
  <c r="BQ551" i="3"/>
  <c r="BQ549" i="3"/>
  <c r="BQ547" i="3"/>
  <c r="BQ545" i="3"/>
  <c r="BL545" i="3"/>
  <c r="BQ543" i="3"/>
  <c r="BQ541" i="3"/>
  <c r="BQ539" i="3"/>
  <c r="BQ537" i="3"/>
  <c r="BQ535" i="3"/>
  <c r="BQ533" i="3"/>
  <c r="AZ533" i="3"/>
  <c r="BQ531" i="3"/>
  <c r="BQ529" i="3"/>
  <c r="BQ527" i="3"/>
  <c r="BL527" i="3"/>
  <c r="BQ525" i="3"/>
  <c r="BQ523" i="3"/>
  <c r="AC521" i="3"/>
  <c r="G521" i="3"/>
  <c r="BQ521" i="3"/>
  <c r="G519" i="3"/>
  <c r="G517" i="3"/>
  <c r="G515" i="3"/>
  <c r="G513" i="3"/>
  <c r="BQ519" i="3"/>
  <c r="BQ517" i="3"/>
  <c r="BQ515" i="3"/>
  <c r="BQ513" i="3"/>
  <c r="BL513" i="3"/>
  <c r="BQ511" i="3"/>
  <c r="AZ511" i="3"/>
  <c r="AC509" i="3"/>
  <c r="BQ509" i="3"/>
  <c r="G507" i="3"/>
  <c r="G505" i="3"/>
  <c r="G503" i="3"/>
  <c r="G501" i="3"/>
  <c r="G499" i="3"/>
  <c r="G497" i="3"/>
  <c r="BQ507" i="3"/>
  <c r="BQ505" i="3"/>
  <c r="BQ503" i="3"/>
  <c r="BQ501" i="3"/>
  <c r="BQ499" i="3"/>
  <c r="BL499" i="3"/>
  <c r="BQ497" i="3"/>
  <c r="BQ495" i="3"/>
  <c r="BQ493" i="3"/>
  <c r="S505" i="31"/>
  <c r="S503" i="31"/>
  <c r="S501" i="31"/>
  <c r="S499" i="31"/>
  <c r="O27" i="31"/>
  <c r="O28" i="31"/>
  <c r="O26" i="31"/>
  <c r="M27" i="31"/>
  <c r="M28" i="31"/>
  <c r="M26" i="31"/>
  <c r="I26" i="31"/>
  <c r="I25" i="31"/>
  <c r="S25" i="31"/>
  <c r="S22" i="31" s="1"/>
  <c r="R22" i="31" s="1"/>
  <c r="Q26" i="31"/>
  <c r="K26" i="31"/>
  <c r="I27" i="31"/>
  <c r="Q27" i="31"/>
  <c r="K27" i="31"/>
  <c r="I28" i="31"/>
  <c r="Q28" i="31"/>
  <c r="K28" i="31"/>
  <c r="AC28" i="34"/>
  <c r="AA12" i="21"/>
  <c r="H25" i="21"/>
  <c r="U25" i="21"/>
  <c r="F25" i="21"/>
  <c r="S25" i="21"/>
  <c r="J25" i="21"/>
  <c r="AC25" i="21"/>
  <c r="E125" i="33"/>
  <c r="F125" i="33" s="1"/>
  <c r="H43" i="33"/>
  <c r="AB43" i="33"/>
  <c r="H17" i="37"/>
  <c r="U17" i="37"/>
  <c r="AB27" i="37"/>
  <c r="U32" i="33"/>
  <c r="AA36" i="39"/>
  <c r="F39" i="33"/>
  <c r="AA39" i="33" s="1"/>
  <c r="E123" i="33"/>
  <c r="F123" i="33" s="1"/>
  <c r="G123" i="33" s="1"/>
  <c r="H123" i="33" s="1"/>
  <c r="I123" i="33" s="1"/>
  <c r="J123" i="33" s="1"/>
  <c r="K123" i="33" s="1"/>
  <c r="L123" i="33" s="1"/>
  <c r="M123" i="33" s="1"/>
  <c r="F42" i="33"/>
  <c r="AA42" i="33" s="1"/>
  <c r="H28" i="34"/>
  <c r="AB28" i="34"/>
  <c r="F14" i="36"/>
  <c r="S14" i="36" s="1"/>
  <c r="AA14" i="36"/>
  <c r="F22" i="36"/>
  <c r="S22" i="36"/>
  <c r="F26" i="36"/>
  <c r="S26" i="36" s="1"/>
  <c r="H27" i="34"/>
  <c r="AB27" i="34"/>
  <c r="H35" i="34"/>
  <c r="U35" i="34"/>
  <c r="F41" i="34"/>
  <c r="S41" i="34"/>
  <c r="H41" i="34"/>
  <c r="J41" i="34"/>
  <c r="AC41" i="34"/>
  <c r="F10" i="35"/>
  <c r="S10" i="35" s="1"/>
  <c r="F24" i="35"/>
  <c r="AA24" i="35"/>
  <c r="H24" i="35"/>
  <c r="H23" i="37"/>
  <c r="AB23" i="37"/>
  <c r="J32" i="37"/>
  <c r="W32" i="37" s="1"/>
  <c r="F36" i="37"/>
  <c r="AA36" i="37"/>
  <c r="F37" i="37"/>
  <c r="F31" i="40"/>
  <c r="AA31" i="40"/>
  <c r="H31" i="40"/>
  <c r="F32" i="40"/>
  <c r="S32" i="40"/>
  <c r="H32" i="40"/>
  <c r="J36" i="40"/>
  <c r="W36" i="40" s="1"/>
  <c r="AA41" i="34"/>
  <c r="H19" i="37"/>
  <c r="AB19" i="37"/>
  <c r="H42" i="33"/>
  <c r="AB42" i="33"/>
  <c r="G125" i="33"/>
  <c r="J43" i="33"/>
  <c r="AC43" i="33"/>
  <c r="U43" i="33"/>
  <c r="S28" i="31"/>
  <c r="S27" i="31"/>
  <c r="S26" i="31"/>
  <c r="U14" i="40"/>
  <c r="AC33" i="36"/>
  <c r="U35" i="35"/>
  <c r="W23" i="35"/>
  <c r="AB28" i="37"/>
  <c r="U33" i="37"/>
  <c r="U39" i="37"/>
  <c r="AC8" i="37"/>
  <c r="W47" i="34"/>
  <c r="AB13" i="34"/>
  <c r="W37" i="34"/>
  <c r="AB37" i="34"/>
  <c r="AC36" i="34"/>
  <c r="AA13" i="33"/>
  <c r="AC31" i="33"/>
  <c r="W44" i="33"/>
  <c r="U11" i="33"/>
  <c r="U19" i="21"/>
  <c r="U26" i="21"/>
  <c r="AB38" i="21"/>
  <c r="F43" i="33"/>
  <c r="S43" i="33" s="1"/>
  <c r="AA43" i="33"/>
  <c r="W16" i="35"/>
  <c r="G107" i="37"/>
  <c r="H107" i="37"/>
  <c r="I107" i="37"/>
  <c r="J107" i="37"/>
  <c r="K107" i="37" s="1"/>
  <c r="L107" i="37"/>
  <c r="M107" i="37"/>
  <c r="H37" i="21"/>
  <c r="U37" i="21"/>
  <c r="S42" i="21"/>
  <c r="H19" i="34"/>
  <c r="AB19" i="34" s="1"/>
  <c r="F36" i="35"/>
  <c r="S36" i="35"/>
  <c r="J9" i="37"/>
  <c r="H9" i="37"/>
  <c r="AB9" i="37"/>
  <c r="F9" i="37"/>
  <c r="AA9" i="37" s="1"/>
  <c r="J12" i="37"/>
  <c r="W12" i="37"/>
  <c r="H12" i="37"/>
  <c r="F12" i="37"/>
  <c r="S12" i="37"/>
  <c r="E71" i="37"/>
  <c r="F71" i="37" s="1"/>
  <c r="G71" i="37" s="1"/>
  <c r="F15" i="37"/>
  <c r="AA15" i="37" s="1"/>
  <c r="E94" i="37"/>
  <c r="F31" i="37"/>
  <c r="S31" i="37" s="1"/>
  <c r="F12" i="39"/>
  <c r="S12" i="39"/>
  <c r="J42" i="39"/>
  <c r="H21" i="40"/>
  <c r="AB21" i="40" s="1"/>
  <c r="AC12" i="37"/>
  <c r="F94" i="37"/>
  <c r="G94" i="37" s="1"/>
  <c r="H94" i="37" s="1"/>
  <c r="I94" i="37" s="1"/>
  <c r="J94" i="37" s="1"/>
  <c r="K94" i="37" s="1"/>
  <c r="L94" i="37" s="1"/>
  <c r="M94" i="37" s="1"/>
  <c r="H31" i="37"/>
  <c r="U31" i="37" s="1"/>
  <c r="J15" i="37"/>
  <c r="W15" i="37"/>
  <c r="AT6" i="3"/>
  <c r="AA25" i="21"/>
  <c r="C12" i="43"/>
  <c r="F19" i="40"/>
  <c r="S19" i="40" s="1"/>
  <c r="S14" i="40"/>
  <c r="AC13" i="40"/>
  <c r="AB33" i="40"/>
  <c r="W23" i="39"/>
  <c r="AC43" i="39"/>
  <c r="W43" i="39"/>
  <c r="U45" i="39"/>
  <c r="AB45" i="39"/>
  <c r="AB44" i="39"/>
  <c r="U44" i="39"/>
  <c r="G101" i="39"/>
  <c r="H37" i="39"/>
  <c r="AB37" i="39" s="1"/>
  <c r="H25" i="39"/>
  <c r="AB25" i="39" s="1"/>
  <c r="J25" i="39"/>
  <c r="F25" i="39"/>
  <c r="AA25" i="39"/>
  <c r="F15" i="39"/>
  <c r="AA15" i="39"/>
  <c r="H15" i="39"/>
  <c r="AB15" i="39" s="1"/>
  <c r="U15" i="39"/>
  <c r="J15" i="39"/>
  <c r="W15" i="39" s="1"/>
  <c r="H41" i="39"/>
  <c r="W27" i="39"/>
  <c r="S42" i="39"/>
  <c r="W14" i="39"/>
  <c r="AA41" i="39"/>
  <c r="W9" i="39"/>
  <c r="W8" i="39"/>
  <c r="J50" i="40"/>
  <c r="H103" i="9"/>
  <c r="D8" i="53" s="1"/>
  <c r="B16" i="53"/>
  <c r="B33" i="72" s="1"/>
  <c r="C7" i="37"/>
  <c r="C7" i="34"/>
  <c r="C59" i="34" s="1"/>
  <c r="D59" i="34" s="1"/>
  <c r="E59" i="34" s="1"/>
  <c r="C7" i="36"/>
  <c r="A118" i="9"/>
  <c r="A4" i="52"/>
  <c r="B41" i="72"/>
  <c r="J11" i="39"/>
  <c r="AC11" i="39" s="1"/>
  <c r="W11" i="39"/>
  <c r="F11" i="39"/>
  <c r="A12" i="52"/>
  <c r="B56" i="72" s="1"/>
  <c r="G4" i="4"/>
  <c r="I4" i="4"/>
  <c r="K5" i="4" s="1"/>
  <c r="B47" i="48" s="1"/>
  <c r="A2" i="9"/>
  <c r="F59" i="43"/>
  <c r="AZ20" i="3"/>
  <c r="AZ28" i="3"/>
  <c r="AZ32" i="3"/>
  <c r="BL549" i="3"/>
  <c r="G524" i="3"/>
  <c r="G303" i="3"/>
  <c r="BL304" i="3"/>
  <c r="AZ304" i="3" s="1"/>
  <c r="G305" i="3"/>
  <c r="BL306" i="3"/>
  <c r="BA308" i="3"/>
  <c r="AZ308" i="3"/>
  <c r="BA309" i="3"/>
  <c r="BL309" i="3"/>
  <c r="G310" i="3"/>
  <c r="BA311" i="3"/>
  <c r="AZ311" i="3" s="1"/>
  <c r="G319" i="3"/>
  <c r="BL320" i="3"/>
  <c r="AZ320" i="3" s="1"/>
  <c r="G321" i="3"/>
  <c r="BL322" i="3"/>
  <c r="BA324" i="3"/>
  <c r="AZ324" i="3"/>
  <c r="BA325" i="3"/>
  <c r="AZ325" i="3" s="1"/>
  <c r="BL325" i="3"/>
  <c r="G326" i="3"/>
  <c r="BA327" i="3"/>
  <c r="G335" i="3"/>
  <c r="BL336" i="3"/>
  <c r="AZ336" i="3" s="1"/>
  <c r="G337" i="3"/>
  <c r="BL338" i="3"/>
  <c r="BA340" i="3"/>
  <c r="AZ340" i="3"/>
  <c r="BA341" i="3"/>
  <c r="BL341" i="3"/>
  <c r="BA343" i="3"/>
  <c r="BA345" i="3"/>
  <c r="AZ345" i="3" s="1"/>
  <c r="BL355" i="3"/>
  <c r="G356" i="3"/>
  <c r="BL357" i="3"/>
  <c r="BA359" i="3"/>
  <c r="AZ359" i="3" s="1"/>
  <c r="BA360" i="3"/>
  <c r="BL360" i="3"/>
  <c r="G361" i="3"/>
  <c r="BA362" i="3"/>
  <c r="G370" i="3"/>
  <c r="BL371" i="3"/>
  <c r="AZ371" i="3" s="1"/>
  <c r="G372" i="3"/>
  <c r="BL373" i="3"/>
  <c r="BA375" i="3"/>
  <c r="BA376" i="3"/>
  <c r="BL376" i="3"/>
  <c r="G377" i="3"/>
  <c r="BA378" i="3"/>
  <c r="AZ378" i="3" s="1"/>
  <c r="BL378" i="3"/>
  <c r="G379" i="3"/>
  <c r="BA380" i="3"/>
  <c r="G388" i="3"/>
  <c r="BL389" i="3"/>
  <c r="G390" i="3"/>
  <c r="BL391" i="3"/>
  <c r="BA393" i="3"/>
  <c r="AZ393" i="3" s="1"/>
  <c r="BA394" i="3"/>
  <c r="AZ394" i="3" s="1"/>
  <c r="BL394" i="3"/>
  <c r="G113" i="3"/>
  <c r="BA115" i="3"/>
  <c r="AZ115" i="3"/>
  <c r="BL116" i="3"/>
  <c r="AZ116" i="3"/>
  <c r="G117" i="3"/>
  <c r="BA119" i="3"/>
  <c r="BL120" i="3"/>
  <c r="G121" i="3"/>
  <c r="BA123" i="3"/>
  <c r="AZ123" i="3"/>
  <c r="BL124" i="3"/>
  <c r="AZ124" i="3" s="1"/>
  <c r="G125" i="3"/>
  <c r="BA127" i="3"/>
  <c r="BL128" i="3"/>
  <c r="G129" i="3"/>
  <c r="BA131" i="3"/>
  <c r="AZ131" i="3"/>
  <c r="BL132" i="3"/>
  <c r="AZ132" i="3"/>
  <c r="G133" i="3"/>
  <c r="BA135" i="3"/>
  <c r="BL136" i="3"/>
  <c r="G137" i="3"/>
  <c r="BA139" i="3"/>
  <c r="BL140" i="3"/>
  <c r="AZ140" i="3" s="1"/>
  <c r="G141" i="3"/>
  <c r="BA143" i="3"/>
  <c r="BL144" i="3"/>
  <c r="AZ144" i="3" s="1"/>
  <c r="G145" i="3"/>
  <c r="BA147" i="3"/>
  <c r="AZ147" i="3"/>
  <c r="BL148" i="3"/>
  <c r="G149" i="3"/>
  <c r="BA151" i="3"/>
  <c r="AZ151" i="3"/>
  <c r="BL152" i="3"/>
  <c r="G153" i="3"/>
  <c r="BA155" i="3"/>
  <c r="BL156" i="3"/>
  <c r="AZ156" i="3"/>
  <c r="G157" i="3"/>
  <c r="BA159" i="3"/>
  <c r="AZ159" i="3" s="1"/>
  <c r="BL160" i="3"/>
  <c r="G161" i="3"/>
  <c r="BA163" i="3"/>
  <c r="AZ163" i="3" s="1"/>
  <c r="BL164" i="3"/>
  <c r="G165" i="3"/>
  <c r="BA167" i="3"/>
  <c r="BL168" i="3"/>
  <c r="AZ168" i="3" s="1"/>
  <c r="G169" i="3"/>
  <c r="BA171" i="3"/>
  <c r="AZ171" i="3"/>
  <c r="BL172" i="3"/>
  <c r="AZ172" i="3"/>
  <c r="G173" i="3"/>
  <c r="BA175" i="3"/>
  <c r="AZ175" i="3"/>
  <c r="BL176" i="3"/>
  <c r="G177" i="3"/>
  <c r="BA179" i="3"/>
  <c r="AZ179" i="3"/>
  <c r="BL180" i="3"/>
  <c r="G181" i="3"/>
  <c r="BA183" i="3"/>
  <c r="AZ183" i="3" s="1"/>
  <c r="BL184" i="3"/>
  <c r="G185" i="3"/>
  <c r="BA187" i="3"/>
  <c r="AZ187" i="3"/>
  <c r="BL188" i="3"/>
  <c r="AZ188" i="3" s="1"/>
  <c r="G189" i="3"/>
  <c r="BA191" i="3"/>
  <c r="BL192" i="3"/>
  <c r="G193" i="3"/>
  <c r="BA195" i="3"/>
  <c r="AZ195" i="3"/>
  <c r="BL196" i="3"/>
  <c r="AZ196" i="3"/>
  <c r="G197" i="3"/>
  <c r="BA199" i="3"/>
  <c r="AZ199" i="3"/>
  <c r="BL200" i="3"/>
  <c r="G201" i="3"/>
  <c r="BA203" i="3"/>
  <c r="AZ203" i="3" s="1"/>
  <c r="BL204" i="3"/>
  <c r="AZ39" i="3"/>
  <c r="AZ51" i="3"/>
  <c r="AZ67" i="3"/>
  <c r="AZ71" i="3"/>
  <c r="AZ152" i="3"/>
  <c r="AZ184" i="3"/>
  <c r="AZ200" i="3"/>
  <c r="AZ85" i="3"/>
  <c r="AZ101" i="3"/>
  <c r="AZ105" i="3"/>
  <c r="AZ120" i="3"/>
  <c r="AZ128" i="3"/>
  <c r="G534" i="3"/>
  <c r="G522" i="3"/>
  <c r="G512" i="3"/>
  <c r="G506" i="3"/>
  <c r="G498" i="3"/>
  <c r="G494" i="3"/>
  <c r="G16" i="3"/>
  <c r="G15" i="3"/>
  <c r="BA304" i="3"/>
  <c r="BA305" i="3"/>
  <c r="AZ305" i="3"/>
  <c r="BL305" i="3"/>
  <c r="G306" i="3"/>
  <c r="G309" i="3"/>
  <c r="BL310" i="3"/>
  <c r="AZ310" i="3" s="1"/>
  <c r="BA312" i="3"/>
  <c r="AZ312" i="3"/>
  <c r="BA313" i="3"/>
  <c r="BL313" i="3"/>
  <c r="AZ313" i="3" s="1"/>
  <c r="G314" i="3"/>
  <c r="G317" i="3"/>
  <c r="BL318" i="3"/>
  <c r="BA320" i="3"/>
  <c r="BA321" i="3"/>
  <c r="BL321" i="3"/>
  <c r="AZ321" i="3" s="1"/>
  <c r="G322" i="3"/>
  <c r="G325" i="3"/>
  <c r="BL326" i="3"/>
  <c r="BA328" i="3"/>
  <c r="BA329" i="3"/>
  <c r="BL329" i="3"/>
  <c r="AZ329" i="3" s="1"/>
  <c r="G330" i="3"/>
  <c r="G333" i="3"/>
  <c r="BL334" i="3"/>
  <c r="BA336" i="3"/>
  <c r="BA337" i="3"/>
  <c r="BL337" i="3"/>
  <c r="AZ337" i="3" s="1"/>
  <c r="G338" i="3"/>
  <c r="G341" i="3"/>
  <c r="BA342" i="3"/>
  <c r="AZ342" i="3" s="1"/>
  <c r="BL342" i="3"/>
  <c r="BA344" i="3"/>
  <c r="BL344" i="3"/>
  <c r="AZ344" i="3"/>
  <c r="BA346" i="3"/>
  <c r="AZ346" i="3"/>
  <c r="BA347" i="3"/>
  <c r="AZ347" i="3" s="1"/>
  <c r="BL347" i="3"/>
  <c r="G350" i="3"/>
  <c r="BA351" i="3"/>
  <c r="AZ351" i="3"/>
  <c r="BL351" i="3"/>
  <c r="G352" i="3"/>
  <c r="G354" i="3"/>
  <c r="BA355" i="3"/>
  <c r="AZ355" i="3"/>
  <c r="BA356" i="3"/>
  <c r="BL356" i="3"/>
  <c r="G357" i="3"/>
  <c r="G360" i="3"/>
  <c r="BL361" i="3"/>
  <c r="BA363" i="3"/>
  <c r="AZ363" i="3" s="1"/>
  <c r="BA364" i="3"/>
  <c r="BL364" i="3"/>
  <c r="G365" i="3"/>
  <c r="G368" i="3"/>
  <c r="BL369" i="3"/>
  <c r="AZ369" i="3" s="1"/>
  <c r="BA371" i="3"/>
  <c r="BA372" i="3"/>
  <c r="BL372" i="3"/>
  <c r="AZ372" i="3" s="1"/>
  <c r="G373" i="3"/>
  <c r="G376" i="3"/>
  <c r="BL377" i="3"/>
  <c r="AZ377" i="3" s="1"/>
  <c r="BL379" i="3"/>
  <c r="AZ379" i="3" s="1"/>
  <c r="BA381" i="3"/>
  <c r="AZ381" i="3" s="1"/>
  <c r="BA382" i="3"/>
  <c r="BL382" i="3"/>
  <c r="AZ382" i="3" s="1"/>
  <c r="G383" i="3"/>
  <c r="G386" i="3"/>
  <c r="BL387" i="3"/>
  <c r="AZ387" i="3" s="1"/>
  <c r="BA389" i="3"/>
  <c r="AZ389" i="3"/>
  <c r="BA390" i="3"/>
  <c r="BL390" i="3"/>
  <c r="AZ390" i="3" s="1"/>
  <c r="G391" i="3"/>
  <c r="G394" i="3"/>
  <c r="AZ170" i="3"/>
  <c r="AZ190" i="3"/>
  <c r="AZ194" i="3"/>
  <c r="BA16" i="3"/>
  <c r="AZ16" i="3" s="1"/>
  <c r="BL303" i="3"/>
  <c r="G304" i="3"/>
  <c r="BA306" i="3"/>
  <c r="AZ306" i="3" s="1"/>
  <c r="BL307" i="3"/>
  <c r="G308" i="3"/>
  <c r="BA310" i="3"/>
  <c r="BL311" i="3"/>
  <c r="G312" i="3"/>
  <c r="BA314" i="3"/>
  <c r="BL315" i="3"/>
  <c r="AZ315" i="3" s="1"/>
  <c r="G316" i="3"/>
  <c r="BA318" i="3"/>
  <c r="AZ318" i="3"/>
  <c r="BL319" i="3"/>
  <c r="G320" i="3"/>
  <c r="BA322" i="3"/>
  <c r="AZ322" i="3" s="1"/>
  <c r="BL323" i="3"/>
  <c r="AZ323" i="3"/>
  <c r="G324" i="3"/>
  <c r="BA326" i="3"/>
  <c r="AZ326" i="3" s="1"/>
  <c r="BL327" i="3"/>
  <c r="AZ327" i="3"/>
  <c r="G328" i="3"/>
  <c r="BA330" i="3"/>
  <c r="AZ330" i="3"/>
  <c r="BL331" i="3"/>
  <c r="AZ331" i="3"/>
  <c r="G332" i="3"/>
  <c r="BA334" i="3"/>
  <c r="AZ334" i="3"/>
  <c r="BL335" i="3"/>
  <c r="AZ335" i="3" s="1"/>
  <c r="G336" i="3"/>
  <c r="BA338" i="3"/>
  <c r="AZ338" i="3"/>
  <c r="BL339" i="3"/>
  <c r="AZ339" i="3" s="1"/>
  <c r="G340" i="3"/>
  <c r="BL343" i="3"/>
  <c r="G344" i="3"/>
  <c r="G348" i="3"/>
  <c r="G355" i="3"/>
  <c r="AZ222" i="3"/>
  <c r="AZ303" i="3"/>
  <c r="AZ319" i="3"/>
  <c r="G342" i="3"/>
  <c r="BL345" i="3"/>
  <c r="G346" i="3"/>
  <c r="BL349" i="3"/>
  <c r="AZ349" i="3" s="1"/>
  <c r="BL352" i="3"/>
  <c r="G353" i="3"/>
  <c r="BA357" i="3"/>
  <c r="AZ357" i="3"/>
  <c r="BL358" i="3"/>
  <c r="G359" i="3"/>
  <c r="BA361" i="3"/>
  <c r="AZ361" i="3" s="1"/>
  <c r="BL362" i="3"/>
  <c r="AZ362" i="3" s="1"/>
  <c r="G363" i="3"/>
  <c r="BA365" i="3"/>
  <c r="BL366" i="3"/>
  <c r="AZ366" i="3"/>
  <c r="G367" i="3"/>
  <c r="BA369" i="3"/>
  <c r="BL370" i="3"/>
  <c r="G371" i="3"/>
  <c r="BA373" i="3"/>
  <c r="AZ373" i="3" s="1"/>
  <c r="BL374" i="3"/>
  <c r="AZ374" i="3" s="1"/>
  <c r="G375" i="3"/>
  <c r="BA377" i="3"/>
  <c r="AZ229" i="3"/>
  <c r="AZ237" i="3"/>
  <c r="AZ245" i="3"/>
  <c r="AZ265" i="3"/>
  <c r="AZ269" i="3"/>
  <c r="BA379" i="3"/>
  <c r="BL380" i="3"/>
  <c r="G381" i="3"/>
  <c r="BA383" i="3"/>
  <c r="AZ383" i="3" s="1"/>
  <c r="BL384" i="3"/>
  <c r="G385" i="3"/>
  <c r="BA387" i="3"/>
  <c r="BL388" i="3"/>
  <c r="G389" i="3"/>
  <c r="BA391" i="3"/>
  <c r="BL392" i="3"/>
  <c r="AZ392" i="3" s="1"/>
  <c r="G393" i="3"/>
  <c r="AZ275" i="3"/>
  <c r="AZ291" i="3"/>
  <c r="AZ309" i="3"/>
  <c r="AZ341" i="3"/>
  <c r="AZ549" i="3"/>
  <c r="G538" i="3"/>
  <c r="G520" i="3"/>
  <c r="G17" i="3"/>
  <c r="BA17" i="3"/>
  <c r="AZ17" i="3" s="1"/>
  <c r="AZ350" i="3"/>
  <c r="AZ356" i="3"/>
  <c r="AZ360" i="3"/>
  <c r="AZ364" i="3"/>
  <c r="AZ368" i="3"/>
  <c r="BA15" i="3"/>
  <c r="AZ380" i="3"/>
  <c r="AZ384" i="3"/>
  <c r="AZ388" i="3"/>
  <c r="AZ376" i="3"/>
  <c r="U36" i="40"/>
  <c r="F36" i="43"/>
  <c r="H113" i="43"/>
  <c r="F48" i="43"/>
  <c r="F70" i="43"/>
  <c r="M11" i="43"/>
  <c r="D17" i="43"/>
  <c r="F39" i="43"/>
  <c r="I17" i="43"/>
  <c r="F35" i="43"/>
  <c r="J17" i="43"/>
  <c r="F6" i="1"/>
  <c r="U17" i="39"/>
  <c r="U43" i="21"/>
  <c r="AC35" i="21"/>
  <c r="U10" i="21"/>
  <c r="G8" i="1"/>
  <c r="G9" i="1"/>
  <c r="G10" i="1"/>
  <c r="F48" i="9"/>
  <c r="O52" i="9" s="1"/>
  <c r="W37" i="37"/>
  <c r="W44" i="34"/>
  <c r="AC44" i="34"/>
  <c r="AA12" i="40"/>
  <c r="J37" i="33"/>
  <c r="W37" i="33"/>
  <c r="F106" i="33"/>
  <c r="G106" i="33" s="1"/>
  <c r="H106" i="33" s="1"/>
  <c r="I106" i="33" s="1"/>
  <c r="J106" i="33" s="1"/>
  <c r="K106" i="33"/>
  <c r="L106" i="33" s="1"/>
  <c r="M106" i="33" s="1"/>
  <c r="J34" i="33"/>
  <c r="W34" i="33" s="1"/>
  <c r="F33" i="34"/>
  <c r="S33" i="34"/>
  <c r="W12" i="36"/>
  <c r="AC12" i="36"/>
  <c r="H20" i="36"/>
  <c r="J20" i="36"/>
  <c r="W20" i="36" s="1"/>
  <c r="J27" i="36"/>
  <c r="W27" i="36"/>
  <c r="AB25" i="37"/>
  <c r="AC33" i="40"/>
  <c r="H35" i="40"/>
  <c r="AB35" i="40" s="1"/>
  <c r="AC29" i="35"/>
  <c r="W29" i="35"/>
  <c r="H35" i="37"/>
  <c r="U35" i="37"/>
  <c r="AC14" i="35"/>
  <c r="H20" i="35"/>
  <c r="AB20" i="35" s="1"/>
  <c r="U20" i="35"/>
  <c r="F20" i="35"/>
  <c r="S20" i="35" s="1"/>
  <c r="AA20" i="35"/>
  <c r="AB23" i="35"/>
  <c r="AB29" i="36"/>
  <c r="U29" i="36"/>
  <c r="H32" i="37"/>
  <c r="U32" i="37" s="1"/>
  <c r="AB32" i="37"/>
  <c r="F96" i="37"/>
  <c r="G96" i="37" s="1"/>
  <c r="H96" i="37" s="1"/>
  <c r="I96" i="37" s="1"/>
  <c r="J96" i="37" s="1"/>
  <c r="K96" i="37" s="1"/>
  <c r="L96" i="37" s="1"/>
  <c r="M96" i="37" s="1"/>
  <c r="F27" i="40"/>
  <c r="S27" i="40" s="1"/>
  <c r="S31" i="39"/>
  <c r="E98" i="40"/>
  <c r="F98" i="40" s="1"/>
  <c r="F10" i="33"/>
  <c r="S10" i="33"/>
  <c r="F34" i="33"/>
  <c r="S34" i="33"/>
  <c r="H34" i="33"/>
  <c r="U34" i="33" s="1"/>
  <c r="F35" i="33"/>
  <c r="AA35" i="33" s="1"/>
  <c r="S35" i="33"/>
  <c r="F39" i="34"/>
  <c r="S39" i="34" s="1"/>
  <c r="J39" i="34"/>
  <c r="W39" i="34"/>
  <c r="F40" i="34"/>
  <c r="S40" i="34" s="1"/>
  <c r="F43" i="34"/>
  <c r="S43" i="34" s="1"/>
  <c r="AA43" i="34"/>
  <c r="H44" i="34"/>
  <c r="AB44" i="34" s="1"/>
  <c r="AC38" i="39"/>
  <c r="F39" i="39"/>
  <c r="S39" i="39" s="1"/>
  <c r="J39" i="39"/>
  <c r="AC39" i="39"/>
  <c r="E97" i="39"/>
  <c r="F97" i="39" s="1"/>
  <c r="G97" i="39" s="1"/>
  <c r="AZ386" i="3"/>
  <c r="C40" i="11"/>
  <c r="AZ223" i="3"/>
  <c r="AZ227" i="3"/>
  <c r="AZ235" i="3"/>
  <c r="AZ259" i="3"/>
  <c r="AZ280" i="3"/>
  <c r="AZ133" i="3"/>
  <c r="AZ31" i="3"/>
  <c r="AZ45" i="3"/>
  <c r="AZ53" i="3"/>
  <c r="AZ58" i="3"/>
  <c r="AZ61" i="3"/>
  <c r="AZ77" i="3"/>
  <c r="AZ86" i="3"/>
  <c r="AZ102" i="3"/>
  <c r="H75" i="43"/>
  <c r="F23" i="39"/>
  <c r="AA23" i="39"/>
  <c r="H27" i="36"/>
  <c r="AB27" i="36" s="1"/>
  <c r="F27" i="36"/>
  <c r="AA27" i="36"/>
  <c r="H33" i="34"/>
  <c r="U33" i="34" s="1"/>
  <c r="F32" i="37"/>
  <c r="AA32" i="37"/>
  <c r="F20" i="36"/>
  <c r="AA20" i="36"/>
  <c r="J33" i="34"/>
  <c r="H23" i="39"/>
  <c r="AB23" i="39" s="1"/>
  <c r="U23" i="39"/>
  <c r="D48" i="9"/>
  <c r="M52" i="9"/>
  <c r="K9" i="1"/>
  <c r="M9" i="1" s="1"/>
  <c r="AE9" i="1"/>
  <c r="D93" i="9"/>
  <c r="K6" i="1"/>
  <c r="W27" i="34"/>
  <c r="AC27" i="34"/>
  <c r="AB33" i="36"/>
  <c r="U33" i="36"/>
  <c r="AC12" i="39"/>
  <c r="W12" i="39"/>
  <c r="W39" i="40"/>
  <c r="AZ412" i="3"/>
  <c r="AZ433" i="3"/>
  <c r="AZ465" i="3"/>
  <c r="AZ408" i="3"/>
  <c r="AZ437" i="3"/>
  <c r="AZ457" i="3"/>
  <c r="AA39" i="34"/>
  <c r="BL14" i="3"/>
  <c r="AZ266" i="3"/>
  <c r="U30" i="33"/>
  <c r="W28" i="37"/>
  <c r="S19" i="39"/>
  <c r="H12" i="39"/>
  <c r="AB12" i="39"/>
  <c r="F39" i="40"/>
  <c r="BA14" i="3"/>
  <c r="AZ14" i="3" s="1"/>
  <c r="AZ367" i="3"/>
  <c r="AZ224" i="3"/>
  <c r="AZ254" i="3"/>
  <c r="AZ157" i="3"/>
  <c r="AZ189" i="3"/>
  <c r="AZ197" i="3"/>
  <c r="AZ35" i="3"/>
  <c r="AZ41" i="3"/>
  <c r="S12" i="1"/>
  <c r="T12" i="1" s="1"/>
  <c r="R12" i="1"/>
  <c r="B12" i="1"/>
  <c r="E12" i="1"/>
  <c r="S10" i="1"/>
  <c r="R10" i="1"/>
  <c r="B10" i="1"/>
  <c r="E10" i="1"/>
  <c r="AZ84" i="3"/>
  <c r="K12" i="1"/>
  <c r="M12" i="1" s="1"/>
  <c r="S13" i="1"/>
  <c r="R13" i="1"/>
  <c r="S11" i="1"/>
  <c r="AQ11" i="1" s="1"/>
  <c r="R11" i="1"/>
  <c r="S9" i="1"/>
  <c r="AR9" i="1" s="1"/>
  <c r="R9" i="1"/>
  <c r="J51" i="67"/>
  <c r="C42" i="1"/>
  <c r="H100" i="43"/>
  <c r="C30" i="66"/>
  <c r="E26" i="66" s="1"/>
  <c r="AC34" i="33"/>
  <c r="AA34" i="33"/>
  <c r="B41" i="1"/>
  <c r="F53" i="9" s="1"/>
  <c r="J100" i="43"/>
  <c r="S35" i="40"/>
  <c r="AA32" i="40"/>
  <c r="S17" i="40"/>
  <c r="S23" i="40"/>
  <c r="W39" i="39"/>
  <c r="S43" i="39"/>
  <c r="S37" i="39"/>
  <c r="U35" i="39"/>
  <c r="F32" i="39"/>
  <c r="F107" i="39"/>
  <c r="G107" i="39"/>
  <c r="U25" i="39"/>
  <c r="AB27" i="39"/>
  <c r="U31" i="39"/>
  <c r="S25" i="39"/>
  <c r="J21" i="39"/>
  <c r="F21" i="39"/>
  <c r="H21" i="39"/>
  <c r="W19" i="39"/>
  <c r="S17" i="39"/>
  <c r="AC15" i="39"/>
  <c r="S15" i="39"/>
  <c r="AA12" i="39"/>
  <c r="S9" i="39"/>
  <c r="U12" i="39"/>
  <c r="S23" i="36"/>
  <c r="AC27" i="36"/>
  <c r="S33" i="36"/>
  <c r="S27" i="36"/>
  <c r="S29" i="36"/>
  <c r="AC26" i="36"/>
  <c r="AA22" i="36"/>
  <c r="AB14" i="36"/>
  <c r="S16" i="36"/>
  <c r="AA25" i="36"/>
  <c r="S24" i="36"/>
  <c r="U23" i="36"/>
  <c r="U16" i="36"/>
  <c r="U10" i="36"/>
  <c r="W10" i="36"/>
  <c r="AA25" i="35"/>
  <c r="S23" i="35"/>
  <c r="W24" i="35"/>
  <c r="AB13" i="35"/>
  <c r="U29" i="35"/>
  <c r="U28" i="35"/>
  <c r="AB27" i="35"/>
  <c r="AA33" i="35"/>
  <c r="AC30" i="35"/>
  <c r="S32" i="35"/>
  <c r="AA36" i="35"/>
  <c r="W32" i="35"/>
  <c r="S28" i="35"/>
  <c r="AB16" i="35"/>
  <c r="S22" i="35"/>
  <c r="U14" i="35"/>
  <c r="AC10" i="35"/>
  <c r="AA10" i="35"/>
  <c r="AB10" i="35"/>
  <c r="S8" i="35"/>
  <c r="W9" i="35"/>
  <c r="AC12" i="35"/>
  <c r="W13" i="35"/>
  <c r="F9" i="35"/>
  <c r="H9" i="35"/>
  <c r="F26" i="35"/>
  <c r="AA26" i="35" s="1"/>
  <c r="J26" i="35"/>
  <c r="H26" i="35"/>
  <c r="U26" i="35" s="1"/>
  <c r="AB40" i="37"/>
  <c r="W27" i="37"/>
  <c r="AC29" i="37"/>
  <c r="U29" i="37"/>
  <c r="S32" i="37"/>
  <c r="AB31" i="37"/>
  <c r="W30" i="37"/>
  <c r="S36" i="37"/>
  <c r="AA38" i="37"/>
  <c r="AC35" i="37"/>
  <c r="S30" i="37"/>
  <c r="AC15" i="37"/>
  <c r="J17" i="37"/>
  <c r="W17" i="37" s="1"/>
  <c r="F17" i="37"/>
  <c r="AA17" i="37"/>
  <c r="AB17" i="37"/>
  <c r="F75" i="37"/>
  <c r="G75" i="37" s="1"/>
  <c r="F19" i="37"/>
  <c r="F79" i="37"/>
  <c r="F23" i="37"/>
  <c r="S23" i="37" s="1"/>
  <c r="U23" i="37"/>
  <c r="U15" i="37"/>
  <c r="AC13" i="37"/>
  <c r="U9" i="37"/>
  <c r="AA13" i="37"/>
  <c r="AA12" i="37"/>
  <c r="H10" i="37"/>
  <c r="H60" i="37"/>
  <c r="I60" i="37" s="1"/>
  <c r="F11" i="37"/>
  <c r="S27" i="34"/>
  <c r="AB8" i="34"/>
  <c r="AA33" i="34"/>
  <c r="U44" i="34"/>
  <c r="U43" i="34"/>
  <c r="AC39" i="34"/>
  <c r="W41" i="34"/>
  <c r="AC42" i="34"/>
  <c r="AB35" i="34"/>
  <c r="U39" i="34"/>
  <c r="AA45" i="34"/>
  <c r="W34" i="34"/>
  <c r="AA25" i="34"/>
  <c r="U28" i="34"/>
  <c r="S17" i="34"/>
  <c r="AA29" i="34"/>
  <c r="U27" i="34"/>
  <c r="S23" i="34"/>
  <c r="U15" i="34"/>
  <c r="S10" i="34"/>
  <c r="H67" i="34"/>
  <c r="I67" i="34" s="1"/>
  <c r="H10" i="34"/>
  <c r="U10" i="34" s="1"/>
  <c r="F11" i="34"/>
  <c r="S11" i="34" s="1"/>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27" i="33"/>
  <c r="U27" i="33" s="1"/>
  <c r="F87" i="33"/>
  <c r="H25" i="33"/>
  <c r="F25" i="33"/>
  <c r="AA25" i="33" s="1"/>
  <c r="J23" i="33"/>
  <c r="AC23" i="33" s="1"/>
  <c r="F85" i="33"/>
  <c r="H23" i="33"/>
  <c r="AB23" i="33" s="1"/>
  <c r="F81" i="33"/>
  <c r="G81" i="33" s="1"/>
  <c r="F19" i="33"/>
  <c r="S19" i="33" s="1"/>
  <c r="W19" i="33"/>
  <c r="J17" i="33"/>
  <c r="S15" i="33"/>
  <c r="W15" i="33"/>
  <c r="I66" i="33"/>
  <c r="J10" i="33"/>
  <c r="H10" i="33"/>
  <c r="AA10" i="33"/>
  <c r="AC11" i="33"/>
  <c r="AB14" i="33"/>
  <c r="W43" i="21"/>
  <c r="W36" i="21"/>
  <c r="W41" i="21"/>
  <c r="AB39" i="21"/>
  <c r="AA43" i="21"/>
  <c r="S39" i="21"/>
  <c r="AA38" i="21"/>
  <c r="AA36" i="21"/>
  <c r="J15" i="21"/>
  <c r="F77" i="21"/>
  <c r="G77" i="21" s="1"/>
  <c r="F23" i="21"/>
  <c r="S23" i="21"/>
  <c r="E85" i="21"/>
  <c r="F85" i="21" s="1"/>
  <c r="G85" i="21" s="1"/>
  <c r="AB8" i="21"/>
  <c r="S8" i="21"/>
  <c r="M3" i="43"/>
  <c r="M1" i="43"/>
  <c r="N8" i="43"/>
  <c r="D120" i="9"/>
  <c r="D121" i="9" s="1"/>
  <c r="D7" i="52" s="1"/>
  <c r="F34" i="67"/>
  <c r="F62" i="67" s="1"/>
  <c r="M20" i="67"/>
  <c r="F34" i="15"/>
  <c r="F62" i="15" s="1"/>
  <c r="G13" i="3"/>
  <c r="BA13" i="3"/>
  <c r="BL17" i="3"/>
  <c r="BL13" i="3"/>
  <c r="J56" i="9"/>
  <c r="J57" i="9" s="1"/>
  <c r="J59" i="9" s="1"/>
  <c r="J61" i="9" s="1"/>
  <c r="A24" i="51"/>
  <c r="B18" i="72" s="1"/>
  <c r="U29" i="34"/>
  <c r="E5" i="6"/>
  <c r="D9" i="11" s="1"/>
  <c r="C9" i="11" s="1"/>
  <c r="E32" i="6"/>
  <c r="L19" i="6"/>
  <c r="G1" i="68"/>
  <c r="K1" i="12"/>
  <c r="AQ12" i="1"/>
  <c r="E19" i="69"/>
  <c r="E19" i="68"/>
  <c r="E19" i="11"/>
  <c r="E1" i="73"/>
  <c r="G41" i="69"/>
  <c r="G22" i="69"/>
  <c r="G41" i="68"/>
  <c r="G22" i="68"/>
  <c r="G27" i="12"/>
  <c r="G26" i="12"/>
  <c r="G41" i="11"/>
  <c r="G22" i="11"/>
  <c r="G25" i="12"/>
  <c r="C100" i="43"/>
  <c r="C7" i="43"/>
  <c r="E48" i="43"/>
  <c r="B46" i="43"/>
  <c r="E70" i="43"/>
  <c r="B68" i="43" s="1"/>
  <c r="F100" i="43"/>
  <c r="H17" i="43"/>
  <c r="H71" i="43"/>
  <c r="C17" i="43"/>
  <c r="F33" i="43"/>
  <c r="K17" i="43"/>
  <c r="F34" i="43"/>
  <c r="N6" i="43"/>
  <c r="N3" i="43"/>
  <c r="F38" i="43"/>
  <c r="F37" i="43"/>
  <c r="M9" i="43"/>
  <c r="N5" i="43"/>
  <c r="M12" i="43"/>
  <c r="B19" i="53"/>
  <c r="B37" i="72" s="1"/>
  <c r="C7" i="39"/>
  <c r="C68" i="39" s="1"/>
  <c r="C7" i="35"/>
  <c r="C7" i="33"/>
  <c r="C58" i="33" s="1"/>
  <c r="C7" i="21"/>
  <c r="C58" i="21" s="1"/>
  <c r="C7" i="40"/>
  <c r="C63" i="40" s="1"/>
  <c r="D63" i="40" s="1"/>
  <c r="D65" i="40" s="1"/>
  <c r="M47" i="9"/>
  <c r="G19" i="43"/>
  <c r="C46" i="36"/>
  <c r="C52" i="37"/>
  <c r="A4" i="51"/>
  <c r="B6" i="72" s="1"/>
  <c r="C48" i="35"/>
  <c r="C4" i="12"/>
  <c r="H66" i="43"/>
  <c r="H56" i="43"/>
  <c r="L20" i="6"/>
  <c r="B6" i="1"/>
  <c r="E6" i="1"/>
  <c r="S8" i="1"/>
  <c r="K11" i="1"/>
  <c r="M11" i="1" s="1"/>
  <c r="O11" i="1" s="1"/>
  <c r="P11" i="1" s="1"/>
  <c r="AP6" i="1"/>
  <c r="B9" i="1"/>
  <c r="E9" i="1" s="1"/>
  <c r="K7" i="1"/>
  <c r="M7" i="1" s="1"/>
  <c r="G1" i="15"/>
  <c r="G1" i="69"/>
  <c r="G1" i="67"/>
  <c r="S37" i="40"/>
  <c r="W37" i="40"/>
  <c r="AC14" i="40"/>
  <c r="S13" i="40"/>
  <c r="S33" i="40"/>
  <c r="S31" i="40"/>
  <c r="AB17" i="40"/>
  <c r="U8" i="40"/>
  <c r="S8" i="40"/>
  <c r="AA39" i="39"/>
  <c r="AC41" i="39"/>
  <c r="U42" i="39"/>
  <c r="W25" i="39"/>
  <c r="AC25" i="39"/>
  <c r="U13" i="39"/>
  <c r="AB13" i="39"/>
  <c r="AA13" i="39"/>
  <c r="S13" i="39"/>
  <c r="U43" i="39"/>
  <c r="AB43" i="39"/>
  <c r="AB11" i="39"/>
  <c r="AA27" i="39"/>
  <c r="W17" i="39"/>
  <c r="AC17" i="39"/>
  <c r="W31" i="39"/>
  <c r="AC31" i="39"/>
  <c r="S23" i="39"/>
  <c r="AA45" i="39"/>
  <c r="AB39" i="39"/>
  <c r="W34" i="39"/>
  <c r="U38" i="39"/>
  <c r="S8" i="39"/>
  <c r="S20" i="36"/>
  <c r="AC25" i="36"/>
  <c r="S28" i="36"/>
  <c r="W29" i="36"/>
  <c r="AC20" i="36"/>
  <c r="U25" i="36"/>
  <c r="W22" i="36"/>
  <c r="W23" i="36"/>
  <c r="U25" i="35"/>
  <c r="S24" i="35"/>
  <c r="W33" i="35"/>
  <c r="AA30" i="35"/>
  <c r="S35" i="35"/>
  <c r="W35" i="35"/>
  <c r="U36" i="37"/>
  <c r="S40" i="37"/>
  <c r="U38" i="37"/>
  <c r="AB37" i="37"/>
  <c r="S33" i="37"/>
  <c r="AC34" i="37"/>
  <c r="AB35" i="37"/>
  <c r="AA31" i="37"/>
  <c r="U19" i="37"/>
  <c r="AA29" i="37"/>
  <c r="AA8" i="37"/>
  <c r="U8" i="37"/>
  <c r="AA40" i="34"/>
  <c r="AB40" i="34"/>
  <c r="W19" i="34"/>
  <c r="AB33" i="34"/>
  <c r="AA31" i="34"/>
  <c r="AB47" i="34"/>
  <c r="U25" i="34"/>
  <c r="AB36" i="34"/>
  <c r="AC14" i="34"/>
  <c r="AC29" i="34"/>
  <c r="W29" i="34"/>
  <c r="W46" i="34"/>
  <c r="AC46" i="34"/>
  <c r="S37" i="34"/>
  <c r="U38" i="34"/>
  <c r="AC40" i="34"/>
  <c r="W40" i="34"/>
  <c r="S19" i="34"/>
  <c r="AA8" i="34"/>
  <c r="S8" i="34"/>
  <c r="AB9" i="34"/>
  <c r="U9" i="34"/>
  <c r="S46" i="34"/>
  <c r="AA46" i="34"/>
  <c r="U14" i="34"/>
  <c r="AB14" i="34"/>
  <c r="AA11" i="34"/>
  <c r="W23" i="34"/>
  <c r="AC23" i="34"/>
  <c r="U12" i="34"/>
  <c r="AB28" i="33"/>
  <c r="AC37" i="33"/>
  <c r="U39" i="33"/>
  <c r="U38" i="33"/>
  <c r="S33" i="33"/>
  <c r="U44" i="33"/>
  <c r="AB44" i="33"/>
  <c r="AC14" i="33"/>
  <c r="W14" i="33"/>
  <c r="AC30" i="33"/>
  <c r="W30" i="33"/>
  <c r="S31" i="33"/>
  <c r="AA31" i="33"/>
  <c r="W13" i="33"/>
  <c r="AC13" i="33"/>
  <c r="U15" i="33"/>
  <c r="S11" i="33"/>
  <c r="U37" i="33"/>
  <c r="AC28" i="33"/>
  <c r="S28" i="33"/>
  <c r="W8" i="33"/>
  <c r="S44" i="21"/>
  <c r="U28" i="21"/>
  <c r="AA11" i="21"/>
  <c r="S45" i="21"/>
  <c r="I101" i="21"/>
  <c r="J101" i="21" s="1"/>
  <c r="K101" i="21"/>
  <c r="L101" i="21" s="1"/>
  <c r="M101" i="21" s="1"/>
  <c r="F33" i="21"/>
  <c r="J33" i="21"/>
  <c r="AC33" i="21" s="1"/>
  <c r="H33" i="21"/>
  <c r="AB33" i="21"/>
  <c r="F37" i="21"/>
  <c r="AA37" i="21" s="1"/>
  <c r="AA26" i="21"/>
  <c r="AB46" i="21"/>
  <c r="W8" i="21"/>
  <c r="S35" i="21"/>
  <c r="AB37" i="21"/>
  <c r="J37" i="21"/>
  <c r="W37" i="21" s="1"/>
  <c r="H15" i="21"/>
  <c r="U15" i="21"/>
  <c r="J17" i="21"/>
  <c r="AC14" i="21"/>
  <c r="H45" i="21"/>
  <c r="U45" i="21" s="1"/>
  <c r="AC38" i="21"/>
  <c r="H32" i="21"/>
  <c r="H9" i="21"/>
  <c r="J9" i="21"/>
  <c r="W9" i="21" s="1"/>
  <c r="J32" i="21"/>
  <c r="F32" i="21"/>
  <c r="S19" i="21"/>
  <c r="S9" i="21"/>
  <c r="AA9" i="21"/>
  <c r="K141" i="21"/>
  <c r="K144" i="21"/>
  <c r="K143" i="21"/>
  <c r="AB25" i="21"/>
  <c r="AB44" i="21"/>
  <c r="AA30" i="21"/>
  <c r="W42" i="21"/>
  <c r="AC45" i="21"/>
  <c r="F10" i="21"/>
  <c r="K145" i="21"/>
  <c r="W25" i="21"/>
  <c r="AA15" i="21"/>
  <c r="AC27" i="21"/>
  <c r="AC26" i="21"/>
  <c r="S28" i="21"/>
  <c r="AC34" i="21"/>
  <c r="W12" i="21"/>
  <c r="AB36" i="21"/>
  <c r="C19" i="39"/>
  <c r="C15" i="40"/>
  <c r="C17" i="40"/>
  <c r="C23" i="40"/>
  <c r="C21" i="40"/>
  <c r="B54" i="43"/>
  <c r="B65" i="43"/>
  <c r="B49" i="43"/>
  <c r="B52" i="43"/>
  <c r="B56" i="43"/>
  <c r="B60" i="43"/>
  <c r="B63" i="43"/>
  <c r="B67" i="43"/>
  <c r="D23" i="15"/>
  <c r="D22" i="15"/>
  <c r="E4" i="4"/>
  <c r="B5" i="62" s="1"/>
  <c r="B73" i="72" s="1"/>
  <c r="C4" i="4"/>
  <c r="AZ13" i="3"/>
  <c r="F30" i="11"/>
  <c r="C48" i="11" s="1"/>
  <c r="F52" i="9"/>
  <c r="F30" i="69"/>
  <c r="F48" i="69" s="1"/>
  <c r="M18" i="15"/>
  <c r="T11" i="1"/>
  <c r="D9" i="69"/>
  <c r="C9" i="69" s="1"/>
  <c r="AR11" i="1"/>
  <c r="T9" i="1"/>
  <c r="T13" i="1"/>
  <c r="S7" i="1"/>
  <c r="AQ7" i="1" s="1"/>
  <c r="E7" i="70"/>
  <c r="S12" i="33"/>
  <c r="AA12" i="33"/>
  <c r="J32" i="39"/>
  <c r="AC32" i="39" s="1"/>
  <c r="H107" i="39"/>
  <c r="I107" i="39" s="1"/>
  <c r="J107" i="39" s="1"/>
  <c r="K107" i="39" s="1"/>
  <c r="L107" i="39" s="1"/>
  <c r="M107" i="39" s="1"/>
  <c r="H32" i="39"/>
  <c r="AB32" i="39" s="1"/>
  <c r="AA32" i="39"/>
  <c r="S32" i="39"/>
  <c r="AA21" i="39"/>
  <c r="S21" i="39"/>
  <c r="AC21" i="39"/>
  <c r="W21" i="39"/>
  <c r="S26" i="35"/>
  <c r="AC26" i="35"/>
  <c r="W26" i="35"/>
  <c r="AB26" i="35"/>
  <c r="S17" i="37"/>
  <c r="J19" i="37"/>
  <c r="AA23" i="37"/>
  <c r="J23" i="37"/>
  <c r="G79" i="37"/>
  <c r="J10" i="37"/>
  <c r="AC10" i="37" s="1"/>
  <c r="H11" i="37"/>
  <c r="AB10" i="37"/>
  <c r="U10" i="37"/>
  <c r="H11" i="34"/>
  <c r="J10" i="34"/>
  <c r="AB41" i="33"/>
  <c r="U41" i="33"/>
  <c r="W35" i="33"/>
  <c r="AC35" i="33"/>
  <c r="M111" i="33"/>
  <c r="J36" i="33"/>
  <c r="H36" i="33"/>
  <c r="S36" i="33"/>
  <c r="W32" i="33"/>
  <c r="H91" i="33"/>
  <c r="I91" i="33"/>
  <c r="J91" i="33" s="1"/>
  <c r="K91" i="33" s="1"/>
  <c r="L91" i="33" s="1"/>
  <c r="M91" i="33" s="1"/>
  <c r="J27" i="33"/>
  <c r="U25" i="33"/>
  <c r="AB25" i="33"/>
  <c r="S25" i="33"/>
  <c r="G87" i="33"/>
  <c r="H87" i="33"/>
  <c r="I87" i="33"/>
  <c r="J87" i="33" s="1"/>
  <c r="K87" i="33"/>
  <c r="L87" i="33" s="1"/>
  <c r="M87" i="33" s="1"/>
  <c r="J25" i="33"/>
  <c r="U23" i="33"/>
  <c r="F23" i="33"/>
  <c r="G85" i="33"/>
  <c r="AA19" i="33"/>
  <c r="H19" i="33"/>
  <c r="H17" i="33"/>
  <c r="AB17" i="33" s="1"/>
  <c r="F17" i="33"/>
  <c r="W17" i="33"/>
  <c r="AC17" i="33"/>
  <c r="U10" i="33"/>
  <c r="AB10" i="33"/>
  <c r="AC10" i="33"/>
  <c r="W10" i="33"/>
  <c r="U33" i="21"/>
  <c r="AA23" i="21"/>
  <c r="AB15" i="21"/>
  <c r="J23" i="21"/>
  <c r="H23" i="21"/>
  <c r="L27" i="6"/>
  <c r="AP7" i="1"/>
  <c r="AB45" i="21"/>
  <c r="S33" i="21"/>
  <c r="AA33" i="21"/>
  <c r="W32" i="21"/>
  <c r="AC32" i="21"/>
  <c r="AB9" i="21"/>
  <c r="U9" i="21"/>
  <c r="AA32" i="21"/>
  <c r="S32" i="21"/>
  <c r="AC9" i="21"/>
  <c r="AA10" i="21"/>
  <c r="S10" i="21"/>
  <c r="U32" i="39"/>
  <c r="W19" i="37"/>
  <c r="AC19" i="37"/>
  <c r="AB11" i="37"/>
  <c r="U11" i="37"/>
  <c r="J11" i="37"/>
  <c r="W10" i="37"/>
  <c r="U11" i="34"/>
  <c r="AB11" i="34"/>
  <c r="AC10" i="34"/>
  <c r="W10" i="34"/>
  <c r="I70" i="34"/>
  <c r="J70" i="34"/>
  <c r="K70" i="34" s="1"/>
  <c r="L70" i="34" s="1"/>
  <c r="M70" i="34" s="1"/>
  <c r="J11" i="34"/>
  <c r="U36" i="33"/>
  <c r="AB36" i="33"/>
  <c r="W27" i="33"/>
  <c r="AC27" i="33"/>
  <c r="W25" i="33"/>
  <c r="AC25" i="33"/>
  <c r="AB19" i="33"/>
  <c r="U19" i="33"/>
  <c r="AA17" i="33"/>
  <c r="S17" i="33"/>
  <c r="U17" i="33"/>
  <c r="AC23" i="21"/>
  <c r="W23" i="21"/>
  <c r="W11" i="34"/>
  <c r="AC11" i="34"/>
  <c r="R7" i="1"/>
  <c r="F34" i="11"/>
  <c r="F11" i="12"/>
  <c r="C23" i="12" s="1"/>
  <c r="F34" i="68"/>
  <c r="R8" i="1"/>
  <c r="AE7" i="1"/>
  <c r="AE8" i="1"/>
  <c r="AG6" i="1"/>
  <c r="AD3" i="71"/>
  <c r="C65" i="40"/>
  <c r="J1" i="73"/>
  <c r="C30" i="69"/>
  <c r="H60" i="43"/>
  <c r="H61" i="43"/>
  <c r="M4" i="43"/>
  <c r="M5" i="43"/>
  <c r="N12" i="43"/>
  <c r="N11" i="43"/>
  <c r="M10" i="43"/>
  <c r="M2" i="43"/>
  <c r="M7" i="43"/>
  <c r="H70" i="43"/>
  <c r="N9" i="43"/>
  <c r="M8" i="43"/>
  <c r="N10" i="43"/>
  <c r="M6" i="43"/>
  <c r="N7" i="43"/>
  <c r="N4" i="43"/>
  <c r="N2" i="43"/>
  <c r="N17" i="43"/>
  <c r="L17" i="43"/>
  <c r="O17" i="43"/>
  <c r="M17" i="43"/>
  <c r="E17" i="43"/>
  <c r="C70" i="39"/>
  <c r="D68" i="39"/>
  <c r="D70" i="39" s="1"/>
  <c r="C24" i="12"/>
  <c r="C13" i="71"/>
  <c r="D13" i="71"/>
  <c r="D14" i="71"/>
  <c r="D15" i="71"/>
  <c r="U15" i="71"/>
  <c r="S15" i="71"/>
  <c r="T15" i="71"/>
  <c r="AB13" i="71"/>
  <c r="X11" i="71"/>
  <c r="X10" i="71"/>
  <c r="AA11" i="71"/>
  <c r="AA10" i="71"/>
  <c r="X14" i="71"/>
  <c r="Y10" i="71"/>
  <c r="Z10" i="71" s="1"/>
  <c r="AB11" i="71"/>
  <c r="AB10" i="71"/>
  <c r="S11" i="71"/>
  <c r="Y11" i="71"/>
  <c r="Z11" i="71" s="1"/>
  <c r="X3" i="71"/>
  <c r="C12" i="71"/>
  <c r="B8" i="76"/>
  <c r="E8" i="76"/>
  <c r="F7" i="15"/>
  <c r="F7" i="73"/>
  <c r="L48" i="67"/>
  <c r="F16" i="15"/>
  <c r="E7" i="76"/>
  <c r="AO11" i="1"/>
  <c r="F38" i="15"/>
  <c r="B12" i="76"/>
  <c r="E12" i="76"/>
  <c r="M8" i="67"/>
  <c r="C76" i="67"/>
  <c r="M27" i="15"/>
  <c r="M9" i="15"/>
  <c r="E9" i="76"/>
  <c r="E11" i="76"/>
  <c r="F13" i="15"/>
  <c r="F8" i="15"/>
  <c r="F40" i="15"/>
  <c r="F41" i="67"/>
  <c r="J15" i="15"/>
  <c r="M23" i="15"/>
  <c r="AO13" i="1"/>
  <c r="B13" i="76"/>
  <c r="E13" i="76"/>
  <c r="F5" i="73"/>
  <c r="E2" i="69"/>
  <c r="F6" i="67"/>
  <c r="C76" i="15"/>
  <c r="AO7" i="1"/>
  <c r="F43" i="15"/>
  <c r="B7" i="76"/>
  <c r="F20" i="31"/>
  <c r="F26" i="15"/>
  <c r="D2" i="36"/>
  <c r="M22" i="15"/>
  <c r="M8" i="15"/>
  <c r="F36" i="15"/>
  <c r="M6" i="15"/>
  <c r="F6" i="73"/>
  <c r="B10" i="76"/>
  <c r="E10" i="76"/>
  <c r="F6" i="15"/>
  <c r="M24" i="15"/>
  <c r="AO10" i="1"/>
  <c r="AO8" i="1"/>
  <c r="F7" i="67"/>
  <c r="F3" i="73"/>
  <c r="L48" i="15"/>
  <c r="F37" i="15"/>
  <c r="D2" i="33"/>
  <c r="E2" i="68"/>
  <c r="F4" i="73"/>
  <c r="D2" i="34"/>
  <c r="D2" i="37"/>
  <c r="M26" i="15"/>
  <c r="AO9" i="1"/>
  <c r="F42" i="15"/>
  <c r="B11" i="76"/>
  <c r="D2" i="21"/>
  <c r="L47" i="67"/>
  <c r="AO12" i="1"/>
  <c r="D2" i="35"/>
  <c r="M28" i="15"/>
  <c r="L47" i="15"/>
  <c r="M29" i="15"/>
  <c r="F9" i="15"/>
  <c r="B9" i="76"/>
  <c r="C18" i="9" l="1"/>
  <c r="D18" i="9" s="1"/>
  <c r="A15" i="62"/>
  <c r="B61" i="72" s="1"/>
  <c r="AZ536" i="3"/>
  <c r="AZ502" i="3"/>
  <c r="BS5" i="3"/>
  <c r="BI5" i="3"/>
  <c r="BA495" i="3"/>
  <c r="AQ10" i="1"/>
  <c r="T10" i="1"/>
  <c r="AR10" i="1"/>
  <c r="W31" i="34"/>
  <c r="AC31" i="34"/>
  <c r="S30" i="33"/>
  <c r="AA30" i="33"/>
  <c r="AB13" i="36"/>
  <c r="U13" i="36"/>
  <c r="AZ537" i="3"/>
  <c r="AZ534" i="3"/>
  <c r="AZ515" i="3"/>
  <c r="BM5" i="3"/>
  <c r="F29" i="6" s="1"/>
  <c r="BL501" i="3"/>
  <c r="BJ5" i="3"/>
  <c r="BO5" i="3"/>
  <c r="BL496" i="3"/>
  <c r="BF5" i="3"/>
  <c r="BA496" i="3"/>
  <c r="AZ496" i="3" s="1"/>
  <c r="G493" i="3"/>
  <c r="H5" i="3"/>
  <c r="E68" i="39"/>
  <c r="W23" i="37"/>
  <c r="AC23" i="37"/>
  <c r="W30" i="21"/>
  <c r="W23" i="40"/>
  <c r="AR8" i="1"/>
  <c r="AQ8" i="1"/>
  <c r="T8" i="1"/>
  <c r="W15" i="21"/>
  <c r="AC15" i="21"/>
  <c r="AA39" i="40"/>
  <c r="S39" i="40"/>
  <c r="H73" i="43"/>
  <c r="H72" i="43"/>
  <c r="H76" i="43"/>
  <c r="H78" i="43"/>
  <c r="H77" i="43"/>
  <c r="H74" i="43"/>
  <c r="AA11" i="39"/>
  <c r="S11" i="39"/>
  <c r="AA27" i="33"/>
  <c r="S27" i="33"/>
  <c r="AC14" i="36"/>
  <c r="W14" i="36"/>
  <c r="AB17" i="34"/>
  <c r="U17" i="34"/>
  <c r="AZ547" i="3"/>
  <c r="BA545" i="3"/>
  <c r="AZ545" i="3" s="1"/>
  <c r="AZ542" i="3"/>
  <c r="AZ523" i="3"/>
  <c r="AZ521" i="3"/>
  <c r="BA520" i="3"/>
  <c r="AZ520" i="3" s="1"/>
  <c r="BK5" i="3"/>
  <c r="BC5" i="3"/>
  <c r="BA499" i="3"/>
  <c r="AZ499" i="3" s="1"/>
  <c r="BL498" i="3"/>
  <c r="BP5" i="3"/>
  <c r="BR5" i="3"/>
  <c r="W32" i="39"/>
  <c r="W23" i="33"/>
  <c r="C11" i="71"/>
  <c r="D12" i="71"/>
  <c r="AC11" i="37"/>
  <c r="W11" i="37"/>
  <c r="AB10" i="34"/>
  <c r="AB34" i="33"/>
  <c r="AR13" i="1"/>
  <c r="AQ13" i="1"/>
  <c r="W9" i="37"/>
  <c r="AC9" i="37"/>
  <c r="S47" i="34"/>
  <c r="AA47" i="34"/>
  <c r="U32" i="34"/>
  <c r="AB32" i="34"/>
  <c r="AA46" i="21"/>
  <c r="S46" i="21"/>
  <c r="U37" i="40"/>
  <c r="AB37" i="40"/>
  <c r="AC36" i="39"/>
  <c r="W36" i="39"/>
  <c r="J29" i="21"/>
  <c r="F29" i="21"/>
  <c r="AB31" i="40"/>
  <c r="U31" i="40"/>
  <c r="U21" i="39"/>
  <c r="AB21" i="39"/>
  <c r="U20" i="36"/>
  <c r="AB20" i="36"/>
  <c r="AC42" i="39"/>
  <c r="W42" i="39"/>
  <c r="BL541" i="3"/>
  <c r="AZ541" i="3" s="1"/>
  <c r="AB17" i="21"/>
  <c r="U17" i="21"/>
  <c r="U45" i="33"/>
  <c r="AB45" i="33"/>
  <c r="U29" i="21"/>
  <c r="AB29" i="21"/>
  <c r="AC39" i="21"/>
  <c r="W39" i="21"/>
  <c r="AC17" i="21"/>
  <c r="W17" i="21"/>
  <c r="U9" i="35"/>
  <c r="AB9" i="35"/>
  <c r="AC33" i="34"/>
  <c r="W33" i="34"/>
  <c r="AZ15" i="3"/>
  <c r="BE5" i="3"/>
  <c r="H62" i="43"/>
  <c r="H65" i="43"/>
  <c r="H63" i="43"/>
  <c r="H67" i="43"/>
  <c r="H64" i="43"/>
  <c r="H59" i="43"/>
  <c r="BL495" i="3"/>
  <c r="AB13" i="40"/>
  <c r="U13" i="40"/>
  <c r="AB14" i="39"/>
  <c r="U14" i="39"/>
  <c r="S30" i="34"/>
  <c r="AA30" i="34"/>
  <c r="AZ585" i="3"/>
  <c r="AC19" i="40"/>
  <c r="W19" i="40"/>
  <c r="AZ559" i="3"/>
  <c r="AA23" i="33"/>
  <c r="S23" i="33"/>
  <c r="AC36" i="33"/>
  <c r="W36" i="33"/>
  <c r="O19" i="43"/>
  <c r="AA9" i="35"/>
  <c r="S9" i="35"/>
  <c r="D29" i="43"/>
  <c r="D1" i="43" s="1"/>
  <c r="M6" i="1"/>
  <c r="O6" i="1" s="1"/>
  <c r="S37" i="21"/>
  <c r="AC17" i="37"/>
  <c r="S19" i="37"/>
  <c r="AA19" i="37"/>
  <c r="W39" i="37"/>
  <c r="BN5" i="3"/>
  <c r="G29" i="6" s="1"/>
  <c r="AC13" i="39"/>
  <c r="W13" i="39"/>
  <c r="S16" i="35"/>
  <c r="AA16" i="35"/>
  <c r="AZ577" i="3"/>
  <c r="AB32" i="21"/>
  <c r="U32" i="21"/>
  <c r="AC43" i="34"/>
  <c r="W43" i="34"/>
  <c r="BA518" i="3"/>
  <c r="AZ518" i="3" s="1"/>
  <c r="AZ517" i="3"/>
  <c r="AZ516" i="3"/>
  <c r="BH5" i="3"/>
  <c r="AC25" i="34"/>
  <c r="W25" i="34"/>
  <c r="AZ532" i="3"/>
  <c r="AZ529" i="3"/>
  <c r="AZ512" i="3"/>
  <c r="AZ508" i="3"/>
  <c r="AZ507" i="3"/>
  <c r="AZ505" i="3"/>
  <c r="BA504" i="3"/>
  <c r="AZ504" i="3" s="1"/>
  <c r="AZ503" i="3"/>
  <c r="BA501" i="3"/>
  <c r="AZ501" i="3" s="1"/>
  <c r="BD5" i="3"/>
  <c r="BG5" i="3"/>
  <c r="BT5" i="3"/>
  <c r="BL497" i="3"/>
  <c r="BB5" i="3"/>
  <c r="BA497" i="3"/>
  <c r="AC5" i="3"/>
  <c r="G495" i="3"/>
  <c r="AZ494" i="3"/>
  <c r="AA26" i="36"/>
  <c r="U24" i="35"/>
  <c r="AB24" i="35"/>
  <c r="AA27" i="37"/>
  <c r="S27" i="37"/>
  <c r="H34" i="36"/>
  <c r="J34" i="36"/>
  <c r="F34" i="36"/>
  <c r="AA17" i="21"/>
  <c r="S17" i="21"/>
  <c r="U30" i="35"/>
  <c r="AB30" i="35"/>
  <c r="W11" i="21"/>
  <c r="AC11" i="21"/>
  <c r="S8" i="33"/>
  <c r="AA8" i="33"/>
  <c r="AC37" i="39"/>
  <c r="W37" i="39"/>
  <c r="AA14" i="21"/>
  <c r="AZ343" i="3"/>
  <c r="U41" i="39"/>
  <c r="AB41" i="39"/>
  <c r="U32" i="40"/>
  <c r="AB32" i="40"/>
  <c r="AC45" i="39"/>
  <c r="W20" i="35"/>
  <c r="AC20" i="35"/>
  <c r="U34" i="21"/>
  <c r="AA36" i="34"/>
  <c r="S36" i="34"/>
  <c r="W19" i="21"/>
  <c r="AC19" i="21"/>
  <c r="W40" i="21"/>
  <c r="AC40" i="21"/>
  <c r="BL587" i="3"/>
  <c r="H31" i="21"/>
  <c r="J31" i="21"/>
  <c r="F31" i="21"/>
  <c r="S37" i="37"/>
  <c r="AA37" i="37"/>
  <c r="AC36" i="37"/>
  <c r="W36" i="37"/>
  <c r="AB13" i="37"/>
  <c r="U13" i="37"/>
  <c r="AC40" i="37"/>
  <c r="W40" i="37"/>
  <c r="AC11" i="36"/>
  <c r="W11" i="36"/>
  <c r="U30" i="34"/>
  <c r="AB30" i="34"/>
  <c r="AA27" i="21"/>
  <c r="S27" i="21"/>
  <c r="W46" i="21"/>
  <c r="AC46" i="21"/>
  <c r="S35" i="37"/>
  <c r="AA35" i="37"/>
  <c r="AB35" i="21"/>
  <c r="U35" i="21"/>
  <c r="F9" i="33"/>
  <c r="H9" i="33"/>
  <c r="J9" i="33"/>
  <c r="U12" i="36"/>
  <c r="AB12" i="36"/>
  <c r="AB24" i="36"/>
  <c r="U24" i="36"/>
  <c r="F32" i="36"/>
  <c r="H32" i="36"/>
  <c r="J32" i="36"/>
  <c r="S28" i="37"/>
  <c r="AA36" i="40"/>
  <c r="S36" i="40"/>
  <c r="G17" i="43"/>
  <c r="C16" i="43" s="1"/>
  <c r="D6" i="52"/>
  <c r="AC37" i="21"/>
  <c r="AB27" i="33"/>
  <c r="AQ9" i="1"/>
  <c r="U27" i="21"/>
  <c r="U19" i="34"/>
  <c r="U26" i="36"/>
  <c r="W14" i="37"/>
  <c r="AZ579" i="3"/>
  <c r="F13" i="36"/>
  <c r="U40" i="40"/>
  <c r="H13" i="21"/>
  <c r="J13" i="21"/>
  <c r="F13" i="21"/>
  <c r="H12" i="33"/>
  <c r="W8" i="35"/>
  <c r="AC8" i="35"/>
  <c r="J12" i="33"/>
  <c r="J45" i="33"/>
  <c r="F45" i="33"/>
  <c r="F32" i="34"/>
  <c r="J32" i="34"/>
  <c r="I20" i="43"/>
  <c r="G6" i="1"/>
  <c r="G16" i="1" s="1"/>
  <c r="F10" i="40" s="1"/>
  <c r="H52" i="43"/>
  <c r="H49" i="43"/>
  <c r="H53" i="43"/>
  <c r="H51" i="43"/>
  <c r="H48" i="43"/>
  <c r="U12" i="37"/>
  <c r="AB12" i="37"/>
  <c r="W35" i="34"/>
  <c r="AC35" i="34"/>
  <c r="AC26" i="33"/>
  <c r="W26" i="33"/>
  <c r="D19" i="12"/>
  <c r="C19" i="12" s="1"/>
  <c r="W42" i="33"/>
  <c r="U37" i="39"/>
  <c r="U27" i="36"/>
  <c r="S15" i="37"/>
  <c r="S9" i="37"/>
  <c r="W44" i="21"/>
  <c r="AC32" i="37"/>
  <c r="BL557" i="3"/>
  <c r="AZ557" i="3" s="1"/>
  <c r="AB12" i="40"/>
  <c r="U12" i="40"/>
  <c r="W13" i="34"/>
  <c r="AC13" i="34"/>
  <c r="J13" i="36"/>
  <c r="U28" i="36"/>
  <c r="AB28" i="36"/>
  <c r="U14" i="21"/>
  <c r="AB14" i="21"/>
  <c r="U42" i="21"/>
  <c r="U34" i="39"/>
  <c r="AB34" i="39"/>
  <c r="BA587" i="3"/>
  <c r="AZ587" i="3" s="1"/>
  <c r="J46" i="33"/>
  <c r="H46" i="33"/>
  <c r="H45" i="34"/>
  <c r="J45" i="34"/>
  <c r="J9" i="36"/>
  <c r="F9" i="36"/>
  <c r="W16" i="36"/>
  <c r="AC16" i="36"/>
  <c r="AA44" i="39"/>
  <c r="S44" i="39"/>
  <c r="E84" i="40"/>
  <c r="F84" i="40" s="1"/>
  <c r="G84" i="40" s="1"/>
  <c r="J15" i="40"/>
  <c r="H15" i="40"/>
  <c r="AB15" i="40" s="1"/>
  <c r="U23" i="21"/>
  <c r="AB23" i="21"/>
  <c r="T7" i="1"/>
  <c r="AR7" i="1"/>
  <c r="S11" i="37"/>
  <c r="AA11" i="37"/>
  <c r="AZ391" i="3"/>
  <c r="BL493" i="3"/>
  <c r="AB19" i="39"/>
  <c r="AC44" i="39"/>
  <c r="W44" i="39"/>
  <c r="AC10" i="21"/>
  <c r="BA586" i="3"/>
  <c r="AZ586" i="3" s="1"/>
  <c r="AB40" i="21"/>
  <c r="U40" i="21"/>
  <c r="W27" i="35"/>
  <c r="AC24" i="36"/>
  <c r="W24" i="36"/>
  <c r="H26" i="37"/>
  <c r="F26" i="37"/>
  <c r="J26" i="37"/>
  <c r="W38" i="40"/>
  <c r="AC38" i="40"/>
  <c r="BA561" i="3"/>
  <c r="AZ561" i="3" s="1"/>
  <c r="AZ558" i="3"/>
  <c r="BL551" i="3"/>
  <c r="E88" i="40"/>
  <c r="F88" i="40" s="1"/>
  <c r="G88" i="40" s="1"/>
  <c r="H19" i="40"/>
  <c r="AZ570" i="3"/>
  <c r="C15" i="39"/>
  <c r="B70" i="43"/>
  <c r="AZ583" i="3"/>
  <c r="AZ576" i="3"/>
  <c r="BA574" i="3"/>
  <c r="AZ574" i="3" s="1"/>
  <c r="BA563" i="3"/>
  <c r="AZ563" i="3" s="1"/>
  <c r="H54" i="43"/>
  <c r="D9" i="68"/>
  <c r="C9" i="68" s="1"/>
  <c r="H55" i="43"/>
  <c r="AR12" i="1"/>
  <c r="BQ5" i="3"/>
  <c r="F28" i="6" s="1"/>
  <c r="AC15" i="34"/>
  <c r="U41" i="34"/>
  <c r="AB41" i="34"/>
  <c r="S14" i="39"/>
  <c r="AA14" i="39"/>
  <c r="W25" i="35"/>
  <c r="AC25" i="35"/>
  <c r="S11" i="35"/>
  <c r="AA11" i="35"/>
  <c r="W17" i="34"/>
  <c r="AC17" i="34"/>
  <c r="AA14" i="35"/>
  <c r="S14" i="35"/>
  <c r="AB40" i="39"/>
  <c r="U40" i="39"/>
  <c r="AB22" i="35"/>
  <c r="U22" i="35"/>
  <c r="AB12" i="21"/>
  <c r="U12" i="21"/>
  <c r="AB32" i="35"/>
  <c r="U32" i="35"/>
  <c r="S12" i="35"/>
  <c r="AA12" i="35"/>
  <c r="AA25" i="37"/>
  <c r="S25" i="37"/>
  <c r="AB34" i="35"/>
  <c r="U34" i="35"/>
  <c r="AB36" i="39"/>
  <c r="U36" i="39"/>
  <c r="BA584" i="3"/>
  <c r="AZ584" i="3" s="1"/>
  <c r="BL568" i="3"/>
  <c r="BA568" i="3"/>
  <c r="AZ568" i="3" s="1"/>
  <c r="BL524" i="3"/>
  <c r="AZ524" i="3" s="1"/>
  <c r="E63" i="40"/>
  <c r="W33" i="21"/>
  <c r="AB11" i="35"/>
  <c r="S14" i="34"/>
  <c r="AA14" i="34"/>
  <c r="W28" i="21"/>
  <c r="AC28" i="21"/>
  <c r="AA9" i="34"/>
  <c r="S9" i="34"/>
  <c r="H36" i="35"/>
  <c r="J36" i="35"/>
  <c r="E111" i="40"/>
  <c r="F111" i="40" s="1"/>
  <c r="G111" i="40" s="1"/>
  <c r="H111" i="40" s="1"/>
  <c r="I111" i="40" s="1"/>
  <c r="J111" i="40" s="1"/>
  <c r="K111" i="40" s="1"/>
  <c r="L111" i="40" s="1"/>
  <c r="M111" i="40" s="1"/>
  <c r="J35" i="40"/>
  <c r="J40" i="40"/>
  <c r="F40" i="40"/>
  <c r="U42" i="34"/>
  <c r="AB42" i="34"/>
  <c r="BL582" i="3"/>
  <c r="AZ582" i="3" s="1"/>
  <c r="BA581" i="3"/>
  <c r="AZ581" i="3" s="1"/>
  <c r="BA548" i="3"/>
  <c r="BL544" i="3"/>
  <c r="AZ544" i="3" s="1"/>
  <c r="BA538" i="3"/>
  <c r="AZ538" i="3" s="1"/>
  <c r="BL535" i="3"/>
  <c r="AZ535" i="3" s="1"/>
  <c r="BL530" i="3"/>
  <c r="BA530" i="3"/>
  <c r="AZ530" i="3" s="1"/>
  <c r="BL526" i="3"/>
  <c r="AZ526" i="3" s="1"/>
  <c r="BA522" i="3"/>
  <c r="AZ522" i="3" s="1"/>
  <c r="BA510" i="3"/>
  <c r="AZ510" i="3" s="1"/>
  <c r="BA500" i="3"/>
  <c r="AZ500" i="3" s="1"/>
  <c r="BA498" i="3"/>
  <c r="AZ498" i="3" s="1"/>
  <c r="BA493" i="3"/>
  <c r="AZ493" i="3" s="1"/>
  <c r="C6" i="43"/>
  <c r="AB11" i="36"/>
  <c r="W28" i="35"/>
  <c r="H14" i="37"/>
  <c r="F14" i="37"/>
  <c r="AC40" i="39"/>
  <c r="W40" i="39"/>
  <c r="BL548" i="3"/>
  <c r="B74" i="43"/>
  <c r="C27" i="39"/>
  <c r="AA38" i="39"/>
  <c r="S38" i="39"/>
  <c r="BA551" i="3"/>
  <c r="BA509" i="3"/>
  <c r="AZ509" i="3" s="1"/>
  <c r="BA550" i="3"/>
  <c r="AZ550" i="3" s="1"/>
  <c r="AZ402" i="3"/>
  <c r="AZ450" i="3"/>
  <c r="AZ220" i="3"/>
  <c r="F12" i="34"/>
  <c r="J34" i="35"/>
  <c r="F34" i="35"/>
  <c r="AZ421" i="3"/>
  <c r="AZ430" i="3"/>
  <c r="AZ470" i="3"/>
  <c r="AZ426" i="3"/>
  <c r="AZ487" i="3"/>
  <c r="AZ436" i="3"/>
  <c r="AZ479" i="3"/>
  <c r="AZ406" i="3"/>
  <c r="AZ422" i="3"/>
  <c r="AZ435" i="3"/>
  <c r="BA403" i="3"/>
  <c r="AZ403" i="3" s="1"/>
  <c r="BA414" i="3"/>
  <c r="AZ414" i="3" s="1"/>
  <c r="BA428" i="3"/>
  <c r="AZ428" i="3" s="1"/>
  <c r="BA438" i="3"/>
  <c r="AZ438" i="3" s="1"/>
  <c r="BA449" i="3"/>
  <c r="BA477" i="3"/>
  <c r="BA483" i="3"/>
  <c r="AZ483" i="3" s="1"/>
  <c r="BL489" i="3"/>
  <c r="AZ489" i="3" s="1"/>
  <c r="AZ395" i="3"/>
  <c r="AZ212" i="3"/>
  <c r="BA398" i="3"/>
  <c r="AZ398" i="3" s="1"/>
  <c r="G402" i="3"/>
  <c r="BL407" i="3"/>
  <c r="AZ407" i="3" s="1"/>
  <c r="BA415" i="3"/>
  <c r="AZ415" i="3" s="1"/>
  <c r="G419" i="3"/>
  <c r="G427" i="3"/>
  <c r="BA429" i="3"/>
  <c r="AZ429" i="3" s="1"/>
  <c r="BL435" i="3"/>
  <c r="G436" i="3"/>
  <c r="BA439" i="3"/>
  <c r="AZ439" i="3" s="1"/>
  <c r="BL449" i="3"/>
  <c r="G450" i="3"/>
  <c r="BA452" i="3"/>
  <c r="AZ452" i="3" s="1"/>
  <c r="BA453" i="3"/>
  <c r="AZ453" i="3" s="1"/>
  <c r="BL470" i="3"/>
  <c r="BL473" i="3"/>
  <c r="AZ473" i="3" s="1"/>
  <c r="BL476" i="3"/>
  <c r="AZ476" i="3" s="1"/>
  <c r="BL477" i="3"/>
  <c r="BL478" i="3"/>
  <c r="AZ478" i="3" s="1"/>
  <c r="BA481" i="3"/>
  <c r="AZ481" i="3" s="1"/>
  <c r="BA482" i="3"/>
  <c r="AZ482" i="3" s="1"/>
  <c r="BA307" i="3"/>
  <c r="AZ307" i="3" s="1"/>
  <c r="BA332" i="3"/>
  <c r="AZ332" i="3" s="1"/>
  <c r="BA353" i="3"/>
  <c r="AZ353" i="3" s="1"/>
  <c r="BL365" i="3"/>
  <c r="AZ365" i="3" s="1"/>
  <c r="BL375" i="3"/>
  <c r="AZ375" i="3" s="1"/>
  <c r="BA396" i="3"/>
  <c r="AZ396" i="3" s="1"/>
  <c r="AZ231" i="3"/>
  <c r="BL255" i="3"/>
  <c r="AZ262" i="3"/>
  <c r="BL287" i="3"/>
  <c r="BA405" i="3"/>
  <c r="AZ405" i="3" s="1"/>
  <c r="G409" i="3"/>
  <c r="BL413" i="3"/>
  <c r="AZ413" i="3" s="1"/>
  <c r="BL414" i="3"/>
  <c r="BL428" i="3"/>
  <c r="G480" i="3"/>
  <c r="BL482" i="3"/>
  <c r="G483" i="3"/>
  <c r="BA485" i="3"/>
  <c r="BA486" i="3"/>
  <c r="BL333" i="3"/>
  <c r="AZ333" i="3" s="1"/>
  <c r="BA352" i="3"/>
  <c r="AZ352" i="3" s="1"/>
  <c r="BL354" i="3"/>
  <c r="AZ354" i="3" s="1"/>
  <c r="BL395" i="3"/>
  <c r="BL397" i="3"/>
  <c r="BA257" i="3"/>
  <c r="BL274" i="3"/>
  <c r="AZ274" i="3" s="1"/>
  <c r="AZ282" i="3"/>
  <c r="AZ292" i="3"/>
  <c r="BL421" i="3"/>
  <c r="BL438" i="3"/>
  <c r="BL448" i="3"/>
  <c r="BL451" i="3"/>
  <c r="AZ451" i="3" s="1"/>
  <c r="AZ456" i="3"/>
  <c r="BA458" i="3"/>
  <c r="AZ458" i="3" s="1"/>
  <c r="AZ219" i="3"/>
  <c r="BL231" i="3"/>
  <c r="BL239" i="3"/>
  <c r="BL248" i="3"/>
  <c r="AZ248" i="3" s="1"/>
  <c r="AZ272" i="3"/>
  <c r="AZ278" i="3"/>
  <c r="BL404" i="3"/>
  <c r="AZ404" i="3" s="1"/>
  <c r="BA411" i="3"/>
  <c r="AZ411" i="3" s="1"/>
  <c r="BA417" i="3"/>
  <c r="AZ417" i="3" s="1"/>
  <c r="BA441" i="3"/>
  <c r="AZ443" i="3"/>
  <c r="G455" i="3"/>
  <c r="BA459" i="3"/>
  <c r="AZ459" i="3" s="1"/>
  <c r="BA460" i="3"/>
  <c r="AZ460" i="3" s="1"/>
  <c r="BA463" i="3"/>
  <c r="BA464" i="3"/>
  <c r="BA466" i="3"/>
  <c r="BA467" i="3"/>
  <c r="BA468" i="3"/>
  <c r="AZ468" i="3" s="1"/>
  <c r="BA469" i="3"/>
  <c r="AZ469" i="3" s="1"/>
  <c r="BL481" i="3"/>
  <c r="BL484" i="3"/>
  <c r="AZ484" i="3" s="1"/>
  <c r="BL485" i="3"/>
  <c r="BL486" i="3"/>
  <c r="BA490" i="3"/>
  <c r="AZ490" i="3" s="1"/>
  <c r="BA491" i="3"/>
  <c r="BA492" i="3"/>
  <c r="BA370" i="3"/>
  <c r="AZ370" i="3" s="1"/>
  <c r="BA233" i="3"/>
  <c r="AZ246" i="3"/>
  <c r="BA250" i="3"/>
  <c r="AZ294" i="3"/>
  <c r="G406" i="3"/>
  <c r="BA424" i="3"/>
  <c r="AZ424" i="3" s="1"/>
  <c r="BA425" i="3"/>
  <c r="AZ425" i="3" s="1"/>
  <c r="BL440" i="3"/>
  <c r="AZ440" i="3" s="1"/>
  <c r="BL441" i="3"/>
  <c r="G442" i="3"/>
  <c r="BA444" i="3"/>
  <c r="AZ444" i="3" s="1"/>
  <c r="BA445" i="3"/>
  <c r="AZ445" i="3" s="1"/>
  <c r="BL460" i="3"/>
  <c r="G461" i="3"/>
  <c r="BA472" i="3"/>
  <c r="AZ472" i="3" s="1"/>
  <c r="BA475" i="3"/>
  <c r="AZ475" i="3" s="1"/>
  <c r="G488" i="3"/>
  <c r="BL314" i="3"/>
  <c r="AZ314" i="3" s="1"/>
  <c r="G315" i="3"/>
  <c r="BL317" i="3"/>
  <c r="AZ317" i="3" s="1"/>
  <c r="BL328" i="3"/>
  <c r="AZ328" i="3" s="1"/>
  <c r="BL348" i="3"/>
  <c r="AZ348" i="3" s="1"/>
  <c r="BA358" i="3"/>
  <c r="AZ358" i="3" s="1"/>
  <c r="BL247" i="3"/>
  <c r="AZ247" i="3" s="1"/>
  <c r="AZ302" i="3"/>
  <c r="BA401" i="3"/>
  <c r="AZ401" i="3" s="1"/>
  <c r="BL410" i="3"/>
  <c r="AZ410" i="3" s="1"/>
  <c r="BL411" i="3"/>
  <c r="BL417" i="3"/>
  <c r="AZ419" i="3"/>
  <c r="AZ427" i="3"/>
  <c r="BA434" i="3"/>
  <c r="AZ434" i="3" s="1"/>
  <c r="G458" i="3"/>
  <c r="BL463" i="3"/>
  <c r="BL464" i="3"/>
  <c r="BL466" i="3"/>
  <c r="BL467" i="3"/>
  <c r="AZ471" i="3"/>
  <c r="AZ474" i="3"/>
  <c r="BL491" i="3"/>
  <c r="BL492" i="3"/>
  <c r="AZ260" i="3"/>
  <c r="AZ276" i="3"/>
  <c r="AZ420" i="3"/>
  <c r="AZ448" i="3"/>
  <c r="AZ480" i="3"/>
  <c r="AZ217" i="3"/>
  <c r="AZ255" i="3"/>
  <c r="BL288" i="3"/>
  <c r="AZ288" i="3" s="1"/>
  <c r="BL209" i="3"/>
  <c r="BA215" i="3"/>
  <c r="AZ215" i="3" s="1"/>
  <c r="BA232" i="3"/>
  <c r="AZ232" i="3" s="1"/>
  <c r="BA241" i="3"/>
  <c r="AZ241" i="3" s="1"/>
  <c r="BA249" i="3"/>
  <c r="AZ249" i="3" s="1"/>
  <c r="BL253" i="3"/>
  <c r="AZ253" i="3" s="1"/>
  <c r="BA256" i="3"/>
  <c r="AZ256" i="3" s="1"/>
  <c r="BL268" i="3"/>
  <c r="BL279" i="3"/>
  <c r="AZ279" i="3" s="1"/>
  <c r="BL281" i="3"/>
  <c r="BA284" i="3"/>
  <c r="BL289" i="3"/>
  <c r="AZ289" i="3" s="1"/>
  <c r="AZ113" i="3"/>
  <c r="AZ118" i="3"/>
  <c r="AZ108" i="3"/>
  <c r="BL214" i="3"/>
  <c r="AZ214" i="3" s="1"/>
  <c r="BA221" i="3"/>
  <c r="AZ221" i="3" s="1"/>
  <c r="BL240" i="3"/>
  <c r="AZ240" i="3" s="1"/>
  <c r="BL246" i="3"/>
  <c r="G248" i="3"/>
  <c r="BA258" i="3"/>
  <c r="AZ258" i="3" s="1"/>
  <c r="BL273" i="3"/>
  <c r="AZ273" i="3" s="1"/>
  <c r="G275" i="3"/>
  <c r="BA285" i="3"/>
  <c r="AZ285" i="3" s="1"/>
  <c r="BA293" i="3"/>
  <c r="AZ293" i="3" s="1"/>
  <c r="BL300" i="3"/>
  <c r="AZ300" i="3" s="1"/>
  <c r="G302" i="3"/>
  <c r="BA136" i="3"/>
  <c r="AZ136" i="3" s="1"/>
  <c r="BA137" i="3"/>
  <c r="AZ137" i="3" s="1"/>
  <c r="BA162" i="3"/>
  <c r="AZ162" i="3" s="1"/>
  <c r="BA182" i="3"/>
  <c r="AZ182" i="3" s="1"/>
  <c r="BA397" i="3"/>
  <c r="AZ397" i="3" s="1"/>
  <c r="G216" i="3"/>
  <c r="G227" i="3"/>
  <c r="BA234" i="3"/>
  <c r="AZ234" i="3" s="1"/>
  <c r="G242" i="3"/>
  <c r="BA251" i="3"/>
  <c r="AZ251" i="3" s="1"/>
  <c r="BA264" i="3"/>
  <c r="AZ264" i="3" s="1"/>
  <c r="BA277" i="3"/>
  <c r="AZ277" i="3" s="1"/>
  <c r="BL283" i="3"/>
  <c r="AZ283" i="3" s="1"/>
  <c r="BL284" i="3"/>
  <c r="G293" i="3"/>
  <c r="BL301" i="3"/>
  <c r="AZ301" i="3" s="1"/>
  <c r="G116" i="3"/>
  <c r="BL117" i="3"/>
  <c r="AZ117" i="3" s="1"/>
  <c r="G119" i="3"/>
  <c r="BA126" i="3"/>
  <c r="BL127" i="3"/>
  <c r="AZ127" i="3" s="1"/>
  <c r="BL174" i="3"/>
  <c r="AZ174" i="3" s="1"/>
  <c r="BA206" i="3"/>
  <c r="AZ206" i="3" s="1"/>
  <c r="BL69" i="3"/>
  <c r="AZ69" i="3" s="1"/>
  <c r="BL396" i="3"/>
  <c r="BL220" i="3"/>
  <c r="BL226" i="3"/>
  <c r="AZ226" i="3" s="1"/>
  <c r="BL233" i="3"/>
  <c r="AZ236" i="3"/>
  <c r="BL250" i="3"/>
  <c r="BL257" i="3"/>
  <c r="BA271" i="3"/>
  <c r="AZ271" i="3" s="1"/>
  <c r="BA287" i="3"/>
  <c r="AZ287" i="3" s="1"/>
  <c r="BL292" i="3"/>
  <c r="BL118" i="3"/>
  <c r="BL142" i="3"/>
  <c r="AZ142" i="3" s="1"/>
  <c r="BA205" i="3"/>
  <c r="AZ205" i="3" s="1"/>
  <c r="AZ56" i="3"/>
  <c r="BA79" i="3"/>
  <c r="AZ79" i="3" s="1"/>
  <c r="AZ90" i="3"/>
  <c r="G369" i="3"/>
  <c r="G235" i="3"/>
  <c r="BA244" i="3"/>
  <c r="AZ244" i="3" s="1"/>
  <c r="G252" i="3"/>
  <c r="BL263" i="3"/>
  <c r="AZ263" i="3" s="1"/>
  <c r="G265" i="3"/>
  <c r="BL270" i="3"/>
  <c r="AZ270" i="3" s="1"/>
  <c r="BL276" i="3"/>
  <c r="G278" i="3"/>
  <c r="BL286" i="3"/>
  <c r="AZ286" i="3" s="1"/>
  <c r="BL125" i="3"/>
  <c r="AZ125" i="3" s="1"/>
  <c r="BL126" i="3"/>
  <c r="BL138" i="3"/>
  <c r="AZ138" i="3" s="1"/>
  <c r="BA176" i="3"/>
  <c r="AZ176" i="3" s="1"/>
  <c r="BA177" i="3"/>
  <c r="AZ177" i="3" s="1"/>
  <c r="BA52" i="3"/>
  <c r="AZ57" i="3"/>
  <c r="BA74" i="3"/>
  <c r="AZ74" i="3" s="1"/>
  <c r="BA213" i="3"/>
  <c r="AZ213" i="3" s="1"/>
  <c r="BA218" i="3"/>
  <c r="AZ218" i="3" s="1"/>
  <c r="BA238" i="3"/>
  <c r="AZ238" i="3" s="1"/>
  <c r="G288" i="3"/>
  <c r="BA297" i="3"/>
  <c r="AZ297" i="3" s="1"/>
  <c r="BL114" i="3"/>
  <c r="AZ114" i="3" s="1"/>
  <c r="BA121" i="3"/>
  <c r="AZ121" i="3" s="1"/>
  <c r="BA134" i="3"/>
  <c r="AZ134" i="3" s="1"/>
  <c r="BL135" i="3"/>
  <c r="AZ135" i="3" s="1"/>
  <c r="BL143" i="3"/>
  <c r="AZ143" i="3" s="1"/>
  <c r="AZ153" i="3"/>
  <c r="BA165" i="3"/>
  <c r="AZ165" i="3" s="1"/>
  <c r="BL42" i="3"/>
  <c r="BL79" i="3"/>
  <c r="BA209" i="3"/>
  <c r="AZ209" i="3" s="1"/>
  <c r="BL217" i="3"/>
  <c r="G224" i="3"/>
  <c r="G237" i="3"/>
  <c r="BA239" i="3"/>
  <c r="AZ239" i="3" s="1"/>
  <c r="BL243" i="3"/>
  <c r="AZ243" i="3" s="1"/>
  <c r="G245" i="3"/>
  <c r="BA261" i="3"/>
  <c r="AZ261" i="3" s="1"/>
  <c r="BA268" i="3"/>
  <c r="AZ268" i="3" s="1"/>
  <c r="BA281" i="3"/>
  <c r="BA290" i="3"/>
  <c r="AZ290" i="3" s="1"/>
  <c r="BL296" i="3"/>
  <c r="AZ296" i="3" s="1"/>
  <c r="BA299" i="3"/>
  <c r="AZ299" i="3" s="1"/>
  <c r="BA130" i="3"/>
  <c r="BA164" i="3"/>
  <c r="AZ164" i="3" s="1"/>
  <c r="BL186" i="3"/>
  <c r="BA48" i="3"/>
  <c r="AZ48" i="3" s="1"/>
  <c r="BL106" i="3"/>
  <c r="BL295" i="3"/>
  <c r="AZ295" i="3" s="1"/>
  <c r="BL130" i="3"/>
  <c r="BL139" i="3"/>
  <c r="AZ139" i="3" s="1"/>
  <c r="BL150" i="3"/>
  <c r="AZ150" i="3" s="1"/>
  <c r="BA154" i="3"/>
  <c r="AZ154" i="3" s="1"/>
  <c r="BL167" i="3"/>
  <c r="AZ167" i="3" s="1"/>
  <c r="BA204" i="3"/>
  <c r="AZ204" i="3" s="1"/>
  <c r="BA21" i="3"/>
  <c r="BL26" i="3"/>
  <c r="AZ26" i="3" s="1"/>
  <c r="BL27" i="3"/>
  <c r="BA76" i="3"/>
  <c r="AZ95" i="3"/>
  <c r="BA112" i="3"/>
  <c r="G139" i="3"/>
  <c r="BL141" i="3"/>
  <c r="AZ141" i="3" s="1"/>
  <c r="BA158" i="3"/>
  <c r="AZ158" i="3" s="1"/>
  <c r="BL178" i="3"/>
  <c r="AZ178" i="3" s="1"/>
  <c r="BL202" i="3"/>
  <c r="AZ202" i="3" s="1"/>
  <c r="G20" i="3"/>
  <c r="BA22" i="3"/>
  <c r="AZ22" i="3" s="1"/>
  <c r="BA37" i="3"/>
  <c r="AZ37" i="3" s="1"/>
  <c r="BL43" i="3"/>
  <c r="AZ43" i="3" s="1"/>
  <c r="BL44" i="3"/>
  <c r="AZ44" i="3" s="1"/>
  <c r="BA50" i="3"/>
  <c r="AZ50" i="3" s="1"/>
  <c r="BA63" i="3"/>
  <c r="AZ63" i="3" s="1"/>
  <c r="G77" i="3"/>
  <c r="BA80" i="3"/>
  <c r="AZ80" i="3" s="1"/>
  <c r="BA81" i="3"/>
  <c r="AZ81" i="3" s="1"/>
  <c r="BL89" i="3"/>
  <c r="AZ89" i="3" s="1"/>
  <c r="BL90" i="3"/>
  <c r="BA93" i="3"/>
  <c r="AZ93" i="3" s="1"/>
  <c r="BA94" i="3"/>
  <c r="AZ94" i="3" s="1"/>
  <c r="F3" i="35"/>
  <c r="E59" i="43"/>
  <c r="B57" i="43" s="1"/>
  <c r="G126" i="3"/>
  <c r="G156" i="3"/>
  <c r="BA160" i="3"/>
  <c r="AZ160" i="3" s="1"/>
  <c r="BA186" i="3"/>
  <c r="BA193" i="3"/>
  <c r="G205" i="3"/>
  <c r="BL19" i="3"/>
  <c r="AZ19" i="3" s="1"/>
  <c r="BL21" i="3"/>
  <c r="BA30" i="3"/>
  <c r="AZ30" i="3" s="1"/>
  <c r="BL36" i="3"/>
  <c r="AZ36" i="3" s="1"/>
  <c r="BL49" i="3"/>
  <c r="AZ49" i="3" s="1"/>
  <c r="BL62" i="3"/>
  <c r="AZ62" i="3" s="1"/>
  <c r="G69" i="3"/>
  <c r="BL75" i="3"/>
  <c r="AZ75" i="3" s="1"/>
  <c r="BL76" i="3"/>
  <c r="BL92" i="3"/>
  <c r="AZ92" i="3" s="1"/>
  <c r="G94" i="3"/>
  <c r="BA96" i="3"/>
  <c r="AZ96" i="3" s="1"/>
  <c r="BA97" i="3"/>
  <c r="AZ97" i="3" s="1"/>
  <c r="BA100" i="3"/>
  <c r="AZ100" i="3" s="1"/>
  <c r="BL108" i="3"/>
  <c r="BL111" i="3"/>
  <c r="AZ111" i="3" s="1"/>
  <c r="BL112" i="3"/>
  <c r="C50" i="71"/>
  <c r="D49" i="71"/>
  <c r="BL155" i="3"/>
  <c r="AZ155" i="3" s="1"/>
  <c r="BL158" i="3"/>
  <c r="BL185" i="3"/>
  <c r="AZ185" i="3" s="1"/>
  <c r="BL68" i="3"/>
  <c r="AZ68" i="3" s="1"/>
  <c r="BL80" i="3"/>
  <c r="BA83" i="3"/>
  <c r="BA99" i="3"/>
  <c r="AZ99" i="3" s="1"/>
  <c r="AZ104" i="3"/>
  <c r="BL119" i="3"/>
  <c r="AZ119" i="3" s="1"/>
  <c r="BA122" i="3"/>
  <c r="AZ122" i="3" s="1"/>
  <c r="G162" i="3"/>
  <c r="BL173" i="3"/>
  <c r="AZ173" i="3" s="1"/>
  <c r="G187" i="3"/>
  <c r="BA192" i="3"/>
  <c r="AZ192" i="3" s="1"/>
  <c r="BL193" i="3"/>
  <c r="BA207" i="3"/>
  <c r="AZ207" i="3" s="1"/>
  <c r="BA24" i="3"/>
  <c r="BL29" i="3"/>
  <c r="AZ29" i="3" s="1"/>
  <c r="G31" i="3"/>
  <c r="BA34" i="3"/>
  <c r="BA47" i="3"/>
  <c r="AZ47" i="3" s="1"/>
  <c r="BA60" i="3"/>
  <c r="BA73" i="3"/>
  <c r="AZ73" i="3" s="1"/>
  <c r="BL78" i="3"/>
  <c r="AZ78" i="3" s="1"/>
  <c r="BL82" i="3"/>
  <c r="AZ82" i="3" s="1"/>
  <c r="G84" i="3"/>
  <c r="BA87" i="3"/>
  <c r="BL95" i="3"/>
  <c r="BL96" i="3"/>
  <c r="G100" i="3"/>
  <c r="BA103" i="3"/>
  <c r="AZ103" i="3" s="1"/>
  <c r="BA107" i="3"/>
  <c r="AZ107" i="3" s="1"/>
  <c r="C23" i="71"/>
  <c r="D22" i="71"/>
  <c r="G136" i="3"/>
  <c r="BA146" i="3"/>
  <c r="AZ146" i="3" s="1"/>
  <c r="BA149" i="3"/>
  <c r="AZ149" i="3" s="1"/>
  <c r="BL161" i="3"/>
  <c r="AZ161" i="3" s="1"/>
  <c r="BA166" i="3"/>
  <c r="AZ166" i="3" s="1"/>
  <c r="G176" i="3"/>
  <c r="BA181" i="3"/>
  <c r="AZ181" i="3" s="1"/>
  <c r="BL191" i="3"/>
  <c r="AZ191" i="3" s="1"/>
  <c r="G207" i="3"/>
  <c r="BA25" i="3"/>
  <c r="AZ25" i="3" s="1"/>
  <c r="BA40" i="3"/>
  <c r="AZ40" i="3" s="1"/>
  <c r="BL46" i="3"/>
  <c r="AZ46" i="3" s="1"/>
  <c r="G53" i="3"/>
  <c r="BL83" i="3"/>
  <c r="BA88" i="3"/>
  <c r="AZ88" i="3" s="1"/>
  <c r="BL99" i="3"/>
  <c r="BA106" i="3"/>
  <c r="BA109" i="3"/>
  <c r="AZ109" i="3" s="1"/>
  <c r="BA148" i="3"/>
  <c r="AZ148" i="3" s="1"/>
  <c r="G164" i="3"/>
  <c r="BA169" i="3"/>
  <c r="AZ169" i="3" s="1"/>
  <c r="BA180" i="3"/>
  <c r="AZ180" i="3" s="1"/>
  <c r="G191" i="3"/>
  <c r="BA198" i="3"/>
  <c r="AZ198" i="3" s="1"/>
  <c r="BA201" i="3"/>
  <c r="AZ201" i="3" s="1"/>
  <c r="BL206" i="3"/>
  <c r="G18" i="3"/>
  <c r="BL24" i="3"/>
  <c r="BA27" i="3"/>
  <c r="AZ27" i="3" s="1"/>
  <c r="BL33" i="3"/>
  <c r="AZ33" i="3" s="1"/>
  <c r="BL34" i="3"/>
  <c r="G40" i="3"/>
  <c r="BA42" i="3"/>
  <c r="G48" i="3"/>
  <c r="BL52" i="3"/>
  <c r="BA55" i="3"/>
  <c r="AZ55" i="3" s="1"/>
  <c r="BL59" i="3"/>
  <c r="AZ59" i="3" s="1"/>
  <c r="BL60" i="3"/>
  <c r="BA66" i="3"/>
  <c r="AZ66" i="3" s="1"/>
  <c r="BL72" i="3"/>
  <c r="AZ72" i="3" s="1"/>
  <c r="BL73" i="3"/>
  <c r="BL87" i="3"/>
  <c r="BA91" i="3"/>
  <c r="AZ91" i="3" s="1"/>
  <c r="BA110" i="3"/>
  <c r="AZ110" i="3" s="1"/>
  <c r="AB21" i="34"/>
  <c r="U21" i="34"/>
  <c r="D78" i="71"/>
  <c r="C77" i="71"/>
  <c r="D77" i="71" s="1"/>
  <c r="E26" i="71"/>
  <c r="E27" i="71" s="1"/>
  <c r="U27" i="71" s="1"/>
  <c r="AA21" i="71"/>
  <c r="AA23" i="71"/>
  <c r="AB26" i="71"/>
  <c r="AB29" i="71"/>
  <c r="AB28" i="71"/>
  <c r="B55" i="71"/>
  <c r="S55" i="71" s="1"/>
  <c r="AA9" i="71"/>
  <c r="AC18" i="36"/>
  <c r="AB24" i="71"/>
  <c r="Y16" i="71"/>
  <c r="Z16" i="71" s="1"/>
  <c r="AB18" i="36"/>
  <c r="U18" i="36"/>
  <c r="C38" i="71"/>
  <c r="D38" i="71" s="1"/>
  <c r="D37" i="71"/>
  <c r="C46" i="71"/>
  <c r="D45" i="71"/>
  <c r="T63" i="71"/>
  <c r="C62" i="71"/>
  <c r="D63" i="71"/>
  <c r="AA12" i="71"/>
  <c r="Y8" i="71"/>
  <c r="Z8" i="71" s="1"/>
  <c r="S21" i="33"/>
  <c r="P57" i="71"/>
  <c r="C34" i="71"/>
  <c r="T27" i="71"/>
  <c r="D27" i="71"/>
  <c r="AA19" i="71"/>
  <c r="E21" i="71"/>
  <c r="E22" i="71" s="1"/>
  <c r="E23" i="71" s="1"/>
  <c r="U23" i="71" s="1"/>
  <c r="AA20" i="71"/>
  <c r="AA16" i="71"/>
  <c r="Y22" i="71"/>
  <c r="Z22" i="71" s="1"/>
  <c r="Y19" i="71"/>
  <c r="Z19" i="71" s="1"/>
  <c r="F31" i="71"/>
  <c r="E38" i="71"/>
  <c r="E39" i="71" s="1"/>
  <c r="U39" i="71" s="1"/>
  <c r="C25" i="40"/>
  <c r="B86" i="43"/>
  <c r="AB18" i="71"/>
  <c r="AA22" i="71"/>
  <c r="Y5" i="71"/>
  <c r="Z5" i="71" s="1"/>
  <c r="AC18" i="35"/>
  <c r="W18" i="35"/>
  <c r="AB27" i="71"/>
  <c r="AB21" i="71"/>
  <c r="AB25" i="71"/>
  <c r="AB23" i="71"/>
  <c r="Y15" i="71"/>
  <c r="Z15" i="71" s="1"/>
  <c r="AA14" i="71"/>
  <c r="AA8" i="71"/>
  <c r="I15" i="66"/>
  <c r="D1" i="66" s="1"/>
  <c r="E10" i="66" s="1"/>
  <c r="T55" i="71"/>
  <c r="D55" i="71"/>
  <c r="AB8" i="71"/>
  <c r="AB20" i="71"/>
  <c r="C42" i="71"/>
  <c r="D41" i="71"/>
  <c r="AA15" i="71"/>
  <c r="E15" i="71"/>
  <c r="AA3" i="71"/>
  <c r="AB9" i="71"/>
  <c r="S21" i="21"/>
  <c r="AB16" i="71"/>
  <c r="X16" i="71"/>
  <c r="AA29" i="71"/>
  <c r="AA26" i="71"/>
  <c r="N59" i="71"/>
  <c r="B58" i="71"/>
  <c r="AB14" i="71"/>
  <c r="S18" i="36"/>
  <c r="Y17" i="71"/>
  <c r="Z17" i="71" s="1"/>
  <c r="X26" i="71"/>
  <c r="AB22" i="71"/>
  <c r="V59" i="71"/>
  <c r="F70" i="71"/>
  <c r="F69" i="71" s="1"/>
  <c r="AD10" i="43"/>
  <c r="Z12" i="43"/>
  <c r="Y12" i="71"/>
  <c r="Z12" i="71" s="1"/>
  <c r="X6" i="71"/>
  <c r="Y14" i="71"/>
  <c r="Z14" i="71" s="1"/>
  <c r="Y9" i="71"/>
  <c r="Z9" i="71" s="1"/>
  <c r="D21" i="71"/>
  <c r="B19" i="71"/>
  <c r="X25" i="71"/>
  <c r="X24" i="71"/>
  <c r="F58" i="71"/>
  <c r="AE12" i="43"/>
  <c r="N56" i="9"/>
  <c r="AA13" i="71"/>
  <c r="AA6" i="71"/>
  <c r="AA5" i="71"/>
  <c r="S18" i="35"/>
  <c r="O56" i="71"/>
  <c r="E19" i="71"/>
  <c r="Y28" i="71"/>
  <c r="Z28" i="71" s="1"/>
  <c r="X22" i="71"/>
  <c r="F21" i="71"/>
  <c r="F22" i="71" s="1"/>
  <c r="F23" i="71" s="1"/>
  <c r="V23" i="71" s="1"/>
  <c r="AB6" i="71"/>
  <c r="D57" i="71"/>
  <c r="D53" i="71"/>
  <c r="X19" i="71"/>
  <c r="C29" i="71"/>
  <c r="Y23" i="71"/>
  <c r="Z23" i="71" s="1"/>
  <c r="F15" i="71"/>
  <c r="F14" i="71" s="1"/>
  <c r="F13" i="71" s="1"/>
  <c r="F12" i="71" s="1"/>
  <c r="F11" i="71" s="1"/>
  <c r="F10" i="71" s="1"/>
  <c r="F9" i="71" s="1"/>
  <c r="F8" i="71" s="1"/>
  <c r="AB12" i="71"/>
  <c r="AB5" i="71"/>
  <c r="X5" i="71"/>
  <c r="F81" i="43"/>
  <c r="H83" i="43" s="1"/>
  <c r="C36" i="69"/>
  <c r="C40" i="68"/>
  <c r="C21" i="68"/>
  <c r="C40" i="69"/>
  <c r="E81" i="43"/>
  <c r="B79" i="43" s="1"/>
  <c r="C24" i="43" s="1"/>
  <c r="J81" i="43"/>
  <c r="J82" i="43"/>
  <c r="J83" i="43"/>
  <c r="N84" i="43"/>
  <c r="J85" i="43"/>
  <c r="J87" i="43"/>
  <c r="J88" i="43"/>
  <c r="AC36" i="40"/>
  <c r="AA27" i="40"/>
  <c r="E10" i="43"/>
  <c r="E8" i="43"/>
  <c r="E11" i="43"/>
  <c r="E9" i="43"/>
  <c r="P61" i="15"/>
  <c r="F76" i="40"/>
  <c r="G76" i="40" s="1"/>
  <c r="H76" i="40" s="1"/>
  <c r="I76" i="40" s="1"/>
  <c r="J76" i="40" s="1"/>
  <c r="K76" i="40" s="1"/>
  <c r="L76" i="40" s="1"/>
  <c r="M76" i="40" s="1"/>
  <c r="U35" i="40"/>
  <c r="F28" i="40"/>
  <c r="G98" i="40"/>
  <c r="J27" i="40"/>
  <c r="F96" i="40"/>
  <c r="G96" i="40" s="1"/>
  <c r="H96" i="40" s="1"/>
  <c r="I96" i="40" s="1"/>
  <c r="J96" i="40" s="1"/>
  <c r="K96" i="40" s="1"/>
  <c r="L96" i="40" s="1"/>
  <c r="M96" i="40" s="1"/>
  <c r="H27" i="40"/>
  <c r="U25" i="40"/>
  <c r="W25" i="40"/>
  <c r="S25" i="40"/>
  <c r="U23" i="40"/>
  <c r="U21" i="40"/>
  <c r="AC21" i="40"/>
  <c r="S21" i="40"/>
  <c r="AA19" i="40"/>
  <c r="AC17" i="40"/>
  <c r="U15" i="40"/>
  <c r="AA15" i="40"/>
  <c r="U9" i="40"/>
  <c r="AA9" i="40"/>
  <c r="AB30" i="40"/>
  <c r="U30" i="40"/>
  <c r="F30" i="40"/>
  <c r="J30" i="40"/>
  <c r="C94" i="9"/>
  <c r="C92" i="9"/>
  <c r="C30" i="11"/>
  <c r="F54" i="9"/>
  <c r="F32" i="15"/>
  <c r="F60" i="15" s="1"/>
  <c r="F32" i="67"/>
  <c r="F60" i="67" s="1"/>
  <c r="F28" i="67"/>
  <c r="C28" i="67" s="1"/>
  <c r="C77" i="9"/>
  <c r="C74" i="9" s="1"/>
  <c r="C13" i="12"/>
  <c r="C36" i="11"/>
  <c r="D68" i="9"/>
  <c r="F28" i="15"/>
  <c r="C28" i="15" s="1"/>
  <c r="C48" i="69"/>
  <c r="M18" i="67"/>
  <c r="F31" i="12"/>
  <c r="C31" i="12" s="1"/>
  <c r="F30" i="68"/>
  <c r="C21" i="69"/>
  <c r="D23" i="67"/>
  <c r="Q16" i="1"/>
  <c r="F27" i="69" s="1"/>
  <c r="F45" i="69" s="1"/>
  <c r="O7" i="1"/>
  <c r="P7" i="1" s="1"/>
  <c r="H16" i="1"/>
  <c r="O14" i="1"/>
  <c r="P14" i="1" s="1"/>
  <c r="E13" i="6"/>
  <c r="F22" i="43"/>
  <c r="F101" i="43"/>
  <c r="E22" i="43"/>
  <c r="H22" i="43"/>
  <c r="D101" i="43"/>
  <c r="I101" i="43"/>
  <c r="G22" i="43"/>
  <c r="AJ11" i="43"/>
  <c r="AJ13" i="43" s="1"/>
  <c r="AF11" i="43"/>
  <c r="AF13" i="43" s="1"/>
  <c r="AB11" i="43"/>
  <c r="AB13" i="43" s="1"/>
  <c r="Z7" i="43"/>
  <c r="AI11" i="43"/>
  <c r="AI13" i="43" s="1"/>
  <c r="AE11" i="43"/>
  <c r="AE13" i="43" s="1"/>
  <c r="AA11" i="43"/>
  <c r="AA13" i="43" s="1"/>
  <c r="B113" i="43"/>
  <c r="K101" i="43"/>
  <c r="N101" i="43"/>
  <c r="G101" i="43"/>
  <c r="C101" i="43"/>
  <c r="J101" i="43"/>
  <c r="N104" i="46"/>
  <c r="L101" i="43"/>
  <c r="H101" i="43"/>
  <c r="M101" i="43"/>
  <c r="E101" i="43"/>
  <c r="AH11" i="43"/>
  <c r="AH13" i="43" s="1"/>
  <c r="AD11" i="43"/>
  <c r="AD13" i="43" s="1"/>
  <c r="Z11" i="43"/>
  <c r="Z13" i="43" s="1"/>
  <c r="AG11" i="43"/>
  <c r="AG13" i="43" s="1"/>
  <c r="AC11" i="43"/>
  <c r="AC13" i="43" s="1"/>
  <c r="Y11" i="43"/>
  <c r="Y13" i="43" s="1"/>
  <c r="J22" i="43"/>
  <c r="P6" i="1"/>
  <c r="O12" i="1"/>
  <c r="P12" i="1" s="1"/>
  <c r="O8" i="1"/>
  <c r="P8" i="1" s="1"/>
  <c r="O9" i="1"/>
  <c r="P9" i="1" s="1"/>
  <c r="C5" i="43"/>
  <c r="D5" i="43"/>
  <c r="H50" i="43"/>
  <c r="T35" i="4"/>
  <c r="A19" i="51" s="1"/>
  <c r="B14" i="72" s="1"/>
  <c r="F10" i="39"/>
  <c r="S10" i="39" s="1"/>
  <c r="H10" i="40"/>
  <c r="U10" i="40" s="1"/>
  <c r="AA10" i="40"/>
  <c r="S10" i="40"/>
  <c r="AA10" i="39"/>
  <c r="AB10" i="40"/>
  <c r="K56" i="9"/>
  <c r="F59" i="34"/>
  <c r="G59" i="34" s="1"/>
  <c r="H59" i="34" s="1"/>
  <c r="I59" i="34" s="1"/>
  <c r="J59" i="34" s="1"/>
  <c r="K59" i="34" s="1"/>
  <c r="L59" i="34" s="1"/>
  <c r="M59" i="34" s="1"/>
  <c r="N59" i="34" s="1"/>
  <c r="O59" i="34" s="1"/>
  <c r="F7" i="34"/>
  <c r="J7" i="34"/>
  <c r="H7" i="34"/>
  <c r="J10" i="40"/>
  <c r="J10" i="39"/>
  <c r="H10" i="39"/>
  <c r="D48" i="35"/>
  <c r="D52" i="37"/>
  <c r="D58" i="33"/>
  <c r="E58" i="33" s="1"/>
  <c r="F58" i="33" s="1"/>
  <c r="G58" i="33" s="1"/>
  <c r="H58" i="33" s="1"/>
  <c r="I58" i="33" s="1"/>
  <c r="J58" i="33" s="1"/>
  <c r="K58" i="33" s="1"/>
  <c r="L58" i="33" s="1"/>
  <c r="M58" i="33" s="1"/>
  <c r="N58" i="33" s="1"/>
  <c r="O58" i="33" s="1"/>
  <c r="F7" i="33"/>
  <c r="H7" i="33"/>
  <c r="D46" i="36"/>
  <c r="D58" i="21"/>
  <c r="F31" i="67"/>
  <c r="F31" i="15"/>
  <c r="K4" i="4"/>
  <c r="B46" i="48" s="1"/>
  <c r="B4" i="72" s="1"/>
  <c r="B4" i="62"/>
  <c r="B71" i="72" s="1"/>
  <c r="D9" i="53"/>
  <c r="B25" i="72" s="1"/>
  <c r="B24" i="72"/>
  <c r="K120" i="9"/>
  <c r="A18" i="62" s="1"/>
  <c r="B64" i="72" s="1"/>
  <c r="Y7" i="71"/>
  <c r="Z7" i="71" s="1"/>
  <c r="Y6" i="71"/>
  <c r="Z6" i="71" s="1"/>
  <c r="AA7" i="71"/>
  <c r="AB3" i="71"/>
  <c r="B7" i="71"/>
  <c r="X7" i="71"/>
  <c r="AB7" i="71"/>
  <c r="Y3" i="71"/>
  <c r="Z3" i="71" s="1"/>
  <c r="F7" i="71"/>
  <c r="F6" i="71" s="1"/>
  <c r="F5" i="71" s="1"/>
  <c r="AF3" i="71"/>
  <c r="P22" i="43" s="1"/>
  <c r="C36" i="68"/>
  <c r="B10" i="70"/>
  <c r="Q71" i="15"/>
  <c r="J53" i="15"/>
  <c r="L56" i="15" s="1"/>
  <c r="J57" i="15"/>
  <c r="J55" i="15" s="1"/>
  <c r="J58" i="15" s="1"/>
  <c r="Q50" i="15" s="1"/>
  <c r="I54" i="15"/>
  <c r="K1" i="73"/>
  <c r="B20" i="31"/>
  <c r="B21" i="31" s="1"/>
  <c r="I1" i="73"/>
  <c r="B39" i="1" s="1"/>
  <c r="B12" i="70"/>
  <c r="J53" i="67"/>
  <c r="J57" i="67"/>
  <c r="J55" i="67" s="1"/>
  <c r="J58" i="67" s="1"/>
  <c r="Q50" i="67" s="1"/>
  <c r="L56" i="67"/>
  <c r="I54" i="67"/>
  <c r="M7" i="15"/>
  <c r="J6" i="15" s="1"/>
  <c r="F50" i="15"/>
  <c r="F51" i="15"/>
  <c r="F71" i="15"/>
  <c r="B7" i="70"/>
  <c r="C6" i="15"/>
  <c r="F69" i="67"/>
  <c r="B11" i="70"/>
  <c r="L59" i="15"/>
  <c r="N59" i="15"/>
  <c r="L58" i="15"/>
  <c r="M59" i="15"/>
  <c r="B8" i="70"/>
  <c r="F66" i="15"/>
  <c r="Q71" i="67"/>
  <c r="F64" i="15"/>
  <c r="C27" i="15"/>
  <c r="F65" i="15"/>
  <c r="B9" i="70"/>
  <c r="N59" i="67"/>
  <c r="L59" i="67"/>
  <c r="L58" i="67"/>
  <c r="M59" i="67"/>
  <c r="B13" i="70"/>
  <c r="M7" i="67"/>
  <c r="F50" i="67"/>
  <c r="F59" i="67" s="1"/>
  <c r="F68" i="15"/>
  <c r="F36" i="67"/>
  <c r="F40" i="67"/>
  <c r="J15" i="67"/>
  <c r="M24" i="67"/>
  <c r="C16" i="15"/>
  <c r="M6" i="67"/>
  <c r="F9" i="67"/>
  <c r="F13" i="67"/>
  <c r="F38" i="67"/>
  <c r="F43" i="67"/>
  <c r="M29" i="67"/>
  <c r="F16" i="67"/>
  <c r="D7" i="73"/>
  <c r="D6" i="73"/>
  <c r="M23" i="67"/>
  <c r="M26" i="67"/>
  <c r="M27" i="67"/>
  <c r="D5" i="73"/>
  <c r="M21" i="67"/>
  <c r="D4" i="73"/>
  <c r="F26" i="67"/>
  <c r="F37" i="67"/>
  <c r="F35" i="67"/>
  <c r="F42" i="67"/>
  <c r="M22" i="67"/>
  <c r="F8" i="67"/>
  <c r="M9" i="67"/>
  <c r="D3" i="73"/>
  <c r="M28" i="67"/>
  <c r="G1" i="73"/>
  <c r="F28" i="12" l="1"/>
  <c r="C29" i="12" s="1"/>
  <c r="D28" i="12" s="1"/>
  <c r="C47" i="69"/>
  <c r="D45" i="69" s="1"/>
  <c r="C6" i="67"/>
  <c r="C32" i="67" s="1"/>
  <c r="F51" i="67"/>
  <c r="C49" i="67" s="1"/>
  <c r="F65" i="67"/>
  <c r="F71" i="67"/>
  <c r="F64" i="67"/>
  <c r="C27" i="67"/>
  <c r="F66" i="67"/>
  <c r="F70" i="67"/>
  <c r="F68" i="67"/>
  <c r="E20" i="43"/>
  <c r="M28" i="43" s="1"/>
  <c r="F63" i="67"/>
  <c r="C62" i="67" s="1"/>
  <c r="C34" i="67"/>
  <c r="J20" i="67"/>
  <c r="AZ60" i="3"/>
  <c r="AZ83" i="3"/>
  <c r="AZ284" i="3"/>
  <c r="AZ233" i="3"/>
  <c r="AZ486" i="3"/>
  <c r="AA40" i="40"/>
  <c r="S40" i="40"/>
  <c r="AB26" i="37"/>
  <c r="U26" i="37"/>
  <c r="AC9" i="36"/>
  <c r="W9" i="36"/>
  <c r="AC13" i="36"/>
  <c r="W13" i="36"/>
  <c r="AC45" i="33"/>
  <c r="W45" i="33"/>
  <c r="AB34" i="36"/>
  <c r="U34" i="36"/>
  <c r="G28" i="6"/>
  <c r="G30" i="6" s="1"/>
  <c r="G31" i="6" s="1"/>
  <c r="N58" i="71"/>
  <c r="B57" i="71"/>
  <c r="C61" i="71"/>
  <c r="D61" i="71" s="1"/>
  <c r="D62" i="71"/>
  <c r="AZ21" i="3"/>
  <c r="AZ5" i="3" s="1"/>
  <c r="AZ257" i="3"/>
  <c r="AZ485" i="3"/>
  <c r="AC40" i="40"/>
  <c r="W40" i="40"/>
  <c r="E28" i="6"/>
  <c r="F30" i="6"/>
  <c r="W15" i="40"/>
  <c r="AC15" i="40"/>
  <c r="AC45" i="34"/>
  <c r="W45" i="34"/>
  <c r="AC12" i="33"/>
  <c r="W12" i="33"/>
  <c r="S13" i="36"/>
  <c r="AA13" i="36"/>
  <c r="B6" i="71"/>
  <c r="B5" i="71" s="1"/>
  <c r="S7" i="71"/>
  <c r="F27" i="68"/>
  <c r="F45" i="68" s="1"/>
  <c r="H84" i="43"/>
  <c r="S19" i="71"/>
  <c r="B18" i="71"/>
  <c r="B17" i="71" s="1"/>
  <c r="E14" i="71"/>
  <c r="E13" i="71" s="1"/>
  <c r="E12" i="71" s="1"/>
  <c r="E11" i="71" s="1"/>
  <c r="V15" i="71"/>
  <c r="V31" i="71"/>
  <c r="M19" i="43"/>
  <c r="AZ34" i="3"/>
  <c r="AZ193" i="3"/>
  <c r="AZ281" i="3"/>
  <c r="AZ126" i="3"/>
  <c r="AZ492" i="3"/>
  <c r="AZ477" i="3"/>
  <c r="S34" i="35"/>
  <c r="AA34" i="35"/>
  <c r="AC35" i="40"/>
  <c r="W35" i="40"/>
  <c r="U45" i="34"/>
  <c r="AB45" i="34"/>
  <c r="BA5" i="3"/>
  <c r="E27" i="6" s="1"/>
  <c r="S29" i="21"/>
  <c r="AA29" i="21"/>
  <c r="H87" i="43"/>
  <c r="C35" i="71"/>
  <c r="D34" i="71"/>
  <c r="AZ42" i="3"/>
  <c r="AZ106" i="3"/>
  <c r="E207" i="3"/>
  <c r="AZ87" i="3"/>
  <c r="AZ186" i="3"/>
  <c r="E119" i="3"/>
  <c r="BL5" i="3"/>
  <c r="AZ491" i="3"/>
  <c r="AZ467" i="3"/>
  <c r="AZ441" i="3"/>
  <c r="W34" i="35"/>
  <c r="AC34" i="35"/>
  <c r="AZ551" i="3"/>
  <c r="AA14" i="37"/>
  <c r="S14" i="37"/>
  <c r="AZ548" i="3"/>
  <c r="AB46" i="33"/>
  <c r="U46" i="33"/>
  <c r="AC29" i="21"/>
  <c r="W29" i="21"/>
  <c r="J6" i="67"/>
  <c r="H88" i="43"/>
  <c r="C47" i="71"/>
  <c r="D46" i="71"/>
  <c r="AZ112" i="3"/>
  <c r="AZ52" i="3"/>
  <c r="E406" i="3"/>
  <c r="AZ466" i="3"/>
  <c r="AZ449" i="3"/>
  <c r="S12" i="34"/>
  <c r="AA12" i="34"/>
  <c r="AB14" i="37"/>
  <c r="U14" i="37"/>
  <c r="W36" i="35"/>
  <c r="AC36" i="35"/>
  <c r="W46" i="33"/>
  <c r="AC46" i="33"/>
  <c r="AB12" i="33"/>
  <c r="U12" i="33"/>
  <c r="AC9" i="33"/>
  <c r="W9" i="33"/>
  <c r="AZ497" i="3"/>
  <c r="C10" i="71"/>
  <c r="D11" i="71"/>
  <c r="U11" i="71" s="1"/>
  <c r="T11" i="71"/>
  <c r="H82" i="43"/>
  <c r="C43" i="71"/>
  <c r="D42" i="71"/>
  <c r="E191" i="3"/>
  <c r="T23" i="71"/>
  <c r="D23" i="71"/>
  <c r="AZ24" i="3"/>
  <c r="AZ464" i="3"/>
  <c r="E419" i="3"/>
  <c r="AB36" i="35"/>
  <c r="U36" i="35"/>
  <c r="G5" i="3"/>
  <c r="B3" i="3" s="1"/>
  <c r="W32" i="34"/>
  <c r="AC32" i="34"/>
  <c r="S13" i="21"/>
  <c r="AA13" i="21"/>
  <c r="AC32" i="36"/>
  <c r="W32" i="36"/>
  <c r="AB9" i="33"/>
  <c r="U9" i="33"/>
  <c r="AA31" i="21"/>
  <c r="S31" i="21"/>
  <c r="E12" i="6"/>
  <c r="E15" i="6"/>
  <c r="E11" i="6"/>
  <c r="E14" i="6"/>
  <c r="E8" i="6"/>
  <c r="E10" i="6"/>
  <c r="E16" i="6" s="1"/>
  <c r="E20" i="3"/>
  <c r="AZ76" i="3"/>
  <c r="AZ130" i="3"/>
  <c r="E288" i="3"/>
  <c r="E265" i="3"/>
  <c r="AZ250" i="3"/>
  <c r="AZ463" i="3"/>
  <c r="E450" i="3"/>
  <c r="U19" i="40"/>
  <c r="AB19" i="40"/>
  <c r="W26" i="37"/>
  <c r="AC26" i="37"/>
  <c r="S32" i="34"/>
  <c r="AA32" i="34"/>
  <c r="AC13" i="21"/>
  <c r="W13" i="21"/>
  <c r="U32" i="36"/>
  <c r="AB32" i="36"/>
  <c r="AA9" i="33"/>
  <c r="S9" i="33"/>
  <c r="AC31" i="21"/>
  <c r="W31" i="21"/>
  <c r="S34" i="36"/>
  <c r="AA34" i="36"/>
  <c r="C19" i="43"/>
  <c r="E70" i="39"/>
  <c r="F68" i="39"/>
  <c r="C30" i="71"/>
  <c r="D29" i="71"/>
  <c r="E18" i="71"/>
  <c r="E17" i="71" s="1"/>
  <c r="V19" i="71"/>
  <c r="F57" i="71"/>
  <c r="Q58" i="71"/>
  <c r="C51" i="71"/>
  <c r="D50" i="71"/>
  <c r="E77" i="3"/>
  <c r="E65" i="40"/>
  <c r="F63" i="40"/>
  <c r="AA26" i="37"/>
  <c r="S26" i="37"/>
  <c r="AA9" i="36"/>
  <c r="S9" i="36"/>
  <c r="S45" i="33"/>
  <c r="AA45" i="33"/>
  <c r="U13" i="21"/>
  <c r="AB13" i="21"/>
  <c r="AA32" i="36"/>
  <c r="S32" i="36"/>
  <c r="AB31" i="21"/>
  <c r="U31" i="21"/>
  <c r="AC34" i="36"/>
  <c r="W34" i="36"/>
  <c r="E29" i="6"/>
  <c r="K15" i="1" s="1"/>
  <c r="AZ495" i="3"/>
  <c r="H85" i="43"/>
  <c r="H86" i="43"/>
  <c r="H81" i="43"/>
  <c r="J28" i="40"/>
  <c r="H98" i="40"/>
  <c r="I98" i="40" s="1"/>
  <c r="J98" i="40" s="1"/>
  <c r="K98" i="40" s="1"/>
  <c r="L98" i="40" s="1"/>
  <c r="M98" i="40" s="1"/>
  <c r="H28" i="40"/>
  <c r="AA28" i="40"/>
  <c r="S28" i="40"/>
  <c r="U27" i="40"/>
  <c r="AB27" i="40"/>
  <c r="AC27" i="40"/>
  <c r="W27" i="40"/>
  <c r="AC30" i="40"/>
  <c r="W30" i="40"/>
  <c r="AA30" i="40"/>
  <c r="S30" i="40"/>
  <c r="C29" i="69"/>
  <c r="D27" i="69" s="1"/>
  <c r="C29" i="68"/>
  <c r="D27" i="68" s="1"/>
  <c r="F48" i="68"/>
  <c r="C48" i="68"/>
  <c r="C30" i="68"/>
  <c r="F27" i="11"/>
  <c r="E63" i="39"/>
  <c r="E58" i="40"/>
  <c r="M109" i="43"/>
  <c r="M102" i="43"/>
  <c r="M106" i="43"/>
  <c r="M103" i="43"/>
  <c r="M104" i="43"/>
  <c r="M107" i="43"/>
  <c r="M105" i="43"/>
  <c r="L109" i="43"/>
  <c r="L106" i="43"/>
  <c r="L107" i="43"/>
  <c r="L103" i="43"/>
  <c r="L102" i="43"/>
  <c r="L105" i="43"/>
  <c r="L104" i="43"/>
  <c r="J104" i="43"/>
  <c r="J105" i="43"/>
  <c r="J103" i="43"/>
  <c r="J107" i="43"/>
  <c r="J102" i="43"/>
  <c r="J106" i="43"/>
  <c r="J109" i="43"/>
  <c r="G105" i="43"/>
  <c r="G103" i="43"/>
  <c r="G106" i="43"/>
  <c r="G109" i="43"/>
  <c r="G102" i="43"/>
  <c r="G107" i="43"/>
  <c r="G104" i="43"/>
  <c r="K103" i="43"/>
  <c r="K107" i="43"/>
  <c r="K104" i="43"/>
  <c r="K105" i="43"/>
  <c r="K102" i="43"/>
  <c r="K106" i="43"/>
  <c r="K109" i="43"/>
  <c r="I109" i="43"/>
  <c r="I104" i="43"/>
  <c r="I107" i="43"/>
  <c r="I105" i="43"/>
  <c r="I102" i="43"/>
  <c r="I106" i="43"/>
  <c r="I103" i="43"/>
  <c r="F104" i="43"/>
  <c r="F107" i="43"/>
  <c r="F106" i="43"/>
  <c r="F105" i="43"/>
  <c r="F102" i="43"/>
  <c r="F103" i="43"/>
  <c r="F109" i="43"/>
  <c r="E102" i="43"/>
  <c r="E106" i="43"/>
  <c r="E103" i="43"/>
  <c r="E104" i="43"/>
  <c r="E107" i="43"/>
  <c r="E105" i="43"/>
  <c r="E109" i="43"/>
  <c r="H102" i="43"/>
  <c r="H103" i="43"/>
  <c r="H104" i="43"/>
  <c r="H109" i="43"/>
  <c r="H107" i="43"/>
  <c r="H106" i="43"/>
  <c r="H105" i="43"/>
  <c r="C104" i="43"/>
  <c r="C105" i="43"/>
  <c r="C109" i="43"/>
  <c r="C106" i="43"/>
  <c r="C107" i="43"/>
  <c r="C103" i="43"/>
  <c r="C102" i="43"/>
  <c r="N102" i="43"/>
  <c r="N103" i="43"/>
  <c r="N106" i="43"/>
  <c r="N104" i="43"/>
  <c r="N105" i="43"/>
  <c r="N107" i="43"/>
  <c r="N109" i="43"/>
  <c r="B115" i="43"/>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D109" i="43"/>
  <c r="D105" i="43"/>
  <c r="D106" i="43"/>
  <c r="D102" i="43"/>
  <c r="D103" i="43"/>
  <c r="D104" i="43"/>
  <c r="D107" i="43"/>
  <c r="D22" i="43"/>
  <c r="O16" i="1"/>
  <c r="P16" i="1"/>
  <c r="C11" i="12" s="1"/>
  <c r="M18" i="9"/>
  <c r="B118" i="9" s="1"/>
  <c r="B14" i="74" s="1"/>
  <c r="B1" i="74" s="1"/>
  <c r="E58" i="21"/>
  <c r="S7" i="33"/>
  <c r="AA7" i="33"/>
  <c r="R48" i="33" s="1"/>
  <c r="E52" i="37"/>
  <c r="F52" i="37" s="1"/>
  <c r="G52" i="37" s="1"/>
  <c r="H52" i="37" s="1"/>
  <c r="I52" i="37" s="1"/>
  <c r="J52" i="37" s="1"/>
  <c r="K52" i="37" s="1"/>
  <c r="L52" i="37" s="1"/>
  <c r="M52" i="37" s="1"/>
  <c r="N52" i="37" s="1"/>
  <c r="O52" i="37" s="1"/>
  <c r="E48" i="35"/>
  <c r="F48" i="35" s="1"/>
  <c r="G48" i="35" s="1"/>
  <c r="H48" i="35" s="1"/>
  <c r="I48" i="35" s="1"/>
  <c r="J48" i="35" s="1"/>
  <c r="K48" i="35" s="1"/>
  <c r="L48" i="35" s="1"/>
  <c r="M48" i="35" s="1"/>
  <c r="N48" i="35" s="1"/>
  <c r="O48" i="35" s="1"/>
  <c r="J7" i="35"/>
  <c r="W10" i="39"/>
  <c r="AC10" i="39"/>
  <c r="W7" i="34"/>
  <c r="AC7" i="34"/>
  <c r="V49" i="34" s="1"/>
  <c r="I49" i="34" s="1"/>
  <c r="E46" i="36"/>
  <c r="U7" i="33"/>
  <c r="AB7" i="33"/>
  <c r="T48" i="33" s="1"/>
  <c r="G48" i="33" s="1"/>
  <c r="J7" i="33"/>
  <c r="H7" i="35"/>
  <c r="U10" i="39"/>
  <c r="AB10" i="39"/>
  <c r="W10" i="40"/>
  <c r="AC10" i="40"/>
  <c r="AB7" i="34"/>
  <c r="T49" i="34" s="1"/>
  <c r="G49" i="34" s="1"/>
  <c r="U7" i="34"/>
  <c r="AA7" i="34"/>
  <c r="R49" i="34" s="1"/>
  <c r="S7" i="34"/>
  <c r="M17" i="67"/>
  <c r="M17" i="15"/>
  <c r="F59" i="15"/>
  <c r="P24" i="43"/>
  <c r="B66" i="40" s="1"/>
  <c r="P21" i="43"/>
  <c r="P25" i="43"/>
  <c r="P23" i="43"/>
  <c r="B71" i="39" s="1"/>
  <c r="C49" i="15"/>
  <c r="B40" i="1"/>
  <c r="J18" i="15"/>
  <c r="Q60" i="67"/>
  <c r="Q73" i="67"/>
  <c r="N28" i="43"/>
  <c r="M11" i="67"/>
  <c r="J10" i="67" s="1"/>
  <c r="J5" i="67" s="1"/>
  <c r="F11" i="15"/>
  <c r="M11" i="15"/>
  <c r="J10" i="15" s="1"/>
  <c r="J5" i="15" s="1"/>
  <c r="F11" i="67"/>
  <c r="F1" i="15"/>
  <c r="Q52" i="15"/>
  <c r="J18" i="67"/>
  <c r="C32" i="15"/>
  <c r="F1" i="67"/>
  <c r="Q52" i="67"/>
  <c r="Q60" i="15"/>
  <c r="Q73" i="15"/>
  <c r="Q61" i="67"/>
  <c r="Q74" i="67"/>
  <c r="Q74" i="15"/>
  <c r="Q61" i="15"/>
  <c r="C16" i="67"/>
  <c r="C14" i="67"/>
  <c r="C17" i="67"/>
  <c r="AE6" i="1"/>
  <c r="P28" i="43" l="1"/>
  <c r="G20" i="43" s="1"/>
  <c r="E41" i="43" s="1"/>
  <c r="C41" i="43" s="1"/>
  <c r="O28" i="43"/>
  <c r="C47" i="68"/>
  <c r="D45" i="68" s="1"/>
  <c r="C15" i="67"/>
  <c r="C18" i="67"/>
  <c r="F7" i="35"/>
  <c r="H7" i="37"/>
  <c r="F65" i="40"/>
  <c r="G63" i="40"/>
  <c r="F7" i="37"/>
  <c r="E3" i="6"/>
  <c r="AY6" i="3"/>
  <c r="J7" i="37"/>
  <c r="D51" i="71"/>
  <c r="T51" i="71"/>
  <c r="C31" i="71"/>
  <c r="D30" i="71"/>
  <c r="E270" i="3"/>
  <c r="E387" i="3"/>
  <c r="E215" i="3"/>
  <c r="E134" i="3"/>
  <c r="E91" i="3"/>
  <c r="E180" i="3"/>
  <c r="E149" i="3"/>
  <c r="E212" i="3"/>
  <c r="E167" i="3"/>
  <c r="E141" i="3"/>
  <c r="AD6" i="3"/>
  <c r="E542" i="3"/>
  <c r="E552" i="3"/>
  <c r="E421" i="3"/>
  <c r="E464" i="3"/>
  <c r="E487" i="3"/>
  <c r="E398" i="3"/>
  <c r="E416" i="3"/>
  <c r="E459" i="3"/>
  <c r="E374" i="3"/>
  <c r="E582" i="3"/>
  <c r="E413" i="3"/>
  <c r="E460" i="3"/>
  <c r="E39" i="3"/>
  <c r="E90" i="3"/>
  <c r="E57" i="3"/>
  <c r="E131" i="3"/>
  <c r="E155" i="3"/>
  <c r="E240" i="3"/>
  <c r="E297" i="3"/>
  <c r="E259" i="3"/>
  <c r="E348" i="3"/>
  <c r="E378" i="3"/>
  <c r="E375" i="3"/>
  <c r="E504" i="3"/>
  <c r="E58" i="3"/>
  <c r="E110" i="3"/>
  <c r="E540" i="3"/>
  <c r="E521" i="3"/>
  <c r="E47" i="3"/>
  <c r="E65" i="3"/>
  <c r="E195" i="3"/>
  <c r="E266" i="3"/>
  <c r="E584" i="3"/>
  <c r="E24" i="3"/>
  <c r="E87" i="3"/>
  <c r="E250" i="3"/>
  <c r="E51" i="3"/>
  <c r="E154" i="3"/>
  <c r="E222" i="3"/>
  <c r="E71" i="3"/>
  <c r="E186" i="3"/>
  <c r="E210" i="3"/>
  <c r="E331" i="3"/>
  <c r="E384" i="3"/>
  <c r="E29" i="3"/>
  <c r="E441" i="3"/>
  <c r="E64" i="3"/>
  <c r="E142" i="3"/>
  <c r="E300" i="3"/>
  <c r="E23" i="3"/>
  <c r="E233" i="3"/>
  <c r="E63" i="3"/>
  <c r="E283" i="3"/>
  <c r="E338" i="3"/>
  <c r="E301" i="3"/>
  <c r="E159" i="3"/>
  <c r="E99" i="3"/>
  <c r="E228" i="3"/>
  <c r="E157" i="3"/>
  <c r="E120" i="3"/>
  <c r="E277" i="3"/>
  <c r="E177" i="3"/>
  <c r="E330" i="3"/>
  <c r="K6" i="3"/>
  <c r="Q6" i="3"/>
  <c r="E560" i="3"/>
  <c r="E437" i="3"/>
  <c r="E472" i="3"/>
  <c r="E481" i="3"/>
  <c r="E424" i="3"/>
  <c r="E465" i="3"/>
  <c r="E577" i="3"/>
  <c r="E429" i="3"/>
  <c r="E468" i="3"/>
  <c r="E454" i="3"/>
  <c r="E55" i="3"/>
  <c r="E106" i="3"/>
  <c r="E73" i="3"/>
  <c r="E146" i="3"/>
  <c r="E203" i="3"/>
  <c r="E171" i="3"/>
  <c r="E256" i="3"/>
  <c r="E214" i="3"/>
  <c r="E274" i="3"/>
  <c r="E362" i="3"/>
  <c r="E74" i="3"/>
  <c r="E32" i="3"/>
  <c r="E79" i="3"/>
  <c r="E234" i="3"/>
  <c r="E299" i="3"/>
  <c r="AQ6" i="3"/>
  <c r="E36" i="3"/>
  <c r="E123" i="3"/>
  <c r="E289" i="3"/>
  <c r="E364" i="3"/>
  <c r="E524" i="3"/>
  <c r="E311" i="3"/>
  <c r="V6" i="3"/>
  <c r="E320" i="3"/>
  <c r="E298" i="3"/>
  <c r="E61" i="3"/>
  <c r="E290" i="3"/>
  <c r="E117" i="3"/>
  <c r="E271" i="3"/>
  <c r="E107" i="3"/>
  <c r="E515" i="3"/>
  <c r="E411" i="3"/>
  <c r="E478" i="3"/>
  <c r="E414" i="3"/>
  <c r="E432" i="3"/>
  <c r="E477" i="3"/>
  <c r="AS6" i="3"/>
  <c r="E403" i="3"/>
  <c r="E476" i="3"/>
  <c r="E447" i="3"/>
  <c r="E27" i="3"/>
  <c r="E92" i="3"/>
  <c r="E272" i="3"/>
  <c r="E291" i="3"/>
  <c r="AM6" i="3"/>
  <c r="E44" i="3"/>
  <c r="E425" i="3"/>
  <c r="E103" i="3"/>
  <c r="E267" i="3"/>
  <c r="E310" i="3"/>
  <c r="E144" i="3"/>
  <c r="E118" i="3"/>
  <c r="E513" i="3"/>
  <c r="E67" i="3"/>
  <c r="E439" i="3"/>
  <c r="E236" i="3"/>
  <c r="E161" i="3"/>
  <c r="E313" i="3"/>
  <c r="AG6" i="3"/>
  <c r="E469" i="3"/>
  <c r="E438" i="3"/>
  <c r="E490" i="3"/>
  <c r="E558" i="3"/>
  <c r="E494" i="3"/>
  <c r="E471" i="3"/>
  <c r="E463" i="3"/>
  <c r="E88" i="3"/>
  <c r="E95" i="3"/>
  <c r="E198" i="3"/>
  <c r="E208" i="3"/>
  <c r="E226" i="3"/>
  <c r="E316" i="3"/>
  <c r="E349" i="3"/>
  <c r="AL6" i="3"/>
  <c r="E93" i="3"/>
  <c r="E428" i="3"/>
  <c r="E467" i="3"/>
  <c r="E138" i="3"/>
  <c r="E220" i="3"/>
  <c r="E339" i="3"/>
  <c r="E35" i="3"/>
  <c r="E33" i="3"/>
  <c r="E284" i="3"/>
  <c r="E102" i="3"/>
  <c r="E218" i="3"/>
  <c r="E22" i="3"/>
  <c r="E570" i="3"/>
  <c r="E335" i="3"/>
  <c r="E196" i="3"/>
  <c r="E188" i="3"/>
  <c r="E89" i="3"/>
  <c r="E199" i="3"/>
  <c r="E532" i="3"/>
  <c r="E543" i="3"/>
  <c r="E448" i="3"/>
  <c r="E541" i="3"/>
  <c r="E408" i="3"/>
  <c r="E551" i="3"/>
  <c r="E321" i="3"/>
  <c r="E135" i="3"/>
  <c r="E223" i="3"/>
  <c r="E193" i="3"/>
  <c r="E393" i="3"/>
  <c r="Z6" i="3"/>
  <c r="E456" i="3"/>
  <c r="E440" i="3"/>
  <c r="E345" i="3"/>
  <c r="AP6" i="3"/>
  <c r="E13" i="3"/>
  <c r="E401" i="3"/>
  <c r="E28" i="3"/>
  <c r="E37" i="3"/>
  <c r="E115" i="3"/>
  <c r="E150" i="3"/>
  <c r="E273" i="3"/>
  <c r="E363" i="3"/>
  <c r="E356" i="3"/>
  <c r="E43" i="3"/>
  <c r="E484" i="3"/>
  <c r="E98" i="3"/>
  <c r="E190" i="3"/>
  <c r="E219" i="3"/>
  <c r="E342" i="3"/>
  <c r="E127" i="3"/>
  <c r="E370" i="3"/>
  <c r="E62" i="3"/>
  <c r="E308" i="3"/>
  <c r="E21" i="3"/>
  <c r="E538" i="3"/>
  <c r="E294" i="3"/>
  <c r="E130" i="3"/>
  <c r="E148" i="3"/>
  <c r="E238" i="3"/>
  <c r="E575" i="3"/>
  <c r="E486" i="3"/>
  <c r="E449" i="3"/>
  <c r="E360" i="3"/>
  <c r="W6" i="3"/>
  <c r="E444" i="3"/>
  <c r="E417" i="3"/>
  <c r="E26" i="3"/>
  <c r="E54" i="3"/>
  <c r="E178" i="3"/>
  <c r="E166" i="3"/>
  <c r="E258" i="3"/>
  <c r="E243" i="3"/>
  <c r="E30" i="3"/>
  <c r="E59" i="3"/>
  <c r="E482" i="3"/>
  <c r="E38" i="3"/>
  <c r="E174" i="3"/>
  <c r="E249" i="3"/>
  <c r="E86" i="3"/>
  <c r="E147" i="3"/>
  <c r="AF6" i="3"/>
  <c r="E81" i="3"/>
  <c r="E323" i="3"/>
  <c r="E83" i="3"/>
  <c r="E231" i="3"/>
  <c r="E269" i="3"/>
  <c r="E253" i="3"/>
  <c r="E564" i="3"/>
  <c r="E466" i="3"/>
  <c r="E512" i="3"/>
  <c r="E457" i="3"/>
  <c r="E452" i="3"/>
  <c r="E433" i="3"/>
  <c r="E70" i="3"/>
  <c r="E152" i="3"/>
  <c r="E279" i="3"/>
  <c r="E276" i="3"/>
  <c r="E377" i="3"/>
  <c r="E42" i="3"/>
  <c r="E75" i="3"/>
  <c r="E412" i="3"/>
  <c r="E46" i="3"/>
  <c r="E163" i="3"/>
  <c r="E392" i="3"/>
  <c r="E34" i="3"/>
  <c r="E184" i="3"/>
  <c r="Y6" i="3"/>
  <c r="E113" i="3"/>
  <c r="E358" i="3"/>
  <c r="E185" i="3"/>
  <c r="E45" i="3"/>
  <c r="E525" i="3"/>
  <c r="E474" i="3"/>
  <c r="E255" i="3"/>
  <c r="E470" i="3"/>
  <c r="E25" i="3"/>
  <c r="E132" i="3"/>
  <c r="E257" i="3"/>
  <c r="E334" i="3"/>
  <c r="E96" i="3"/>
  <c r="E209" i="3"/>
  <c r="E52" i="3"/>
  <c r="E355" i="3"/>
  <c r="E287" i="3"/>
  <c r="E485" i="3"/>
  <c r="E41" i="3"/>
  <c r="E14" i="3"/>
  <c r="E418" i="3"/>
  <c r="E254" i="3"/>
  <c r="E204" i="3"/>
  <c r="R6" i="3"/>
  <c r="E507" i="3"/>
  <c r="E562" i="3"/>
  <c r="E531" i="3"/>
  <c r="E420" i="3"/>
  <c r="E108" i="3"/>
  <c r="E192" i="3"/>
  <c r="E351" i="3"/>
  <c r="E572" i="3"/>
  <c r="E129" i="3"/>
  <c r="E307" i="3"/>
  <c r="E112" i="3"/>
  <c r="E68" i="3"/>
  <c r="E326" i="3"/>
  <c r="E407" i="3"/>
  <c r="E573" i="3"/>
  <c r="E422" i="3"/>
  <c r="E556" i="3"/>
  <c r="E479" i="3"/>
  <c r="E111" i="3"/>
  <c r="E211" i="3"/>
  <c r="L6" i="3"/>
  <c r="E462" i="3"/>
  <c r="E371" i="3"/>
  <c r="E49" i="3"/>
  <c r="E80" i="3"/>
  <c r="I3" i="6"/>
  <c r="E537" i="3"/>
  <c r="E202" i="3"/>
  <c r="E324" i="3"/>
  <c r="E309" i="3"/>
  <c r="E221" i="3"/>
  <c r="E332" i="3"/>
  <c r="E170" i="3"/>
  <c r="E82" i="3"/>
  <c r="E404" i="3"/>
  <c r="E50" i="3"/>
  <c r="E380" i="3"/>
  <c r="E181" i="3"/>
  <c r="E105" i="3"/>
  <c r="T6" i="3"/>
  <c r="E430" i="3"/>
  <c r="AH6" i="3"/>
  <c r="E435" i="3"/>
  <c r="E475" i="3"/>
  <c r="E121" i="3"/>
  <c r="E225" i="3"/>
  <c r="E346" i="3"/>
  <c r="E544" i="3"/>
  <c r="E473" i="3"/>
  <c r="E160" i="3"/>
  <c r="E383" i="3"/>
  <c r="E206" i="3"/>
  <c r="E19" i="3"/>
  <c r="E101" i="3"/>
  <c r="E262" i="3"/>
  <c r="E122" i="3"/>
  <c r="E286" i="3"/>
  <c r="E405" i="3"/>
  <c r="E400" i="3"/>
  <c r="E497" i="3"/>
  <c r="E56" i="3"/>
  <c r="E168" i="3"/>
  <c r="E295" i="3"/>
  <c r="E391" i="3"/>
  <c r="E60" i="3"/>
  <c r="E446" i="3"/>
  <c r="E194" i="3"/>
  <c r="E492" i="3"/>
  <c r="E232" i="3"/>
  <c r="E158" i="3"/>
  <c r="E230" i="3"/>
  <c r="E140" i="3"/>
  <c r="E443" i="3"/>
  <c r="E491" i="3"/>
  <c r="E182" i="3"/>
  <c r="E333" i="3"/>
  <c r="E200" i="3"/>
  <c r="E251" i="3"/>
  <c r="E327" i="3"/>
  <c r="J6" i="3"/>
  <c r="E72" i="3"/>
  <c r="E281" i="3"/>
  <c r="E76" i="3"/>
  <c r="E522" i="3"/>
  <c r="E179" i="3"/>
  <c r="E85" i="3"/>
  <c r="E576" i="3"/>
  <c r="E451" i="3"/>
  <c r="E571" i="3"/>
  <c r="E489" i="3"/>
  <c r="E104" i="3"/>
  <c r="E241" i="3"/>
  <c r="E318" i="3"/>
  <c r="E109" i="3"/>
  <c r="E66" i="3"/>
  <c r="E340" i="3"/>
  <c r="E264" i="3"/>
  <c r="E559" i="3"/>
  <c r="E499" i="3"/>
  <c r="E292" i="3"/>
  <c r="E78" i="3"/>
  <c r="E581" i="3"/>
  <c r="E365" i="3"/>
  <c r="E505" i="3"/>
  <c r="E529" i="3"/>
  <c r="E372" i="3"/>
  <c r="E587" i="3"/>
  <c r="E520" i="3"/>
  <c r="U6" i="3"/>
  <c r="E373" i="3"/>
  <c r="E530" i="3"/>
  <c r="E305" i="3"/>
  <c r="E347" i="3"/>
  <c r="E399" i="3"/>
  <c r="E124" i="3"/>
  <c r="E568" i="3"/>
  <c r="E536" i="3"/>
  <c r="E453" i="3"/>
  <c r="E244" i="3"/>
  <c r="E528" i="3"/>
  <c r="E361" i="3"/>
  <c r="E388" i="3"/>
  <c r="E410" i="3"/>
  <c r="E143" i="3"/>
  <c r="E534" i="3"/>
  <c r="E519" i="3"/>
  <c r="AB6" i="3"/>
  <c r="E554" i="3"/>
  <c r="E557" i="3"/>
  <c r="AE6" i="3"/>
  <c r="E317" i="3"/>
  <c r="E381" i="3"/>
  <c r="M6" i="3"/>
  <c r="E506" i="3"/>
  <c r="E561" i="3"/>
  <c r="E526" i="3"/>
  <c r="E322" i="3"/>
  <c r="E539" i="3"/>
  <c r="E461" i="3"/>
  <c r="E165" i="3"/>
  <c r="E495" i="3"/>
  <c r="E586" i="3"/>
  <c r="E350" i="3"/>
  <c r="E69" i="3"/>
  <c r="E563" i="3"/>
  <c r="E445" i="3"/>
  <c r="E509" i="3"/>
  <c r="E431" i="3"/>
  <c r="E201" i="3"/>
  <c r="E546" i="3"/>
  <c r="E527" i="3"/>
  <c r="E145" i="3"/>
  <c r="E15" i="3"/>
  <c r="E344" i="3"/>
  <c r="E496" i="3"/>
  <c r="E523" i="3"/>
  <c r="E53" i="3"/>
  <c r="E501" i="3"/>
  <c r="E426" i="3"/>
  <c r="E583" i="3"/>
  <c r="E336" i="3"/>
  <c r="E293" i="3"/>
  <c r="E511" i="3"/>
  <c r="AK6" i="3"/>
  <c r="E306" i="3"/>
  <c r="E237" i="3"/>
  <c r="E565" i="3"/>
  <c r="E17" i="3"/>
  <c r="O6" i="3"/>
  <c r="E359" i="3"/>
  <c r="E97" i="3"/>
  <c r="E548" i="3"/>
  <c r="E389" i="3"/>
  <c r="E367" i="3"/>
  <c r="E379" i="3"/>
  <c r="E325" i="3"/>
  <c r="E133" i="3"/>
  <c r="E566" i="3"/>
  <c r="AR6" i="3"/>
  <c r="E125" i="3"/>
  <c r="E553" i="3"/>
  <c r="N6" i="3"/>
  <c r="E545" i="3"/>
  <c r="E352" i="3"/>
  <c r="E128" i="3"/>
  <c r="E518" i="3"/>
  <c r="E578" i="3"/>
  <c r="E382" i="3"/>
  <c r="E114" i="3"/>
  <c r="E395" i="3"/>
  <c r="E550" i="3"/>
  <c r="E516" i="3"/>
  <c r="E396" i="3"/>
  <c r="E151" i="3"/>
  <c r="E376" i="3"/>
  <c r="E517" i="3"/>
  <c r="E394" i="3"/>
  <c r="E197" i="3"/>
  <c r="E547" i="3"/>
  <c r="E169" i="3"/>
  <c r="S6" i="3"/>
  <c r="E175" i="3"/>
  <c r="E343" i="3"/>
  <c r="E508" i="3"/>
  <c r="AA6" i="3"/>
  <c r="E280" i="3"/>
  <c r="E397" i="3"/>
  <c r="I6" i="3"/>
  <c r="E549" i="3"/>
  <c r="E368" i="3"/>
  <c r="E261" i="3"/>
  <c r="E183" i="3"/>
  <c r="E503" i="3"/>
  <c r="E555" i="3"/>
  <c r="E337" i="3"/>
  <c r="E500" i="3"/>
  <c r="E341" i="3"/>
  <c r="P6" i="3"/>
  <c r="E580" i="3"/>
  <c r="E533" i="3"/>
  <c r="E217" i="3"/>
  <c r="E268" i="3"/>
  <c r="AJ6" i="3"/>
  <c r="E567" i="3"/>
  <c r="E227" i="3"/>
  <c r="E353" i="3"/>
  <c r="AN6" i="3"/>
  <c r="E402" i="3"/>
  <c r="E303" i="3"/>
  <c r="E278" i="3"/>
  <c r="E172" i="3"/>
  <c r="E535" i="3"/>
  <c r="E579" i="3"/>
  <c r="E247" i="3"/>
  <c r="E357" i="3"/>
  <c r="E312" i="3"/>
  <c r="E514" i="3"/>
  <c r="AO6" i="3"/>
  <c r="E390" i="3"/>
  <c r="E319" i="3"/>
  <c r="E153" i="3"/>
  <c r="E328" i="3"/>
  <c r="X6" i="3"/>
  <c r="E246" i="3"/>
  <c r="E314" i="3"/>
  <c r="E16" i="3"/>
  <c r="E434" i="3"/>
  <c r="E296" i="3"/>
  <c r="E304" i="3"/>
  <c r="E213" i="3"/>
  <c r="E302" i="3"/>
  <c r="E574" i="3"/>
  <c r="E285" i="3"/>
  <c r="E502" i="3"/>
  <c r="E189" i="3"/>
  <c r="E354" i="3"/>
  <c r="E498" i="3"/>
  <c r="E173" i="3"/>
  <c r="E137" i="3"/>
  <c r="E585" i="3"/>
  <c r="E386" i="3"/>
  <c r="E366" i="3"/>
  <c r="E282" i="3"/>
  <c r="E329" i="3"/>
  <c r="E510" i="3"/>
  <c r="E205" i="3"/>
  <c r="E385" i="3"/>
  <c r="AI6" i="3"/>
  <c r="E423" i="3"/>
  <c r="E263" i="3"/>
  <c r="E415" i="3"/>
  <c r="E260" i="3"/>
  <c r="E239" i="3"/>
  <c r="E569" i="3"/>
  <c r="E229" i="3"/>
  <c r="E156" i="3"/>
  <c r="E84" i="3"/>
  <c r="E162" i="3"/>
  <c r="T35" i="71"/>
  <c r="D35" i="71"/>
  <c r="E187" i="3"/>
  <c r="G68" i="39"/>
  <c r="F70" i="39"/>
  <c r="F27" i="6"/>
  <c r="F31" i="6" s="1"/>
  <c r="E51" i="40"/>
  <c r="E56" i="39"/>
  <c r="E427" i="3"/>
  <c r="E40" i="3"/>
  <c r="E31" i="3"/>
  <c r="E18" i="3"/>
  <c r="E216" i="3"/>
  <c r="E64" i="39"/>
  <c r="E59" i="40"/>
  <c r="C9" i="71"/>
  <c r="D10" i="71"/>
  <c r="E480" i="3"/>
  <c r="E436" i="3"/>
  <c r="E252" i="3"/>
  <c r="E61" i="39"/>
  <c r="E56" i="40"/>
  <c r="T47" i="71"/>
  <c r="D47" i="71"/>
  <c r="E136" i="3"/>
  <c r="E48" i="3"/>
  <c r="Q56" i="71"/>
  <c r="Q57" i="71"/>
  <c r="E60" i="40"/>
  <c r="E65" i="39"/>
  <c r="E31" i="6"/>
  <c r="E483" i="3"/>
  <c r="N57" i="71"/>
  <c r="N56" i="71"/>
  <c r="E409" i="3"/>
  <c r="E442" i="3"/>
  <c r="E126" i="3"/>
  <c r="E57" i="40"/>
  <c r="E62" i="39"/>
  <c r="E242" i="3"/>
  <c r="E275" i="3"/>
  <c r="E369" i="3"/>
  <c r="E455" i="3"/>
  <c r="E100" i="3"/>
  <c r="E458" i="3"/>
  <c r="E94" i="3"/>
  <c r="E116" i="3"/>
  <c r="T43" i="71"/>
  <c r="D43" i="71"/>
  <c r="E139" i="3"/>
  <c r="E224" i="3"/>
  <c r="E493" i="3"/>
  <c r="E164" i="3"/>
  <c r="E248" i="3"/>
  <c r="E315" i="3"/>
  <c r="E176" i="3"/>
  <c r="E245" i="3"/>
  <c r="E235" i="3"/>
  <c r="E10" i="71"/>
  <c r="E9" i="71" s="1"/>
  <c r="E8" i="71" s="1"/>
  <c r="E7" i="71" s="1"/>
  <c r="V11" i="71"/>
  <c r="K14" i="1"/>
  <c r="E30" i="6"/>
  <c r="K21" i="6"/>
  <c r="M21" i="6" s="1"/>
  <c r="I21" i="6" s="1"/>
  <c r="S21" i="6" s="1"/>
  <c r="K22" i="6"/>
  <c r="M22" i="6" s="1"/>
  <c r="I22" i="6" s="1"/>
  <c r="S22" i="6" s="1"/>
  <c r="K25" i="6"/>
  <c r="M25" i="6" s="1"/>
  <c r="I25" i="6" s="1"/>
  <c r="S25" i="6" s="1"/>
  <c r="K23" i="6"/>
  <c r="M23" i="6" s="1"/>
  <c r="I23" i="6" s="1"/>
  <c r="S23" i="6" s="1"/>
  <c r="K20" i="6"/>
  <c r="M20" i="6" s="1"/>
  <c r="I20" i="6" s="1"/>
  <c r="S20" i="6" s="1"/>
  <c r="K24" i="6"/>
  <c r="M24" i="6" s="1"/>
  <c r="I24" i="6" s="1"/>
  <c r="S24" i="6" s="1"/>
  <c r="K19" i="6"/>
  <c r="K26" i="6"/>
  <c r="M26" i="6" s="1"/>
  <c r="I26" i="6" s="1"/>
  <c r="S26" i="6" s="1"/>
  <c r="E488" i="3"/>
  <c r="U28" i="40"/>
  <c r="AB28" i="40"/>
  <c r="AC28" i="40"/>
  <c r="W28" i="40"/>
  <c r="C47" i="11"/>
  <c r="D45" i="11" s="1"/>
  <c r="C29" i="11"/>
  <c r="D27" i="11" s="1"/>
  <c r="C115" i="43"/>
  <c r="D113" i="43"/>
  <c r="S4" i="43"/>
  <c r="S5" i="43"/>
  <c r="C23" i="43"/>
  <c r="C21" i="43" s="1"/>
  <c r="W256" i="79" s="1"/>
  <c r="X256" i="79" s="1"/>
  <c r="S2" i="43"/>
  <c r="S6" i="43"/>
  <c r="S7" i="43"/>
  <c r="S3" i="43"/>
  <c r="C15" i="12"/>
  <c r="C12" i="12"/>
  <c r="U7" i="35"/>
  <c r="AB7" i="35"/>
  <c r="T38" i="35" s="1"/>
  <c r="G38" i="35" s="1"/>
  <c r="AC7" i="33"/>
  <c r="V48" i="33" s="1"/>
  <c r="I48" i="33" s="1"/>
  <c r="G53" i="33" s="1"/>
  <c r="H53" i="33" s="1"/>
  <c r="W7" i="33"/>
  <c r="F46" i="36"/>
  <c r="W7" i="35"/>
  <c r="AC7" i="35"/>
  <c r="V38" i="35" s="1"/>
  <c r="I38" i="35" s="1"/>
  <c r="AB7" i="37"/>
  <c r="T42" i="37" s="1"/>
  <c r="G42" i="37" s="1"/>
  <c r="U7" i="37"/>
  <c r="R50" i="34"/>
  <c r="E49" i="34"/>
  <c r="G53" i="34"/>
  <c r="H53" i="34" s="1"/>
  <c r="G54" i="34"/>
  <c r="H54" i="34" s="1"/>
  <c r="AC7" i="37"/>
  <c r="V42" i="37" s="1"/>
  <c r="I42" i="37" s="1"/>
  <c r="W7" i="37"/>
  <c r="G52" i="33"/>
  <c r="H52" i="33" s="1"/>
  <c r="I53" i="34"/>
  <c r="J53" i="34" s="1"/>
  <c r="I54" i="34"/>
  <c r="J54" i="34" s="1"/>
  <c r="AA7" i="35"/>
  <c r="R38" i="35" s="1"/>
  <c r="S7" i="35"/>
  <c r="AA7" i="37"/>
  <c r="R42" i="37" s="1"/>
  <c r="S7" i="37"/>
  <c r="R49" i="33"/>
  <c r="E48" i="33"/>
  <c r="F58" i="2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20" i="43" l="1"/>
  <c r="T2" i="43" s="1"/>
  <c r="V2" i="43" s="1"/>
  <c r="C19" i="67"/>
  <c r="C20" i="67" s="1"/>
  <c r="C26" i="67" s="1"/>
  <c r="E6" i="71"/>
  <c r="E5" i="71" s="1"/>
  <c r="V7" i="71"/>
  <c r="C8" i="71"/>
  <c r="D9" i="71"/>
  <c r="D19" i="11"/>
  <c r="C19" i="11" s="1"/>
  <c r="C20" i="11" s="1"/>
  <c r="C28" i="11" s="1"/>
  <c r="C27" i="11" s="1"/>
  <c r="D3" i="33"/>
  <c r="C17" i="4"/>
  <c r="B4" i="52" s="1"/>
  <c r="B43" i="72" s="1"/>
  <c r="D37" i="11"/>
  <c r="C37" i="11" s="1"/>
  <c r="D3" i="37"/>
  <c r="D3" i="34"/>
  <c r="E6" i="6"/>
  <c r="D14" i="12"/>
  <c r="D3" i="21"/>
  <c r="H63" i="40"/>
  <c r="G65" i="40"/>
  <c r="E66" i="39"/>
  <c r="S6" i="1"/>
  <c r="M19" i="6"/>
  <c r="K27" i="6"/>
  <c r="M14" i="1"/>
  <c r="K16" i="1"/>
  <c r="B29" i="1" s="1"/>
  <c r="C8" i="68" s="1"/>
  <c r="C34" i="69"/>
  <c r="D31" i="71"/>
  <c r="T31" i="71"/>
  <c r="G70" i="39"/>
  <c r="H68" i="39"/>
  <c r="H6" i="3"/>
  <c r="AC6" i="3"/>
  <c r="AY196" i="3"/>
  <c r="AY74" i="3"/>
  <c r="AY204" i="3"/>
  <c r="AY363" i="3"/>
  <c r="AY412" i="3"/>
  <c r="AY229" i="3"/>
  <c r="AY326" i="3"/>
  <c r="AY557" i="3"/>
  <c r="AY105" i="3"/>
  <c r="AY51" i="3"/>
  <c r="AY281" i="3"/>
  <c r="AY473" i="3"/>
  <c r="AY372" i="3"/>
  <c r="AY533" i="3"/>
  <c r="AY20" i="3"/>
  <c r="AY173" i="3"/>
  <c r="AY286" i="3"/>
  <c r="AY227" i="3"/>
  <c r="AY507" i="3"/>
  <c r="AY29" i="3"/>
  <c r="AY275" i="3"/>
  <c r="AY341" i="3"/>
  <c r="AY480" i="3"/>
  <c r="AY419" i="3"/>
  <c r="AY536" i="3"/>
  <c r="AY532" i="3"/>
  <c r="AY64" i="3"/>
  <c r="AY113" i="3"/>
  <c r="AY361" i="3"/>
  <c r="AY479" i="3"/>
  <c r="AY59" i="3"/>
  <c r="AY245" i="3"/>
  <c r="AY60" i="3"/>
  <c r="AY299" i="3"/>
  <c r="AY357" i="3"/>
  <c r="AY114" i="3"/>
  <c r="AY491" i="3"/>
  <c r="AY561" i="3"/>
  <c r="AY96" i="3"/>
  <c r="AY223" i="3"/>
  <c r="AY450" i="3"/>
  <c r="AY17" i="3"/>
  <c r="AY530" i="3"/>
  <c r="AY47" i="3"/>
  <c r="AY120" i="3"/>
  <c r="AY383" i="3"/>
  <c r="AY440" i="3"/>
  <c r="AY576" i="3"/>
  <c r="AY195" i="3"/>
  <c r="AY272" i="3"/>
  <c r="AY322" i="3"/>
  <c r="AY15" i="3"/>
  <c r="AY188" i="3"/>
  <c r="AY228" i="3"/>
  <c r="AY44" i="3"/>
  <c r="AY283" i="3"/>
  <c r="AY360" i="3"/>
  <c r="AY295" i="3"/>
  <c r="AY475" i="3"/>
  <c r="AY534" i="3"/>
  <c r="AY65" i="3"/>
  <c r="AY380" i="3"/>
  <c r="AY442" i="3"/>
  <c r="AY499" i="3"/>
  <c r="BR6" i="3"/>
  <c r="AY78" i="3"/>
  <c r="AY127" i="3"/>
  <c r="AY376" i="3"/>
  <c r="AY424" i="3"/>
  <c r="AY587" i="3"/>
  <c r="AY179" i="3"/>
  <c r="AY256" i="3"/>
  <c r="AY306" i="3"/>
  <c r="AY504" i="3"/>
  <c r="AY87" i="3"/>
  <c r="AY191" i="3"/>
  <c r="AY31" i="3"/>
  <c r="AY147" i="3"/>
  <c r="AY350" i="3"/>
  <c r="AY425" i="3"/>
  <c r="AY244" i="3"/>
  <c r="AY481" i="3"/>
  <c r="AY562" i="3"/>
  <c r="AY89" i="3"/>
  <c r="AY34" i="3"/>
  <c r="AY111" i="3"/>
  <c r="AY460" i="3"/>
  <c r="AY327" i="3"/>
  <c r="BE6" i="3"/>
  <c r="AY25" i="3"/>
  <c r="AY157" i="3"/>
  <c r="AY271" i="3"/>
  <c r="AY211" i="3"/>
  <c r="BI6" i="3"/>
  <c r="AY186" i="3"/>
  <c r="AY243" i="3"/>
  <c r="AY325" i="3"/>
  <c r="AY464" i="3"/>
  <c r="AY403" i="3"/>
  <c r="AY527" i="3"/>
  <c r="AY556" i="3"/>
  <c r="AY32" i="3"/>
  <c r="AY298" i="3"/>
  <c r="AY352" i="3"/>
  <c r="AY492" i="3"/>
  <c r="AY131" i="3"/>
  <c r="AY395" i="3"/>
  <c r="AY28" i="3"/>
  <c r="AY294" i="3"/>
  <c r="AY554" i="3"/>
  <c r="AY290" i="3"/>
  <c r="AY488" i="3"/>
  <c r="BF6" i="3"/>
  <c r="AY80" i="3"/>
  <c r="AY369" i="3"/>
  <c r="AY434" i="3"/>
  <c r="AY538" i="3"/>
  <c r="AY545" i="3"/>
  <c r="AY62" i="3"/>
  <c r="AY301" i="3"/>
  <c r="AY359" i="3"/>
  <c r="AY408" i="3"/>
  <c r="AY107" i="3"/>
  <c r="AY164" i="3"/>
  <c r="AY240" i="3"/>
  <c r="AY477" i="3"/>
  <c r="AY566" i="3"/>
  <c r="AY276" i="3"/>
  <c r="AY358" i="3"/>
  <c r="AY33" i="3"/>
  <c r="AY278" i="3"/>
  <c r="BH6" i="3"/>
  <c r="AY259" i="3"/>
  <c r="AY472" i="3"/>
  <c r="AY571" i="3"/>
  <c r="AY48" i="3"/>
  <c r="AY364" i="3"/>
  <c r="AY426" i="3"/>
  <c r="AY14" i="3"/>
  <c r="AY570" i="3"/>
  <c r="AY46" i="3"/>
  <c r="AY285" i="3"/>
  <c r="AY362" i="3"/>
  <c r="AY437" i="3"/>
  <c r="AY91" i="3"/>
  <c r="AY148" i="3"/>
  <c r="AY224" i="3"/>
  <c r="AY490" i="3"/>
  <c r="AY498" i="3"/>
  <c r="AY83" i="3"/>
  <c r="AY160" i="3"/>
  <c r="AY183" i="3"/>
  <c r="AY284" i="3"/>
  <c r="AY319" i="3"/>
  <c r="AY497" i="3"/>
  <c r="AY212" i="3"/>
  <c r="AY478" i="3"/>
  <c r="AY573" i="3"/>
  <c r="AY100" i="3"/>
  <c r="AY207" i="3"/>
  <c r="AY168" i="3"/>
  <c r="AY441" i="3"/>
  <c r="AY310" i="3"/>
  <c r="AY97" i="3"/>
  <c r="AY198" i="3"/>
  <c r="AY141" i="3"/>
  <c r="AY255" i="3"/>
  <c r="AY384" i="3"/>
  <c r="BB6" i="3"/>
  <c r="AY181" i="3"/>
  <c r="AY258" i="3"/>
  <c r="AY309" i="3"/>
  <c r="AY449" i="3"/>
  <c r="AY503" i="3"/>
  <c r="AY520" i="3"/>
  <c r="AY496" i="3"/>
  <c r="AY21" i="3"/>
  <c r="AY267" i="3"/>
  <c r="AY337" i="3"/>
  <c r="AY476" i="3"/>
  <c r="AY58" i="3"/>
  <c r="AY342" i="3"/>
  <c r="AY206" i="3"/>
  <c r="AY263" i="3"/>
  <c r="BJ6" i="3"/>
  <c r="AY274" i="3"/>
  <c r="AY457" i="3"/>
  <c r="AY546" i="3"/>
  <c r="AY37" i="3"/>
  <c r="AY345" i="3"/>
  <c r="AY418" i="3"/>
  <c r="AY564" i="3"/>
  <c r="AY548" i="3"/>
  <c r="AY30" i="3"/>
  <c r="AY296" i="3"/>
  <c r="AY347" i="3"/>
  <c r="AY421" i="3"/>
  <c r="AY102" i="3"/>
  <c r="AY175" i="3"/>
  <c r="AY208" i="3"/>
  <c r="AY474" i="3"/>
  <c r="AY583" i="3"/>
  <c r="AY297" i="3"/>
  <c r="AY465" i="3"/>
  <c r="AY190" i="3"/>
  <c r="AY247" i="3"/>
  <c r="AY109" i="3"/>
  <c r="AY242" i="3"/>
  <c r="AY462" i="3"/>
  <c r="AY495" i="3"/>
  <c r="AY194" i="3"/>
  <c r="AY329" i="3"/>
  <c r="AY410" i="3"/>
  <c r="D3" i="6"/>
  <c r="AY531" i="3"/>
  <c r="AY35" i="3"/>
  <c r="AY280" i="3"/>
  <c r="AY331" i="3"/>
  <c r="AY405" i="3"/>
  <c r="AY86" i="3"/>
  <c r="AY159" i="3"/>
  <c r="AY213" i="3"/>
  <c r="AY459" i="3"/>
  <c r="BD6" i="3"/>
  <c r="AY50" i="3"/>
  <c r="AY289" i="3"/>
  <c r="AY261" i="3"/>
  <c r="AY209" i="3"/>
  <c r="AY455" i="3"/>
  <c r="AY116" i="3"/>
  <c r="AY343" i="3"/>
  <c r="AY417" i="3"/>
  <c r="AY539" i="3"/>
  <c r="AY84" i="3"/>
  <c r="AY42" i="3"/>
  <c r="AY366" i="3"/>
  <c r="AY260" i="3"/>
  <c r="AY549" i="3"/>
  <c r="AY52" i="3"/>
  <c r="AY162" i="3"/>
  <c r="AY291" i="3"/>
  <c r="AY238" i="3"/>
  <c r="AY368" i="3"/>
  <c r="AY72" i="3"/>
  <c r="AY121" i="3"/>
  <c r="AY370" i="3"/>
  <c r="AY483" i="3"/>
  <c r="AY406" i="3"/>
  <c r="AY572" i="3"/>
  <c r="AY543" i="3"/>
  <c r="AY81" i="3"/>
  <c r="AY153" i="3"/>
  <c r="AY396" i="3"/>
  <c r="AY320" i="3"/>
  <c r="AY23" i="3"/>
  <c r="AY428" i="3"/>
  <c r="AY553" i="3"/>
  <c r="AY149" i="3"/>
  <c r="AY392" i="3"/>
  <c r="AY197" i="3"/>
  <c r="AY317" i="3"/>
  <c r="AY581" i="3"/>
  <c r="AY514" i="3"/>
  <c r="AY282" i="3"/>
  <c r="AY484" i="3"/>
  <c r="AY399" i="3"/>
  <c r="AY537" i="3"/>
  <c r="AY110" i="3"/>
  <c r="AY140" i="3"/>
  <c r="AY216" i="3"/>
  <c r="AY482" i="3"/>
  <c r="AY528" i="3"/>
  <c r="AY18" i="3"/>
  <c r="AY90" i="3"/>
  <c r="AY75" i="3"/>
  <c r="AY387" i="3"/>
  <c r="AY444" i="3"/>
  <c r="AY269" i="3"/>
  <c r="AY311" i="3"/>
  <c r="AY535" i="3"/>
  <c r="AY555" i="3"/>
  <c r="AY68" i="3"/>
  <c r="AY152" i="3"/>
  <c r="AY303" i="3"/>
  <c r="AY217" i="3"/>
  <c r="AY544" i="3"/>
  <c r="AY36" i="3"/>
  <c r="AY146" i="3"/>
  <c r="AY302" i="3"/>
  <c r="AY222" i="3"/>
  <c r="BS6" i="3"/>
  <c r="AY40" i="3"/>
  <c r="AY279" i="3"/>
  <c r="AY356" i="3"/>
  <c r="AY467" i="3"/>
  <c r="AY435" i="3"/>
  <c r="BN6" i="3"/>
  <c r="AY508" i="3"/>
  <c r="AY49" i="3"/>
  <c r="AY122" i="3"/>
  <c r="AY385" i="3"/>
  <c r="AY304" i="3"/>
  <c r="AY155" i="3"/>
  <c r="AY106" i="3"/>
  <c r="AY77" i="3"/>
  <c r="AY118" i="3"/>
  <c r="AY381" i="3"/>
  <c r="AY177" i="3"/>
  <c r="AY332" i="3"/>
  <c r="AY82" i="3"/>
  <c r="AY252" i="3"/>
  <c r="AY390" i="3"/>
  <c r="BO6" i="3"/>
  <c r="AY236" i="3"/>
  <c r="AY92" i="3"/>
  <c r="AY117" i="3"/>
  <c r="AY88" i="3"/>
  <c r="AY340" i="3"/>
  <c r="AY516" i="3"/>
  <c r="AY174" i="3"/>
  <c r="AY461" i="3"/>
  <c r="AY569" i="3"/>
  <c r="AY41" i="3"/>
  <c r="BM6" i="3"/>
  <c r="AY266" i="3"/>
  <c r="AY505" i="3"/>
  <c r="AY79" i="3"/>
  <c r="AY394" i="3"/>
  <c r="AY568" i="3"/>
  <c r="AY293" i="3"/>
  <c r="AY443" i="3"/>
  <c r="AY176" i="3"/>
  <c r="BK6" i="3"/>
  <c r="AY125" i="3"/>
  <c r="AY202" i="3"/>
  <c r="AY430" i="3"/>
  <c r="AY582" i="3"/>
  <c r="AY312" i="3"/>
  <c r="AY506" i="3"/>
  <c r="AY99" i="3"/>
  <c r="AY249" i="3"/>
  <c r="AY466" i="3"/>
  <c r="AY70" i="3"/>
  <c r="AY241" i="3"/>
  <c r="AY429" i="3"/>
  <c r="AY379" i="3"/>
  <c r="AY19" i="3"/>
  <c r="AY71" i="3"/>
  <c r="AY432" i="3"/>
  <c r="AY115" i="3"/>
  <c r="AY262" i="3"/>
  <c r="AY166" i="3"/>
  <c r="AY398" i="3"/>
  <c r="AY101" i="3"/>
  <c r="AY471" i="3"/>
  <c r="AY524" i="3"/>
  <c r="AY264" i="3"/>
  <c r="AY456" i="3"/>
  <c r="AY38" i="3"/>
  <c r="AY391" i="3"/>
  <c r="AY550" i="3"/>
  <c r="AY171" i="3"/>
  <c r="AY220" i="3"/>
  <c r="AY85" i="3"/>
  <c r="AY382" i="3"/>
  <c r="AY61" i="3"/>
  <c r="AY239" i="3"/>
  <c r="AY57" i="3"/>
  <c r="AY324" i="3"/>
  <c r="AY518" i="3"/>
  <c r="AY142" i="3"/>
  <c r="AY445" i="3"/>
  <c r="AY201" i="3"/>
  <c r="AY24" i="3"/>
  <c r="AY510" i="3"/>
  <c r="AY313" i="3"/>
  <c r="AY522" i="3"/>
  <c r="AY315" i="3"/>
  <c r="AY288" i="3"/>
  <c r="AY541" i="3"/>
  <c r="AY94" i="3"/>
  <c r="AY139" i="3"/>
  <c r="AY334" i="3"/>
  <c r="AY355" i="3"/>
  <c r="AY69" i="3"/>
  <c r="AY529" i="3"/>
  <c r="AY76" i="3"/>
  <c r="AY270" i="3"/>
  <c r="AY150" i="3"/>
  <c r="AY308" i="3"/>
  <c r="AY552" i="3"/>
  <c r="AY235" i="3"/>
  <c r="AY98" i="3"/>
  <c r="AY170" i="3"/>
  <c r="AY210" i="3"/>
  <c r="AY16" i="3"/>
  <c r="AY328" i="3"/>
  <c r="AY575" i="3"/>
  <c r="AY203" i="3"/>
  <c r="AY330" i="3"/>
  <c r="AY39" i="3"/>
  <c r="AY257" i="3"/>
  <c r="AY400" i="3"/>
  <c r="AY225" i="3"/>
  <c r="AY108" i="3"/>
  <c r="AY230" i="3"/>
  <c r="AY145" i="3"/>
  <c r="AY411" i="3"/>
  <c r="AY158" i="3"/>
  <c r="AY468" i="3"/>
  <c r="AY502" i="3"/>
  <c r="AY63" i="3"/>
  <c r="AY232" i="3"/>
  <c r="AY558" i="3"/>
  <c r="AY27" i="3"/>
  <c r="AY367" i="3"/>
  <c r="BC6" i="3"/>
  <c r="AY132" i="3"/>
  <c r="AY489" i="3"/>
  <c r="AY447" i="3"/>
  <c r="AY53" i="3"/>
  <c r="AY26" i="3"/>
  <c r="AY182" i="3"/>
  <c r="AY254" i="3"/>
  <c r="AY161" i="3"/>
  <c r="AY454" i="3"/>
  <c r="AY559" i="3"/>
  <c r="AY250" i="3"/>
  <c r="AY268" i="3"/>
  <c r="AY138" i="3"/>
  <c r="AY377" i="3"/>
  <c r="AY584" i="3"/>
  <c r="AY487" i="3"/>
  <c r="AY515" i="3"/>
  <c r="AY172" i="3"/>
  <c r="AY485" i="3"/>
  <c r="AY54" i="3"/>
  <c r="AY386" i="3"/>
  <c r="AY413" i="3"/>
  <c r="AY335" i="3"/>
  <c r="AY45" i="3"/>
  <c r="AY219" i="3"/>
  <c r="AY388" i="3"/>
  <c r="BQ6" i="3"/>
  <c r="AY137" i="3"/>
  <c r="AY458" i="3"/>
  <c r="AY565" i="3"/>
  <c r="AY192" i="3"/>
  <c r="AY221" i="3"/>
  <c r="AY517" i="3"/>
  <c r="AY184" i="3"/>
  <c r="AY354" i="3"/>
  <c r="AY511" i="3"/>
  <c r="AY163" i="3"/>
  <c r="AY486" i="3"/>
  <c r="AY436" i="3"/>
  <c r="AY144" i="3"/>
  <c r="AY300" i="3"/>
  <c r="AY193" i="3"/>
  <c r="AY389" i="3"/>
  <c r="AY130" i="3"/>
  <c r="AY438" i="3"/>
  <c r="AY577" i="3"/>
  <c r="AY218" i="3"/>
  <c r="AY371" i="3"/>
  <c r="AY231" i="3"/>
  <c r="AY349" i="3"/>
  <c r="AY519" i="3"/>
  <c r="AY453" i="3"/>
  <c r="AY551" i="3"/>
  <c r="AY151" i="3"/>
  <c r="AY451" i="3"/>
  <c r="AY22" i="3"/>
  <c r="AY375" i="3"/>
  <c r="AY521" i="3"/>
  <c r="AY470" i="3"/>
  <c r="AY185" i="3"/>
  <c r="AY397" i="3"/>
  <c r="AY353" i="3"/>
  <c r="AY585" i="3"/>
  <c r="AY287" i="3"/>
  <c r="AY439" i="3"/>
  <c r="AY509" i="3"/>
  <c r="AY187" i="3"/>
  <c r="AY378" i="3"/>
  <c r="AY560" i="3"/>
  <c r="AY128" i="3"/>
  <c r="AY323" i="3"/>
  <c r="AY586" i="3"/>
  <c r="AY123" i="3"/>
  <c r="AY526" i="3"/>
  <c r="AY404" i="3"/>
  <c r="AY124" i="3"/>
  <c r="AY463" i="3"/>
  <c r="AY178" i="3"/>
  <c r="AY373" i="3"/>
  <c r="AY226" i="3"/>
  <c r="AY422" i="3"/>
  <c r="AY523" i="3"/>
  <c r="AY321" i="3"/>
  <c r="AY318" i="3"/>
  <c r="AY246" i="3"/>
  <c r="AY446" i="3"/>
  <c r="AY189" i="3"/>
  <c r="AY402" i="3"/>
  <c r="BP6" i="3"/>
  <c r="AY265" i="3"/>
  <c r="AY500" i="3"/>
  <c r="AY200" i="3"/>
  <c r="AY351" i="3"/>
  <c r="BT6" i="3"/>
  <c r="AY409" i="3"/>
  <c r="AY154" i="3"/>
  <c r="AY374" i="3"/>
  <c r="AY333" i="3"/>
  <c r="BG6" i="3"/>
  <c r="AY251" i="3"/>
  <c r="AY423" i="3"/>
  <c r="AY542" i="3"/>
  <c r="AY156" i="3"/>
  <c r="AY346" i="3"/>
  <c r="AY512" i="3"/>
  <c r="AY119" i="3"/>
  <c r="AY338" i="3"/>
  <c r="AY103" i="3"/>
  <c r="AY292" i="3"/>
  <c r="AY43" i="3"/>
  <c r="AY574" i="3"/>
  <c r="AY95" i="3"/>
  <c r="AY420" i="3"/>
  <c r="AY126" i="3"/>
  <c r="AY365" i="3"/>
  <c r="AY215" i="3"/>
  <c r="AY525" i="3"/>
  <c r="AY112" i="3"/>
  <c r="AY305" i="3"/>
  <c r="AY452" i="3"/>
  <c r="AY214" i="3"/>
  <c r="AY414" i="3"/>
  <c r="AY169" i="3"/>
  <c r="AY431" i="3"/>
  <c r="AY563" i="3"/>
  <c r="AY233" i="3"/>
  <c r="AY13" i="3"/>
  <c r="AY143" i="3"/>
  <c r="AY339" i="3"/>
  <c r="AY567" i="3"/>
  <c r="AY180" i="3"/>
  <c r="AY165" i="3"/>
  <c r="AY73" i="3"/>
  <c r="AY348" i="3"/>
  <c r="AY501" i="3"/>
  <c r="AY234" i="3"/>
  <c r="AY407" i="3"/>
  <c r="AY578" i="3"/>
  <c r="AY167" i="3"/>
  <c r="AY314" i="3"/>
  <c r="BL6" i="3"/>
  <c r="AY277" i="3"/>
  <c r="AY448" i="3"/>
  <c r="AY67" i="3"/>
  <c r="AY237" i="3"/>
  <c r="AY199" i="3"/>
  <c r="AY540" i="3"/>
  <c r="AY253" i="3"/>
  <c r="AY401" i="3"/>
  <c r="AY134" i="3"/>
  <c r="AY93" i="3"/>
  <c r="AY393" i="3"/>
  <c r="AY580" i="3"/>
  <c r="AY205" i="3"/>
  <c r="AY336" i="3"/>
  <c r="AY513" i="3"/>
  <c r="AY104" i="3"/>
  <c r="AY427" i="3"/>
  <c r="AY129" i="3"/>
  <c r="AY415" i="3"/>
  <c r="AY493" i="3"/>
  <c r="AY248" i="3"/>
  <c r="AY547" i="3"/>
  <c r="AY136" i="3"/>
  <c r="AY307" i="3"/>
  <c r="AY66" i="3"/>
  <c r="AY433" i="3"/>
  <c r="AY133" i="3"/>
  <c r="AY56" i="3"/>
  <c r="AY316" i="3"/>
  <c r="AY494" i="3"/>
  <c r="AY344" i="3"/>
  <c r="AY579" i="3"/>
  <c r="BA6" i="3"/>
  <c r="AY135" i="3"/>
  <c r="AY469" i="3"/>
  <c r="AY55" i="3"/>
  <c r="AY273" i="3"/>
  <c r="AY416" i="3"/>
  <c r="T7" i="43"/>
  <c r="V7" i="43" s="1"/>
  <c r="AD256" i="79"/>
  <c r="AE257" i="79" s="1"/>
  <c r="Z256" i="79"/>
  <c r="AB256" i="79"/>
  <c r="C29" i="43"/>
  <c r="C30" i="43" s="1"/>
  <c r="E30" i="43" s="1"/>
  <c r="C38" i="43"/>
  <c r="C39" i="43"/>
  <c r="F69" i="15"/>
  <c r="J29" i="15"/>
  <c r="E53" i="33"/>
  <c r="F53" i="33" s="1"/>
  <c r="E52" i="33"/>
  <c r="F52" i="33" s="1"/>
  <c r="E54" i="34"/>
  <c r="F54" i="34" s="1"/>
  <c r="E53" i="34"/>
  <c r="F53" i="34" s="1"/>
  <c r="I42" i="35"/>
  <c r="J42" i="35" s="1"/>
  <c r="G46" i="36"/>
  <c r="I52" i="33"/>
  <c r="J52" i="33" s="1"/>
  <c r="I53" i="33"/>
  <c r="J53" i="33" s="1"/>
  <c r="G58" i="21"/>
  <c r="H58" i="21" s="1"/>
  <c r="I58" i="21" s="1"/>
  <c r="J58" i="21" s="1"/>
  <c r="K58" i="21" s="1"/>
  <c r="L58" i="21" s="1"/>
  <c r="M58" i="21" s="1"/>
  <c r="N58" i="21" s="1"/>
  <c r="O58" i="21" s="1"/>
  <c r="F7" i="21"/>
  <c r="J7" i="21"/>
  <c r="C48" i="33"/>
  <c r="C49" i="33"/>
  <c r="B2" i="33" s="1"/>
  <c r="B3" i="33" s="1"/>
  <c r="R43" i="37"/>
  <c r="E42" i="37"/>
  <c r="R39" i="35"/>
  <c r="E38" i="35"/>
  <c r="I46" i="37"/>
  <c r="J46" i="37" s="1"/>
  <c r="C50" i="34"/>
  <c r="B2" i="34" s="1"/>
  <c r="B3" i="34" s="1"/>
  <c r="C49" i="34"/>
  <c r="G46" i="37"/>
  <c r="H46" i="37" s="1"/>
  <c r="G47" i="37"/>
  <c r="H47" i="37" s="1"/>
  <c r="G42" i="35"/>
  <c r="H42" i="35" s="1"/>
  <c r="G43" i="35"/>
  <c r="H43" i="35" s="1"/>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17" i="15"/>
  <c r="C23" i="67" l="1"/>
  <c r="C29" i="67" s="1"/>
  <c r="T13" i="43"/>
  <c r="V13" i="43" s="1"/>
  <c r="C33" i="43"/>
  <c r="G33" i="43" s="1"/>
  <c r="I33" i="43" s="1"/>
  <c r="T9" i="43"/>
  <c r="V9" i="43" s="1"/>
  <c r="T16" i="43"/>
  <c r="V16" i="43" s="1"/>
  <c r="T8" i="43"/>
  <c r="V8" i="43" s="1"/>
  <c r="T15" i="43"/>
  <c r="V15" i="43" s="1"/>
  <c r="T11" i="43"/>
  <c r="V11" i="43" s="1"/>
  <c r="T3" i="43"/>
  <c r="V3" i="43" s="1"/>
  <c r="T5" i="43"/>
  <c r="V5" i="43" s="1"/>
  <c r="T12" i="43"/>
  <c r="V12" i="43" s="1"/>
  <c r="T14" i="43"/>
  <c r="V14" i="43" s="1"/>
  <c r="T10" i="43"/>
  <c r="V10" i="43" s="1"/>
  <c r="C36" i="43"/>
  <c r="G36" i="43" s="1"/>
  <c r="I36" i="43" s="1"/>
  <c r="C34" i="43"/>
  <c r="G34" i="43" s="1"/>
  <c r="I34" i="43" s="1"/>
  <c r="C37" i="43"/>
  <c r="G37" i="43" s="1"/>
  <c r="I37" i="43" s="1"/>
  <c r="C35" i="43"/>
  <c r="E35" i="43" s="1"/>
  <c r="T4" i="43"/>
  <c r="V4" i="43" s="1"/>
  <c r="T6" i="43"/>
  <c r="V6" i="43" s="1"/>
  <c r="C35" i="69"/>
  <c r="C38" i="69"/>
  <c r="H65" i="40"/>
  <c r="I63" i="40"/>
  <c r="M16" i="1"/>
  <c r="C14" i="12"/>
  <c r="C16" i="12" s="1"/>
  <c r="D17" i="12"/>
  <c r="C17" i="12" s="1"/>
  <c r="E6" i="3"/>
  <c r="D10" i="11"/>
  <c r="C10" i="11" s="1"/>
  <c r="D20" i="12"/>
  <c r="C20" i="12" s="1"/>
  <c r="C18" i="12" s="1"/>
  <c r="D10" i="69"/>
  <c r="D10" i="68"/>
  <c r="C7" i="71"/>
  <c r="D8" i="71"/>
  <c r="C34" i="40"/>
  <c r="D25" i="6"/>
  <c r="R25" i="6" s="1"/>
  <c r="D10" i="6"/>
  <c r="C18" i="4"/>
  <c r="D8" i="6"/>
  <c r="D15" i="6"/>
  <c r="D29" i="6"/>
  <c r="D5" i="6"/>
  <c r="D12" i="6"/>
  <c r="D22" i="6"/>
  <c r="R22" i="6" s="1"/>
  <c r="D21" i="6"/>
  <c r="R21" i="6" s="1"/>
  <c r="H25" i="6"/>
  <c r="D11" i="6"/>
  <c r="D13" i="6"/>
  <c r="D24" i="6"/>
  <c r="R24" i="6" s="1"/>
  <c r="D28" i="6"/>
  <c r="D20" i="6"/>
  <c r="H21" i="6"/>
  <c r="H26" i="6"/>
  <c r="D6" i="6"/>
  <c r="H24" i="6"/>
  <c r="H22" i="6"/>
  <c r="E61" i="40"/>
  <c r="H23" i="6"/>
  <c r="H20" i="6"/>
  <c r="D9" i="6"/>
  <c r="D19" i="6"/>
  <c r="D26" i="6"/>
  <c r="D23" i="6"/>
  <c r="R23" i="6" s="1"/>
  <c r="D14" i="6"/>
  <c r="I68" i="39"/>
  <c r="H70" i="39"/>
  <c r="M27" i="6"/>
  <c r="I19" i="6"/>
  <c r="AQ6" i="1"/>
  <c r="E6" i="70"/>
  <c r="E2" i="70" s="1"/>
  <c r="S16" i="1"/>
  <c r="AR6" i="1"/>
  <c r="T6" i="1"/>
  <c r="T16" i="1" s="1"/>
  <c r="V41" i="40"/>
  <c r="I48" i="40"/>
  <c r="J48" i="40" s="1"/>
  <c r="R41" i="40"/>
  <c r="E48" i="40"/>
  <c r="F48" i="40" s="1"/>
  <c r="G48" i="40"/>
  <c r="H48" i="40" s="1"/>
  <c r="T41" i="40"/>
  <c r="E29" i="43"/>
  <c r="C6" i="68" s="1"/>
  <c r="E38" i="43"/>
  <c r="G38" i="43"/>
  <c r="I38" i="43" s="1"/>
  <c r="G39" i="43"/>
  <c r="I39" i="43" s="1"/>
  <c r="E39" i="43"/>
  <c r="E36" i="43"/>
  <c r="C19" i="68"/>
  <c r="E43" i="35"/>
  <c r="F43" i="35" s="1"/>
  <c r="E42" i="35"/>
  <c r="F42" i="35" s="1"/>
  <c r="E47" i="37"/>
  <c r="F47" i="37" s="1"/>
  <c r="E46" i="37"/>
  <c r="F46" i="37" s="1"/>
  <c r="AC7" i="21"/>
  <c r="V48" i="21" s="1"/>
  <c r="I48" i="21" s="1"/>
  <c r="W7" i="21"/>
  <c r="I43" i="35"/>
  <c r="J43" i="35" s="1"/>
  <c r="I47" i="37"/>
  <c r="J47" i="37" s="1"/>
  <c r="C39" i="35"/>
  <c r="B2" i="35" s="1"/>
  <c r="B3" i="35" s="1"/>
  <c r="C38" i="35"/>
  <c r="C43" i="37"/>
  <c r="B2" i="37" s="1"/>
  <c r="B3" i="37" s="1"/>
  <c r="C42" i="37"/>
  <c r="S7" i="21"/>
  <c r="AA7" i="21"/>
  <c r="R48" i="21" s="1"/>
  <c r="H46" i="36"/>
  <c r="H7" i="21"/>
  <c r="J59" i="15"/>
  <c r="J60" i="15" s="1"/>
  <c r="C22" i="11"/>
  <c r="C31" i="11" s="1"/>
  <c r="C36" i="67"/>
  <c r="C33" i="67"/>
  <c r="C31" i="67" s="1"/>
  <c r="J14" i="67"/>
  <c r="C13" i="67"/>
  <c r="J19" i="67"/>
  <c r="J17" i="67" s="1"/>
  <c r="C57" i="67"/>
  <c r="Q49" i="67"/>
  <c r="J59" i="67"/>
  <c r="J60" i="67" s="1"/>
  <c r="C14" i="15"/>
  <c r="E33" i="43" l="1"/>
  <c r="E37" i="43"/>
  <c r="G35" i="43"/>
  <c r="I35" i="43" s="1"/>
  <c r="C27" i="43" s="1"/>
  <c r="E34" i="43"/>
  <c r="C18" i="15"/>
  <c r="C15" i="15"/>
  <c r="J68" i="39"/>
  <c r="I70" i="39"/>
  <c r="D30" i="6"/>
  <c r="C21" i="12"/>
  <c r="C22" i="12" s="1"/>
  <c r="C27" i="12" s="1"/>
  <c r="C25" i="12" s="1"/>
  <c r="C6" i="71"/>
  <c r="T7" i="71"/>
  <c r="D7" i="71"/>
  <c r="U7" i="71" s="1"/>
  <c r="C10" i="68"/>
  <c r="D19" i="68"/>
  <c r="D37" i="68" s="1"/>
  <c r="C37" i="68" s="1"/>
  <c r="C34" i="11"/>
  <c r="L16" i="1"/>
  <c r="C34" i="68"/>
  <c r="N16" i="1"/>
  <c r="R26" i="6"/>
  <c r="D16" i="6"/>
  <c r="C10" i="69"/>
  <c r="C8" i="69" s="1"/>
  <c r="C5" i="69" s="1"/>
  <c r="D19" i="69"/>
  <c r="I65" i="40"/>
  <c r="J63" i="40"/>
  <c r="L19" i="9"/>
  <c r="M19" i="9"/>
  <c r="C118" i="9" s="1"/>
  <c r="C14" i="74" s="1"/>
  <c r="B2" i="74" s="1"/>
  <c r="D27" i="6"/>
  <c r="R19" i="6"/>
  <c r="A7" i="51"/>
  <c r="B7" i="72" s="1"/>
  <c r="C4" i="52"/>
  <c r="B45" i="72" s="1"/>
  <c r="A10" i="51"/>
  <c r="B9" i="72" s="1"/>
  <c r="L18" i="9"/>
  <c r="S19" i="6"/>
  <c r="S27" i="6" s="1"/>
  <c r="I27" i="6"/>
  <c r="H19" i="6"/>
  <c r="H27" i="6" s="1"/>
  <c r="R20" i="6"/>
  <c r="J34" i="40"/>
  <c r="F34" i="40"/>
  <c r="H34" i="40"/>
  <c r="C24" i="68"/>
  <c r="U7" i="21"/>
  <c r="AB7" i="21"/>
  <c r="T48" i="21" s="1"/>
  <c r="G48" i="21" s="1"/>
  <c r="I46" i="36"/>
  <c r="R49" i="21"/>
  <c r="E48" i="21"/>
  <c r="I52" i="21"/>
  <c r="J52" i="21" s="1"/>
  <c r="I53" i="21"/>
  <c r="J53" i="21" s="1"/>
  <c r="Q48" i="15"/>
  <c r="J13" i="67"/>
  <c r="J23" i="67" s="1"/>
  <c r="J22" i="67"/>
  <c r="C61" i="67"/>
  <c r="C59" i="67" s="1"/>
  <c r="C64" i="67"/>
  <c r="Q48" i="67"/>
  <c r="L46" i="67"/>
  <c r="C56" i="67"/>
  <c r="C65" i="67" s="1"/>
  <c r="C75" i="67"/>
  <c r="Q70" i="67"/>
  <c r="C37" i="67"/>
  <c r="C30" i="67" s="1"/>
  <c r="C39" i="67" s="1"/>
  <c r="L51" i="67"/>
  <c r="C26" i="43" l="1"/>
  <c r="C30" i="12"/>
  <c r="C28" i="12" s="1"/>
  <c r="C32" i="12" s="1"/>
  <c r="B2" i="12" s="1"/>
  <c r="B3" i="12" s="1"/>
  <c r="C19" i="15"/>
  <c r="F50" i="69"/>
  <c r="F50" i="68"/>
  <c r="F50" i="11"/>
  <c r="D6" i="71"/>
  <c r="C5" i="71"/>
  <c r="C38" i="68"/>
  <c r="C35" i="68"/>
  <c r="K63" i="40"/>
  <c r="J65" i="40"/>
  <c r="AA34" i="40"/>
  <c r="S34" i="40"/>
  <c r="C19" i="69"/>
  <c r="C24" i="69" s="1"/>
  <c r="D37" i="69"/>
  <c r="C37" i="69" s="1"/>
  <c r="C33" i="69" s="1"/>
  <c r="K68" i="39"/>
  <c r="J70" i="39"/>
  <c r="AB34" i="40"/>
  <c r="U34" i="40"/>
  <c r="C23" i="69"/>
  <c r="AC34" i="40"/>
  <c r="W34" i="40"/>
  <c r="C38" i="11"/>
  <c r="C35" i="11"/>
  <c r="R6" i="1"/>
  <c r="R27" i="6"/>
  <c r="D31" i="6"/>
  <c r="C49" i="21"/>
  <c r="B2" i="21" s="1"/>
  <c r="B3" i="21" s="1"/>
  <c r="C48" i="21"/>
  <c r="J46" i="36"/>
  <c r="E52" i="21"/>
  <c r="F52" i="21" s="1"/>
  <c r="E53" i="21"/>
  <c r="F53" i="21" s="1"/>
  <c r="G52" i="21"/>
  <c r="H52" i="21" s="1"/>
  <c r="G53" i="21"/>
  <c r="H53" i="21" s="1"/>
  <c r="J16" i="67"/>
  <c r="J25" i="67" s="1"/>
  <c r="C80" i="67"/>
  <c r="C79" i="67" s="1"/>
  <c r="C58" i="67"/>
  <c r="C67" i="67" s="1"/>
  <c r="C68" i="67" s="1"/>
  <c r="Q69" i="67"/>
  <c r="Q68" i="67" s="1"/>
  <c r="C40" i="67"/>
  <c r="E6" i="76"/>
  <c r="F35" i="15"/>
  <c r="M21" i="15"/>
  <c r="E2" i="76" l="1"/>
  <c r="B2" i="43"/>
  <c r="C33" i="11"/>
  <c r="C39" i="11" s="1"/>
  <c r="C20" i="15"/>
  <c r="C26" i="15" s="1"/>
  <c r="C20" i="69"/>
  <c r="C25" i="69" s="1"/>
  <c r="C22" i="69" s="1"/>
  <c r="C33" i="68"/>
  <c r="C39" i="68" s="1"/>
  <c r="C43" i="68" s="1"/>
  <c r="J20" i="15"/>
  <c r="F63" i="15"/>
  <c r="C62" i="15" s="1"/>
  <c r="C34" i="15"/>
  <c r="I6" i="6"/>
  <c r="I7" i="6" s="1"/>
  <c r="I5" i="6"/>
  <c r="L68" i="39"/>
  <c r="K70" i="39"/>
  <c r="L63" i="40"/>
  <c r="K65" i="40"/>
  <c r="C42" i="68"/>
  <c r="C42" i="69"/>
  <c r="C39" i="69"/>
  <c r="R16" i="1"/>
  <c r="D5" i="71"/>
  <c r="M20" i="43"/>
  <c r="K46" i="36"/>
  <c r="L57" i="15"/>
  <c r="L60" i="15" s="1"/>
  <c r="L46" i="15" s="1"/>
  <c r="Q67" i="67"/>
  <c r="L57" i="67"/>
  <c r="L60" i="67" s="1"/>
  <c r="C45" i="67"/>
  <c r="C46" i="67" s="1"/>
  <c r="C71" i="67"/>
  <c r="C43" i="67"/>
  <c r="D2" i="67"/>
  <c r="Q47" i="67"/>
  <c r="Q53" i="67" s="1"/>
  <c r="Q56" i="67"/>
  <c r="Q65" i="67"/>
  <c r="C83" i="67"/>
  <c r="C82" i="67" s="1"/>
  <c r="B6" i="76"/>
  <c r="B2" i="76" l="1"/>
  <c r="B3" i="76" s="1"/>
  <c r="B3" i="43"/>
  <c r="C42" i="11"/>
  <c r="C23" i="15"/>
  <c r="C29" i="15" s="1"/>
  <c r="Q49" i="15" s="1"/>
  <c r="C46" i="68"/>
  <c r="C45" i="68" s="1"/>
  <c r="C28" i="69"/>
  <c r="C27" i="69" s="1"/>
  <c r="C31" i="69" s="1"/>
  <c r="C43" i="69"/>
  <c r="C41" i="69" s="1"/>
  <c r="C46" i="69"/>
  <c r="C45" i="69" s="1"/>
  <c r="U256" i="79"/>
  <c r="C11" i="40"/>
  <c r="C41" i="68"/>
  <c r="C49" i="68" s="1"/>
  <c r="C51" i="68" s="1"/>
  <c r="C46" i="11"/>
  <c r="C45" i="11" s="1"/>
  <c r="C43" i="11"/>
  <c r="C41" i="11" s="1"/>
  <c r="C49" i="11" s="1"/>
  <c r="C51" i="11" s="1"/>
  <c r="M63" i="40"/>
  <c r="L65" i="40"/>
  <c r="M68" i="39"/>
  <c r="L70" i="39"/>
  <c r="L46" i="36"/>
  <c r="Q66" i="15"/>
  <c r="Q57" i="15"/>
  <c r="Q66" i="67"/>
  <c r="Q75" i="67" s="1"/>
  <c r="Q57" i="67"/>
  <c r="Q62" i="67" s="1"/>
  <c r="B2" i="67"/>
  <c r="B3" i="67"/>
  <c r="C36" i="15" l="1"/>
  <c r="J14" i="15"/>
  <c r="C13" i="15"/>
  <c r="J19" i="15"/>
  <c r="J17" i="15" s="1"/>
  <c r="C57" i="15"/>
  <c r="C52" i="11"/>
  <c r="B2" i="11" s="1"/>
  <c r="B3" i="11" s="1"/>
  <c r="C49" i="69"/>
  <c r="C51" i="69" s="1"/>
  <c r="C52" i="69" s="1"/>
  <c r="N68" i="39"/>
  <c r="M70" i="39"/>
  <c r="M65" i="40"/>
  <c r="N63" i="40"/>
  <c r="F11" i="40"/>
  <c r="J11" i="40"/>
  <c r="H11" i="40"/>
  <c r="M46" i="36"/>
  <c r="N46" i="36" s="1"/>
  <c r="O46" i="36" s="1"/>
  <c r="H7" i="36"/>
  <c r="C33" i="15"/>
  <c r="C31" i="15" l="1"/>
  <c r="J22" i="15"/>
  <c r="J13" i="15"/>
  <c r="J23" i="15" s="1"/>
  <c r="C61" i="15"/>
  <c r="C59" i="15" s="1"/>
  <c r="C64" i="15"/>
  <c r="C75" i="15"/>
  <c r="C37" i="15"/>
  <c r="Q70" i="15"/>
  <c r="C56" i="15"/>
  <c r="C65" i="15" s="1"/>
  <c r="F7" i="40"/>
  <c r="J7" i="40"/>
  <c r="W11" i="40"/>
  <c r="AC11" i="40"/>
  <c r="N70" i="39"/>
  <c r="O68" i="39"/>
  <c r="O70" i="39" s="1"/>
  <c r="AA11" i="40"/>
  <c r="S11" i="40"/>
  <c r="C57" i="69"/>
  <c r="C56" i="69" s="1"/>
  <c r="B2" i="69"/>
  <c r="B3" i="69" s="1"/>
  <c r="C56" i="11"/>
  <c r="C57" i="11" s="1"/>
  <c r="AB11" i="40"/>
  <c r="U11" i="40"/>
  <c r="O63" i="40"/>
  <c r="O65" i="40" s="1"/>
  <c r="N65" i="40"/>
  <c r="H7" i="40" s="1"/>
  <c r="F7" i="39"/>
  <c r="J7" i="36"/>
  <c r="F7" i="36"/>
  <c r="AB7" i="36"/>
  <c r="T36" i="36" s="1"/>
  <c r="G36" i="36" s="1"/>
  <c r="U7" i="36"/>
  <c r="C30" i="15" l="1"/>
  <c r="C39" i="15" s="1"/>
  <c r="Q69" i="15" s="1"/>
  <c r="Q68" i="15" s="1"/>
  <c r="C58" i="15"/>
  <c r="C67" i="15" s="1"/>
  <c r="C68" i="15" s="1"/>
  <c r="C71" i="15" s="1"/>
  <c r="J16" i="15"/>
  <c r="J25" i="15" s="1"/>
  <c r="H7" i="39"/>
  <c r="J7" i="39"/>
  <c r="S7" i="39"/>
  <c r="AA7" i="39"/>
  <c r="R47" i="39" s="1"/>
  <c r="AC7" i="40"/>
  <c r="V42" i="40" s="1"/>
  <c r="I42" i="40" s="1"/>
  <c r="W7" i="40"/>
  <c r="U7" i="40"/>
  <c r="AB7" i="40"/>
  <c r="T42" i="40" s="1"/>
  <c r="G42" i="40" s="1"/>
  <c r="AA7" i="40"/>
  <c r="R42" i="40" s="1"/>
  <c r="S7" i="40"/>
  <c r="G40" i="36"/>
  <c r="H40" i="36" s="1"/>
  <c r="S7" i="36"/>
  <c r="AA7" i="36"/>
  <c r="R36" i="36" s="1"/>
  <c r="AC7" i="36"/>
  <c r="V36" i="36" s="1"/>
  <c r="I36" i="36" s="1"/>
  <c r="G41" i="36" s="1"/>
  <c r="H41" i="36" s="1"/>
  <c r="W7" i="36"/>
  <c r="L51" i="15"/>
  <c r="Q67" i="15" l="1"/>
  <c r="C40" i="15"/>
  <c r="C43" i="15" s="1"/>
  <c r="C80" i="15"/>
  <c r="C79" i="15" s="1"/>
  <c r="I46" i="40"/>
  <c r="J46" i="40" s="1"/>
  <c r="R48" i="39"/>
  <c r="E47" i="39"/>
  <c r="W7" i="39"/>
  <c r="AC7" i="39"/>
  <c r="V47" i="39" s="1"/>
  <c r="I47" i="39" s="1"/>
  <c r="U7" i="39"/>
  <c r="AB7" i="39"/>
  <c r="T47" i="39" s="1"/>
  <c r="G47" i="39" s="1"/>
  <c r="G46" i="40"/>
  <c r="H46" i="40" s="1"/>
  <c r="G47" i="40"/>
  <c r="H47" i="40" s="1"/>
  <c r="R43" i="40"/>
  <c r="E42" i="40"/>
  <c r="R37" i="36"/>
  <c r="E36" i="36"/>
  <c r="I41" i="36"/>
  <c r="J41" i="36" s="1"/>
  <c r="I40" i="36"/>
  <c r="J40" i="36" s="1"/>
  <c r="Q47" i="15" l="1"/>
  <c r="Q53" i="15" s="1"/>
  <c r="Q56" i="15"/>
  <c r="Q62" i="15" s="1"/>
  <c r="C46" i="15"/>
  <c r="C83" i="15"/>
  <c r="C82" i="15" s="1"/>
  <c r="B2" i="15"/>
  <c r="B3" i="15" s="1"/>
  <c r="Q65" i="15"/>
  <c r="Q75" i="15" s="1"/>
  <c r="I51" i="39"/>
  <c r="J51" i="39" s="1"/>
  <c r="I52" i="39"/>
  <c r="J52" i="39" s="1"/>
  <c r="E46" i="40"/>
  <c r="F46" i="40" s="1"/>
  <c r="E47" i="40"/>
  <c r="F47" i="40" s="1"/>
  <c r="E51" i="39"/>
  <c r="F51" i="39" s="1"/>
  <c r="E52" i="39"/>
  <c r="F52" i="39" s="1"/>
  <c r="C47" i="39"/>
  <c r="C48" i="39"/>
  <c r="C43" i="40"/>
  <c r="C42" i="40"/>
  <c r="I47" i="40"/>
  <c r="J47" i="40" s="1"/>
  <c r="G51" i="39"/>
  <c r="H51" i="39" s="1"/>
  <c r="G52" i="39"/>
  <c r="H52" i="39" s="1"/>
  <c r="E40" i="36"/>
  <c r="F40" i="36" s="1"/>
  <c r="E41" i="36"/>
  <c r="F41" i="36" s="1"/>
  <c r="C37" i="36"/>
  <c r="B2" i="36" s="1"/>
  <c r="B3" i="36" s="1"/>
  <c r="C36" i="36"/>
  <c r="D19" i="9"/>
  <c r="AO6" i="1"/>
  <c r="D20" i="9"/>
  <c r="D21" i="9" l="1"/>
  <c r="D102" i="9"/>
  <c r="B6" i="70"/>
  <c r="B2" i="70" s="1"/>
  <c r="B3" i="70" s="1"/>
  <c r="D103" i="9"/>
  <c r="B59" i="39"/>
  <c r="F59" i="39" s="1"/>
  <c r="B62" i="39"/>
  <c r="F62" i="39" s="1"/>
  <c r="B63" i="39"/>
  <c r="F63" i="39" s="1"/>
  <c r="B58" i="39"/>
  <c r="F58" i="39" s="1"/>
  <c r="B57" i="39"/>
  <c r="F57" i="39" s="1"/>
  <c r="B60" i="39"/>
  <c r="F60" i="39" s="1"/>
  <c r="B61" i="39"/>
  <c r="F61" i="39" s="1"/>
  <c r="B65" i="39"/>
  <c r="F65" i="39" s="1"/>
  <c r="B56" i="39"/>
  <c r="F56" i="39" s="1"/>
  <c r="F66" i="39" s="1"/>
  <c r="B2" i="39" s="1"/>
  <c r="B3" i="39" s="1"/>
  <c r="B64" i="39"/>
  <c r="F64" i="39" s="1"/>
  <c r="B59" i="40"/>
  <c r="F59" i="40" s="1"/>
  <c r="B60" i="40"/>
  <c r="F60" i="40" s="1"/>
  <c r="B57" i="40"/>
  <c r="F57" i="40" s="1"/>
  <c r="B54" i="40"/>
  <c r="F54" i="40" s="1"/>
  <c r="B52" i="40"/>
  <c r="F52" i="40" s="1"/>
  <c r="B56" i="40"/>
  <c r="F56" i="40" s="1"/>
  <c r="B55" i="40"/>
  <c r="F55" i="40" s="1"/>
  <c r="B51" i="40"/>
  <c r="F51" i="40" s="1"/>
  <c r="F61" i="40" s="1"/>
  <c r="B58" i="40"/>
  <c r="F58" i="40" s="1"/>
  <c r="B53" i="40"/>
  <c r="F53" i="40" s="1"/>
  <c r="C7" i="68" l="1"/>
  <c r="C5" i="68" s="1"/>
  <c r="B2" i="40"/>
  <c r="B3" i="40" s="1"/>
  <c r="C23" i="68" l="1"/>
  <c r="C20" i="68"/>
  <c r="C25" i="68" s="1"/>
  <c r="C28" i="68" l="1"/>
  <c r="C27" i="68" s="1"/>
  <c r="C22" i="68"/>
  <c r="C31" i="68" l="1"/>
  <c r="C52" i="68" s="1"/>
  <c r="B2" i="68" s="1"/>
  <c r="C19" i="9"/>
  <c r="C57" i="68" l="1"/>
  <c r="C56" i="68" s="1"/>
  <c r="D22" i="9"/>
  <c r="C21" i="9"/>
  <c r="G19" i="9"/>
  <c r="C102" i="9"/>
  <c r="B3" i="68"/>
  <c r="C20" i="9"/>
  <c r="D34" i="9"/>
  <c r="D35" i="9"/>
  <c r="C103" i="9" l="1"/>
  <c r="G20" i="9"/>
  <c r="G21" i="9"/>
  <c r="C32" i="9"/>
  <c r="C35" i="9" l="1"/>
  <c r="F118" i="9" s="1"/>
  <c r="H118" i="9"/>
  <c r="C34" i="9" l="1"/>
  <c r="D118" i="9" s="1"/>
  <c r="D4" i="52" s="1"/>
  <c r="B47" i="72" s="1"/>
  <c r="I118" i="9"/>
  <c r="H4" i="52"/>
  <c r="C104" i="9"/>
  <c r="H101" i="9"/>
  <c r="H109" i="9" s="1"/>
  <c r="D14" i="74"/>
  <c r="H119" i="9"/>
  <c r="H5" i="52" s="1"/>
  <c r="F4" i="52"/>
  <c r="B51" i="72" s="1"/>
  <c r="F119" i="9"/>
  <c r="F5" i="52" s="1"/>
  <c r="B53" i="72" s="1"/>
  <c r="G118" i="9"/>
  <c r="G4" i="52" s="1"/>
  <c r="B52" i="72" s="1"/>
  <c r="H110" i="9" l="1"/>
  <c r="D18" i="53" s="1"/>
  <c r="B35" i="72" s="1"/>
  <c r="D16" i="53"/>
  <c r="D124" i="9"/>
  <c r="D119" i="9"/>
  <c r="D5" i="52" s="1"/>
  <c r="B49" i="72" s="1"/>
  <c r="E14" i="74"/>
  <c r="B5" i="74"/>
  <c r="F14" i="74"/>
  <c r="D45" i="9"/>
  <c r="H107" i="9"/>
  <c r="M48" i="9"/>
  <c r="D5" i="53"/>
  <c r="I4" i="52"/>
  <c r="E118" i="9"/>
  <c r="E4" i="52" s="1"/>
  <c r="B48" i="72" s="1"/>
  <c r="C105" i="9"/>
  <c r="H102" i="9"/>
  <c r="D7" i="53" s="1"/>
  <c r="B21" i="72" s="1"/>
  <c r="D17" i="53" l="1"/>
  <c r="B36" i="72" s="1"/>
  <c r="B34" i="72"/>
  <c r="D10" i="52"/>
  <c r="H14" i="74"/>
  <c r="B7" i="74" s="1"/>
  <c r="D125" i="9"/>
  <c r="D11" i="52" s="1"/>
  <c r="M49" i="9"/>
  <c r="D122" i="9"/>
  <c r="H108" i="9"/>
  <c r="D15" i="53" s="1"/>
  <c r="B31" i="72" s="1"/>
  <c r="D13" i="53"/>
  <c r="C93" i="9"/>
  <c r="C86" i="9" s="1"/>
  <c r="C64" i="9"/>
  <c r="C63" i="9" s="1"/>
  <c r="C67" i="9" s="1"/>
  <c r="C68" i="9" s="1"/>
  <c r="D54" i="9" s="1"/>
  <c r="D53" i="9"/>
  <c r="C72" i="9"/>
  <c r="D55" i="9"/>
  <c r="M53" i="9" s="1"/>
  <c r="C78" i="9"/>
  <c r="C73" i="9" s="1"/>
  <c r="D52" i="9"/>
  <c r="D59" i="9"/>
  <c r="M55" i="9" s="1"/>
  <c r="C85" i="9"/>
  <c r="C95" i="9" s="1"/>
  <c r="C5" i="74"/>
  <c r="D5" i="74"/>
  <c r="D6" i="53"/>
  <c r="B22" i="72" s="1"/>
  <c r="B20" i="72"/>
  <c r="C7" i="74" l="1"/>
  <c r="D7" i="74"/>
  <c r="C79" i="9"/>
  <c r="C80" i="9" s="1"/>
  <c r="B30" i="72"/>
  <c r="D14" i="53"/>
  <c r="B32" i="72" s="1"/>
  <c r="G14" i="74"/>
  <c r="B6" i="74" s="1"/>
  <c r="D8" i="52"/>
  <c r="D123" i="9"/>
  <c r="D9" i="52" s="1"/>
  <c r="C96" i="9"/>
  <c r="E96" i="9" s="1"/>
  <c r="E97" i="9" s="1"/>
  <c r="L67" i="9"/>
  <c r="M67" i="9" s="1"/>
  <c r="L64" i="9"/>
  <c r="M64" i="9" s="1"/>
  <c r="L68" i="9"/>
  <c r="M68" i="9" s="1"/>
  <c r="L63" i="9"/>
  <c r="M63" i="9" s="1"/>
  <c r="L65" i="9"/>
  <c r="M65" i="9" s="1"/>
  <c r="L66" i="9"/>
  <c r="M66" i="9" s="1"/>
  <c r="E80" i="9" l="1"/>
  <c r="E81" i="9" s="1"/>
  <c r="C81" i="9"/>
  <c r="C97" i="9"/>
  <c r="D58" i="9" s="1"/>
  <c r="D56" i="9" s="1"/>
  <c r="M54" i="9" s="1"/>
  <c r="N57" i="9" s="1"/>
  <c r="N58" i="9" s="1"/>
  <c r="M69" i="9"/>
  <c r="N69" i="9" s="1"/>
  <c r="D6" i="74"/>
  <c r="C6" i="74"/>
  <c r="P57" i="9" l="1"/>
  <c r="N59" i="9"/>
  <c r="N60" i="9" s="1"/>
  <c r="H111" i="9" l="1"/>
  <c r="D126" i="9" s="1"/>
  <c r="N61" i="9"/>
  <c r="H112" i="9" s="1"/>
  <c r="D21" i="53" s="1"/>
  <c r="B39" i="72" s="1"/>
  <c r="D19" i="53" l="1"/>
  <c r="D20" i="53" s="1"/>
  <c r="B40" i="72" s="1"/>
  <c r="D127" i="9"/>
  <c r="D13" i="52" s="1"/>
  <c r="I14" i="74"/>
  <c r="B8" i="74" s="1"/>
  <c r="D12" i="52"/>
  <c r="B38" i="72"/>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<sst xmlns="http://schemas.openxmlformats.org/spreadsheetml/2006/main" count="10200" uniqueCount="4416">
  <si>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</si>
  <si>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</si>
  <si>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</si>
  <si>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</si>
  <si>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</si>
  <si>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</si>
  <si>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</si>
  <si>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</si>
  <si>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</si>
  <si>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</si>
  <si>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</si>
  <si>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</si>
  <si>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</si>
  <si>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</si>
  <si>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</si>
  <si>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</si>
  <si>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</si>
  <si>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</si>
  <si>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</si>
  <si>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</si>
  <si>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</si>
  <si>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</si>
  <si>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</si>
  <si>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</si>
  <si>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</si>
  <si>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</si>
  <si>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</si>
  <si>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</si>
  <si>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</si>
  <si>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</si>
  <si>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</si>
  <si>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</si>
  <si>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</si>
  <si>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</si>
  <si>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</si>
  <si>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</si>
  <si>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</si>
  <si>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</si>
  <si>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</si>
  <si>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</si>
  <si>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</si>
  <si>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</si>
  <si>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</si>
  <si>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</si>
  <si>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</si>
  <si>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</si>
  <si>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</si>
  <si>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</si>
  <si>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</si>
  <si>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</si>
  <si>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</si>
  <si>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</si>
  <si>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</si>
  <si>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</si>
  <si>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</si>
  <si>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</si>
  <si>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</si>
  <si>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</si>
  <si>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</si>
  <si>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</si>
  <si>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</si>
  <si>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</si>
  <si>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</si>
  <si>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</si>
  <si>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</si>
  <si>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</si>
  <si>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</si>
  <si>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</si>
  <si>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</si>
  <si>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</si>
  <si>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</si>
  <si>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</si>
  <si>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</si>
  <si>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</si>
  <si>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</si>
  <si>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</si>
  <si>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</si>
  <si>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</si>
  <si>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</si>
  <si>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</si>
  <si>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</si>
  <si>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</si>
  <si>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</si>
  <si>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</si>
  <si>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</si>
  <si>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</si>
  <si>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</si>
  <si>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</si>
  <si>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</si>
  <si>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</si>
  <si>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</si>
  <si>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</si>
  <si>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</si>
  <si>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</si>
  <si>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</si>
  <si>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</si>
  <si>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</si>
  <si>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</si>
  <si>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</si>
  <si>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</si>
  <si>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</si>
  <si>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</si>
  <si>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</si>
  <si>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</si>
  <si>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</si>
  <si>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</si>
  <si>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</si>
  <si>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</si>
  <si>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</si>
  <si>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</si>
  <si>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</si>
  <si>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</si>
  <si>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</si>
  <si>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</si>
  <si>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</si>
  <si>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</si>
  <si>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</si>
  <si>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</si>
  <si>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</si>
  <si>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</si>
  <si>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</si>
  <si>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</si>
  <si>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</si>
  <si>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</si>
  <si>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</si>
  <si>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</si>
  <si>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</si>
  <si>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</si>
  <si>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</si>
  <si>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</si>
  <si>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</si>
  <si>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</si>
  <si>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</si>
  <si>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</si>
  <si>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</si>
  <si>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</si>
  <si>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</si>
  <si>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</si>
  <si>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</si>
  <si>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</si>
  <si>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</si>
  <si>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</si>
  <si>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</si>
  <si>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</si>
  <si>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</si>
  <si>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</si>
  <si>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</si>
  <si>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</si>
  <si>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</si>
  <si>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</si>
  <si>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</si>
  <si>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</si>
  <si>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</si>
  <si>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</si>
  <si>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</si>
  <si>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</si>
  <si>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</si>
  <si>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</si>
  <si>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</si>
  <si>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</si>
  <si>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</si>
  <si>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</si>
  <si>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</si>
  <si>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</si>
  <si>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</si>
  <si>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</si>
  <si>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</si>
  <si>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</si>
  <si>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</si>
  <si>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</si>
  <si>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</si>
  <si>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</si>
  <si>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</si>
  <si>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</si>
  <si>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</si>
  <si>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</si>
  <si>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</si>
  <si>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</si>
  <si>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</si>
  <si>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</si>
  <si>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</si>
  <si>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</si>
  <si>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</si>
  <si>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</si>
  <si>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</si>
  <si>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</si>
  <si>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</si>
  <si>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</si>
  <si>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</si>
  <si>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</si>
  <si>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</si>
  <si>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</si>
  <si>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</si>
  <si>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</si>
  <si>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</si>
  <si>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</si>
  <si>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</si>
  <si>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</si>
  <si>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</si>
  <si>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</si>
  <si>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</si>
  <si>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</si>
  <si>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</si>
  <si>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</si>
  <si>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</si>
  <si>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</si>
  <si>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</si>
  <si>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</si>
  <si>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</si>
  <si>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</si>
  <si>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</si>
  <si>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</si>
  <si>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</si>
  <si>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</si>
  <si>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</si>
  <si>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</si>
  <si>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</si>
  <si>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</si>
  <si>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</si>
  <si>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</si>
  <si>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</si>
  <si>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</si>
  <si>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</si>
  <si>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</si>
  <si>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</si>
  <si>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</si>
  <si>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</si>
  <si>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</si>
  <si>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</si>
  <si>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</si>
  <si>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</si>
  <si>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</si>
  <si>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</si>
  <si>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</si>
  <si>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</si>
  <si>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</si>
  <si>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</si>
  <si>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</si>
  <si>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</si>
  <si>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</si>
  <si>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</si>
  <si>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</si>
  <si>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</si>
  <si>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</si>
  <si>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</si>
  <si>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</si>
  <si>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</si>
  <si>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</si>
  <si>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</si>
  <si>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</si>
  <si>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</si>
  <si>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</si>
  <si>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</si>
  <si>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</si>
  <si>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</si>
  <si>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</si>
  <si>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</si>
  <si>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</si>
  <si>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</si>
  <si>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</si>
  <si>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</si>
  <si>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</si>
  <si>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</si>
  <si>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</si>
  <si>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</si>
  <si>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</si>
  <si>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</si>
  <si>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</si>
  <si>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</si>
  <si>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</si>
  <si>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</si>
  <si>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</si>
  <si>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</si>
  <si>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</si>
  <si>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</si>
  <si>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</si>
  <si>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</si>
  <si>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</si>
  <si>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</si>
  <si>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</si>
  <si>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</si>
  <si>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</si>
  <si>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</si>
  <si>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</si>
  <si>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</si>
  <si>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</si>
  <si>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</si>
  <si>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</si>
  <si>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</si>
  <si>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</si>
  <si>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</si>
  <si>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</si>
  <si>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</si>
  <si>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</si>
  <si>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</si>
  <si>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</si>
  <si>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</si>
  <si>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</si>
  <si>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</si>
  <si>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</si>
  <si>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</si>
  <si>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</si>
  <si>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</si>
  <si>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</si>
  <si>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</si>
  <si>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</si>
  <si>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</si>
  <si>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</si>
  <si>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</si>
  <si>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</si>
  <si>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</si>
  <si>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</si>
  <si>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</si>
  <si>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</si>
  <si>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</si>
  <si>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</si>
  <si>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</si>
  <si>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</si>
  <si>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</si>
  <si>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</si>
  <si>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</si>
  <si>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</si>
  <si>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</si>
  <si>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</si>
  <si>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</si>
  <si>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</si>
  <si>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</si>
  <si>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</si>
  <si>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</si>
  <si>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</si>
  <si>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</si>
  <si>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</si>
  <si>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</si>
  <si>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</si>
  <si>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</si>
  <si>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</si>
  <si>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</si>
  <si>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</si>
  <si>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</si>
  <si>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</si>
  <si>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</si>
  <si>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</si>
  <si>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</si>
  <si>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</si>
  <si>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</si>
  <si>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</si>
  <si>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</si>
  <si>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</si>
  <si>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</si>
  <si>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</si>
  <si>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</si>
  <si>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</si>
  <si>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</si>
  <si>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</si>
  <si>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</si>
  <si>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</si>
  <si>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</si>
  <si>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</si>
  <si>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</si>
  <si>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</si>
  <si>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</si>
  <si>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</si>
  <si>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</si>
  <si>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</si>
  <si>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</si>
  <si>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</si>
  <si>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</si>
  <si>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</si>
  <si>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</si>
  <si>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</si>
  <si>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</si>
  <si>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</si>
  <si>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</si>
  <si>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</si>
  <si>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</si>
  <si>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</si>
  <si>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</si>
  <si>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</si>
  <si>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</si>
  <si>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</si>
  <si>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</si>
  <si>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</si>
  <si>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</si>
  <si>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</si>
  <si>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</si>
  <si>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</si>
  <si>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</si>
  <si>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</si>
  <si>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</si>
  <si>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</si>
  <si>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</si>
  <si>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</si>
  <si>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</si>
  <si>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</si>
  <si>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</si>
  <si>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</si>
  <si>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</si>
  <si>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</si>
  <si>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</si>
  <si>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</si>
  <si>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</si>
  <si>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</si>
  <si>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</si>
  <si>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</si>
  <si>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</si>
  <si>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</si>
  <si>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</si>
  <si>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</si>
  <si>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</si>
  <si>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</si>
  <si>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</si>
  <si>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</si>
  <si>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</si>
  <si>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</si>
  <si>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</si>
  <si>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</si>
  <si>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</si>
  <si>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</si>
  <si>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</si>
  <si>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</si>
  <si>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</si>
  <si>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</si>
  <si>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</si>
  <si>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</si>
  <si>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</si>
  <si>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</si>
  <si>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</si>
  <si>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</si>
  <si>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</si>
  <si>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</si>
  <si>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</si>
  <si>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</si>
  <si>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</si>
  <si>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</si>
  <si>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</si>
  <si>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</si>
  <si>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</si>
  <si>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</si>
  <si>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</si>
  <si>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</si>
  <si>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</si>
  <si>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</si>
  <si>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</si>
  <si>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</si>
  <si>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</si>
  <si>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</si>
  <si>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</si>
  <si>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</si>
  <si>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</si>
  <si>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</si>
  <si>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</si>
  <si>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</si>
  <si>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</si>
  <si>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</si>
  <si>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</si>
  <si>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</si>
  <si>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</si>
  <si>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</si>
  <si>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</si>
  <si>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</si>
  <si>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</si>
  <si>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</si>
  <si>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</si>
  <si>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</si>
  <si>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</si>
  <si>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</si>
  <si>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</si>
  <si>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</si>
  <si>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</si>
  <si>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</si>
  <si>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</si>
  <si>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</si>
  <si>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</si>
  <si>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</si>
  <si>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</si>
  <si>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</si>
  <si>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</si>
  <si>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</si>
  <si>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</si>
  <si>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</si>
  <si>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</si>
  <si>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</si>
  <si>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</si>
  <si>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</si>
  <si>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</si>
  <si>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</si>
  <si>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</si>
  <si>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</si>
  <si>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</si>
  <si>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</si>
  <si>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</si>
  <si>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</si>
  <si>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</si>
  <si>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</si>
  <si>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</si>
  <si>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</si>
  <si>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</si>
  <si>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</si>
  <si>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</si>
  <si>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</si>
  <si>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</si>
  <si>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</si>
  <si>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</si>
  <si>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</si>
  <si>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</si>
  <si>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</si>
  <si>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</si>
  <si>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</si>
  <si>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</si>
  <si>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</si>
  <si>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</si>
  <si>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</si>
  <si>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</si>
  <si>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</si>
  <si>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</si>
  <si>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</si>
  <si>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</si>
  <si>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</si>
  <si>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</si>
  <si>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</si>
  <si>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</si>
  <si>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</si>
  <si>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</si>
  <si>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</si>
  <si>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</si>
  <si>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</si>
  <si>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</si>
  <si>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</si>
  <si>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</si>
  <si>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</si>
  <si>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</si>
  <si>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</si>
  <si>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</si>
  <si>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</si>
  <si>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</si>
  <si>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</si>
  <si>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</si>
  <si>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</si>
  <si>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</si>
  <si>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</si>
  <si>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</si>
  <si>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</si>
  <si>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</si>
  <si>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</si>
  <si>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</si>
  <si>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</si>
  <si>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</si>
  <si>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</si>
  <si>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</si>
  <si>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</si>
  <si>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</si>
  <si>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</si>
  <si>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</si>
  <si>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</si>
  <si>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</si>
  <si>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</si>
  <si>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</si>
  <si>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</si>
  <si>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</si>
  <si>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</si>
  <si>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</si>
  <si>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</si>
  <si>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</si>
  <si>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</si>
  <si>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</si>
  <si>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</si>
  <si>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</si>
  <si>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</si>
  <si>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</si>
  <si>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</si>
  <si>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</si>
  <si>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</si>
  <si>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</si>
  <si>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</si>
  <si>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</si>
  <si>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</si>
  <si>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</si>
  <si>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</si>
  <si>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</si>
  <si>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</si>
  <si>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</si>
  <si>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</si>
  <si>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</si>
  <si>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</si>
  <si>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</si>
  <si>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</si>
  <si>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</si>
  <si>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</si>
  <si>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</si>
  <si>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</si>
  <si>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</si>
  <si>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</si>
  <si>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</si>
  <si>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</si>
  <si>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</si>
  <si>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</si>
  <si>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</si>
  <si>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</si>
  <si>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</si>
  <si>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</si>
  <si>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</si>
  <si>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</si>
  <si>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</si>
  <si>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</si>
  <si>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</si>
  <si>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</si>
  <si>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</si>
  <si>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</si>
  <si>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</si>
  <si>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</si>
  <si>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</si>
  <si>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</si>
  <si>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</si>
  <si>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</si>
  <si>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</si>
  <si>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</si>
  <si>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</si>
  <si>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</si>
  <si>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</si>
  <si>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</si>
  <si>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</si>
  <si>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</si>
  <si>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</si>
  <si>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</si>
  <si>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</si>
  <si>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</si>
  <si>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</si>
  <si>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</si>
  <si>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</si>
  <si>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</si>
  <si>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</si>
  <si>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</si>
  <si>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</si>
  <si>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</si>
  <si>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</si>
  <si>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</si>
  <si>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</si>
  <si>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</si>
  <si>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</si>
  <si>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</si>
  <si>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</si>
  <si>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</si>
  <si>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</si>
  <si>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</si>
  <si>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</si>
  <si>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</si>
  <si>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</si>
  <si>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</si>
  <si>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</si>
  <si>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</si>
  <si>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</si>
  <si>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</si>
  <si>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</si>
  <si>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</si>
  <si>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</si>
  <si>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</si>
  <si>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</si>
  <si>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</si>
  <si>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</si>
  <si>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</si>
  <si>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</si>
  <si>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</si>
  <si>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</si>
  <si>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</si>
  <si>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</si>
  <si>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</si>
  <si>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</si>
  <si>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</si>
  <si>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</si>
  <si>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</si>
  <si>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</si>
  <si>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</si>
  <si>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</si>
  <si>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</si>
  <si>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</si>
  <si>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</si>
  <si>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</si>
  <si>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</si>
  <si>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</si>
  <si>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</si>
  <si>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</si>
  <si>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</si>
  <si>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</si>
  <si>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</si>
  <si>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</si>
  <si>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</si>
  <si>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</si>
  <si>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</si>
  <si>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</si>
  <si>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</si>
  <si>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</si>
  <si>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</si>
  <si>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</si>
  <si>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</si>
  <si>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</si>
  <si>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</si>
  <si>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</si>
  <si>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</si>
  <si>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</si>
  <si>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</si>
  <si>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</si>
  <si>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</si>
  <si>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</si>
  <si>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</si>
  <si>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</si>
  <si>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</si>
  <si>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</si>
  <si>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</si>
  <si>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</si>
  <si>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</si>
  <si>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</si>
  <si>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</si>
  <si>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</si>
  <si>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</si>
  <si>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</si>
  <si>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</si>
  <si>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</si>
  <si>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</si>
  <si>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</si>
  <si>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</si>
  <si>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</si>
  <si>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</si>
  <si>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</si>
  <si>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</si>
  <si>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</si>
  <si>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</si>
  <si>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</si>
  <si>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</si>
  <si>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</si>
  <si>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</si>
  <si>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</si>
  <si>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</si>
  <si>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</si>
  <si>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</si>
  <si>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</si>
  <si>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</si>
  <si>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</si>
  <si>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</si>
  <si>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</si>
  <si>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</si>
  <si>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</si>
  <si>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</si>
  <si>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</si>
  <si>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</si>
  <si>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</si>
  <si>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</si>
  <si>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</si>
  <si>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</si>
  <si>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</si>
  <si>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</si>
  <si>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</si>
  <si>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</si>
  <si>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</si>
  <si>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</si>
  <si>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</si>
  <si>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</si>
  <si>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</si>
  <si>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</si>
  <si>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</si>
  <si>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</si>
  <si>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</si>
  <si>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</si>
  <si>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</si>
  <si>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</si>
  <si>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</si>
  <si>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</si>
  <si>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</si>
  <si>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</si>
  <si>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</si>
  <si>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</si>
  <si>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</si>
  <si>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</si>
  <si>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</si>
  <si>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</si>
  <si>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</si>
  <si>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</si>
  <si>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</si>
  <si>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</si>
  <si>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</si>
  <si>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</si>
  <si>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</si>
  <si>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</si>
  <si>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</si>
  <si>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</si>
  <si>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</si>
  <si>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</si>
  <si>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</si>
  <si>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</si>
  <si>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</si>
  <si>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</si>
  <si>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</si>
  <si>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</si>
  <si>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</si>
  <si>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</si>
  <si>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</si>
  <si>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</si>
  <si>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</si>
  <si>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</si>
  <si>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</si>
  <si>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</si>
  <si>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</si>
  <si>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</si>
  <si>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</si>
  <si>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</si>
  <si>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</si>
  <si>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</si>
  <si>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</si>
  <si>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</si>
  <si>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</si>
  <si>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</si>
  <si>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</si>
  <si>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</si>
  <si>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</si>
  <si>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</si>
  <si>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</si>
  <si>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</si>
  <si>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</si>
  <si>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</si>
  <si>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</si>
  <si>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</si>
  <si>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</si>
  <si>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</si>
  <si>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</si>
  <si>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</si>
  <si>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</si>
  <si>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</si>
  <si>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</si>
  <si>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</si>
  <si>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</si>
  <si>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</si>
  <si>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</si>
  <si>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</si>
  <si>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</si>
  <si>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</si>
  <si>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</si>
  <si>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</si>
  <si>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</si>
  <si>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</si>
  <si>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</si>
  <si>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</si>
  <si>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</si>
  <si>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</si>
  <si>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</si>
  <si>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</si>
  <si>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</si>
  <si>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</si>
  <si>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</si>
  <si>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</si>
  <si>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</si>
  <si>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</si>
  <si>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</si>
  <si>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</si>
  <si>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</si>
  <si>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</si>
  <si>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</si>
  <si>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</si>
  <si>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</si>
  <si>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</si>
  <si>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</si>
  <si>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</si>
  <si>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</si>
  <si>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</si>
  <si>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</si>
  <si>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</si>
  <si>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</si>
  <si>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</si>
  <si>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</si>
  <si>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</si>
  <si>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</si>
  <si>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</si>
  <si>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</si>
  <si>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</si>
  <si>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</si>
  <si>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</si>
  <si>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</si>
  <si>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</si>
  <si>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</si>
  <si>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</si>
  <si>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</si>
  <si>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</si>
  <si>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</si>
  <si>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</si>
  <si>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</si>
  <si>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</si>
  <si>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</si>
  <si>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</si>
  <si>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</si>
  <si>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</si>
  <si>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</si>
  <si>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</si>
  <si>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</si>
  <si>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</si>
  <si>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</si>
  <si>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</si>
  <si>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</si>
  <si>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</si>
  <si>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</si>
  <si>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</si>
  <si>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</si>
  <si>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</si>
  <si>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</si>
  <si>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</si>
  <si>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</si>
  <si>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</si>
  <si>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</si>
  <si>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</si>
  <si>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</si>
  <si>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</si>
  <si>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</si>
  <si>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</si>
  <si>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</si>
  <si>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</si>
  <si>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</si>
  <si>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</si>
  <si>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</si>
  <si>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</si>
  <si>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</si>
  <si>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</si>
  <si>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</si>
  <si>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</si>
  <si>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</si>
  <si>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</si>
  <si>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</si>
  <si>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</si>
  <si>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</si>
  <si>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</si>
  <si>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</si>
  <si>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</si>
  <si>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</si>
  <si>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</si>
  <si>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</si>
  <si>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</si>
  <si>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</si>
  <si>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</si>
  <si>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</si>
  <si>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</si>
  <si>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</si>
  <si>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</si>
  <si>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</si>
  <si>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</si>
  <si>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</si>
  <si>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</si>
  <si>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</si>
  <si>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</si>
  <si>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</si>
  <si>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</si>
  <si>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</si>
  <si>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</si>
  <si>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</si>
  <si>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</si>
  <si>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</si>
  <si>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</si>
  <si>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</si>
  <si>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</si>
  <si>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</si>
  <si>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</si>
  <si>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</si>
  <si>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</si>
  <si>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</si>
  <si>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</si>
  <si>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</si>
  <si>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</si>
  <si>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</si>
  <si>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</si>
  <si>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</si>
  <si>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</si>
  <si>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</si>
  <si>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</si>
  <si>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</si>
  <si>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</si>
  <si>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</si>
  <si>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</si>
  <si>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</si>
  <si>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</si>
  <si>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</si>
  <si>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</si>
  <si>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</si>
  <si>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</si>
  <si>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</si>
  <si>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</si>
  <si>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</si>
  <si>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</si>
  <si>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</si>
  <si>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</si>
  <si>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</si>
  <si>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</si>
  <si>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</si>
  <si>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</si>
  <si>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</si>
  <si>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</si>
  <si>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</si>
  <si>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</si>
  <si>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</si>
  <si>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</si>
  <si>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</si>
  <si>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</si>
  <si>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</si>
  <si>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</si>
  <si>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</si>
  <si>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</si>
  <si>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</si>
  <si>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</si>
  <si>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</si>
  <si>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</si>
  <si>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</si>
  <si>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</si>
  <si>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</si>
  <si>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</si>
  <si>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</si>
  <si>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</si>
  <si>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</si>
  <si>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</si>
  <si>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</si>
  <si>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</si>
  <si>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</si>
  <si>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</si>
  <si>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</si>
  <si>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</si>
  <si>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</si>
  <si>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</si>
  <si>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</si>
  <si>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</si>
  <si>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</si>
  <si>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</si>
  <si>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</si>
  <si>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</si>
  <si>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</si>
  <si>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</si>
  <si>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</si>
  <si>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</si>
  <si>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</si>
  <si>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</si>
  <si>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</si>
  <si>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</si>
  <si>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</si>
  <si>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</si>
  <si>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</si>
  <si>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</si>
  <si>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</si>
  <si>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</si>
  <si>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</si>
  <si>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</si>
  <si>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</si>
  <si>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</si>
  <si>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</si>
  <si>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</si>
  <si>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</si>
  <si>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</si>
  <si>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</si>
  <si>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</si>
  <si>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</si>
  <si>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</si>
  <si>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</si>
  <si>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</si>
  <si>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</si>
  <si>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</si>
  <si>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</si>
  <si>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</si>
  <si>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</si>
  <si>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</si>
  <si>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</si>
  <si>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</si>
  <si>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</si>
  <si>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</si>
  <si>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</si>
  <si>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</si>
  <si>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</si>
  <si>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</si>
  <si>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</si>
  <si>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</si>
  <si>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</si>
  <si>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</si>
  <si>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</si>
  <si>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</si>
  <si>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</si>
  <si>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</si>
  <si>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</si>
  <si>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</si>
  <si>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</si>
  <si>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</si>
  <si>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</si>
  <si>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</si>
  <si>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</si>
  <si>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</si>
  <si>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</si>
  <si>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</si>
  <si>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</si>
  <si>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</si>
  <si>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</si>
  <si>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</si>
  <si>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</si>
  <si>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</si>
  <si>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</si>
  <si>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</si>
  <si>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</si>
  <si>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</si>
  <si>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</si>
  <si>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</si>
  <si>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</si>
  <si>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</si>
  <si>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</si>
  <si>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</si>
  <si>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</si>
  <si>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</si>
  <si>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</si>
  <si>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</si>
  <si>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</si>
  <si>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</si>
  <si>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</si>
  <si>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</si>
  <si>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</si>
  <si>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</si>
  <si>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</si>
  <si>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</si>
  <si>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</si>
  <si>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</si>
  <si>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</si>
  <si>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</si>
  <si>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</si>
  <si>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</si>
  <si>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</si>
  <si>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</si>
  <si>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</si>
  <si>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</si>
  <si>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</si>
  <si>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</si>
  <si>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</si>
  <si>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</si>
  <si>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</si>
  <si>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</si>
  <si>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</si>
  <si>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</si>
  <si>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</si>
  <si>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</si>
  <si>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</si>
  <si>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</si>
  <si>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</si>
  <si>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</si>
  <si>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</si>
  <si>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</si>
  <si>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</si>
  <si>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</si>
  <si>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</si>
  <si>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</si>
  <si>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</si>
  <si>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</si>
  <si>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</si>
  <si>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</si>
  <si>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</si>
  <si>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</si>
  <si>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</si>
  <si>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</si>
  <si>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</si>
  <si>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</si>
  <si>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</si>
  <si>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</si>
  <si>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</si>
  <si>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</si>
  <si>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</si>
  <si>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</si>
  <si>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</si>
  <si>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</si>
  <si>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</si>
  <si>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</si>
  <si>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</si>
  <si>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</si>
  <si>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</si>
  <si>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</si>
  <si>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</si>
  <si>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</si>
  <si>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</si>
  <si>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</si>
  <si>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</si>
  <si>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</si>
  <si>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</si>
  <si>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</si>
  <si>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</si>
  <si>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</si>
  <si>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</si>
  <si>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</si>
  <si>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</si>
  <si>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</si>
  <si>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</si>
  <si>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</si>
  <si>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</si>
  <si>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</si>
  <si>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</si>
  <si>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</si>
  <si>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</si>
  <si>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</si>
  <si>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</si>
  <si>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</si>
  <si>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</si>
  <si>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</si>
  <si>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</si>
  <si>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</si>
  <si>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</si>
  <si>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</si>
  <si>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</si>
  <si>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</si>
  <si>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</si>
  <si>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</si>
  <si>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</si>
  <si>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</si>
  <si>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</si>
  <si>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</si>
  <si>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</si>
  <si>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</si>
  <si>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</si>
  <si>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</si>
  <si>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</si>
  <si>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</si>
  <si>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</si>
  <si>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</si>
  <si>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</si>
  <si>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</si>
  <si>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</si>
  <si>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</si>
  <si>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</si>
  <si>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</si>
  <si>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</si>
  <si>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</si>
  <si>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</si>
  <si>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</si>
  <si>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</si>
  <si>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</si>
  <si>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</si>
  <si>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</si>
  <si>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</si>
  <si>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</si>
  <si>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</si>
  <si>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</si>
  <si>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</si>
  <si>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</si>
  <si>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</si>
  <si>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</si>
  <si>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</si>
  <si>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</si>
  <si>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</si>
  <si>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</si>
  <si>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</si>
  <si>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</si>
  <si>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</si>
  <si>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</si>
  <si>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</si>
  <si>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</si>
  <si>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</si>
  <si>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</si>
  <si>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</si>
  <si>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</si>
  <si>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</si>
  <si>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</si>
  <si>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</si>
  <si>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</si>
  <si>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</si>
  <si>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</si>
  <si>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</si>
  <si>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</si>
  <si>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</si>
  <si>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</si>
  <si>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</si>
  <si>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</si>
  <si>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</si>
  <si>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</si>
  <si>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</si>
  <si>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</si>
  <si>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</si>
  <si>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</si>
  <si>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</si>
  <si>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</si>
  <si>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</si>
  <si>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</si>
  <si>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</si>
  <si>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</si>
  <si>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</si>
  <si>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</si>
  <si>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</si>
  <si>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</si>
  <si>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</si>
  <si>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</si>
  <si>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</si>
  <si>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</si>
  <si>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</si>
  <si>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</si>
  <si>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</si>
  <si>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</si>
  <si>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</si>
  <si>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</si>
  <si>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</si>
  <si>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</si>
  <si>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</si>
  <si>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</si>
  <si>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</si>
  <si>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</si>
  <si>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</si>
  <si>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</si>
  <si>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</si>
  <si>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</si>
  <si>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</si>
  <si>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</si>
  <si>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</si>
  <si>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</si>
  <si>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</si>
  <si>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</si>
  <si>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</si>
  <si>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</si>
  <si>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</si>
  <si>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</si>
  <si>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</si>
  <si>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</si>
  <si>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</si>
  <si>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</si>
  <si>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</si>
  <si>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</si>
  <si>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</si>
  <si>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</si>
  <si>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</si>
  <si>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</si>
  <si>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</si>
  <si>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</si>
  <si>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</si>
  <si>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</si>
  <si>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</si>
  <si>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</si>
  <si>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</si>
  <si>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</si>
  <si>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</si>
  <si>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</si>
  <si>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</si>
  <si>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</si>
  <si>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</si>
  <si>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</si>
  <si>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</si>
  <si>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</si>
  <si>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</si>
  <si>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</si>
  <si>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</si>
  <si>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</si>
  <si>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</si>
  <si>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</si>
  <si>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</si>
  <si>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</si>
  <si>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</si>
  <si>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</si>
  <si>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</si>
  <si>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</si>
  <si>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</si>
  <si>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</si>
  <si>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</si>
  <si>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</si>
  <si>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</si>
  <si>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</si>
  <si>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</si>
  <si>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</si>
  <si>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</si>
  <si>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</si>
  <si>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</si>
  <si>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</si>
  <si>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</si>
  <si>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</si>
  <si>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</si>
  <si>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</si>
  <si>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</si>
  <si>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</si>
  <si>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</si>
  <si>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</si>
  <si>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</si>
  <si>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</si>
  <si>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</si>
  <si>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</si>
  <si>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</si>
  <si>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</si>
  <si>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</si>
  <si>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</si>
  <si>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</si>
  <si>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</si>
  <si>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</si>
  <si>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</si>
  <si>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</si>
  <si>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</si>
  <si>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</si>
  <si>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</si>
  <si>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</si>
  <si>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</si>
  <si>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</si>
  <si>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</si>
  <si>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</si>
  <si>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</si>
  <si>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</si>
  <si>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</si>
  <si>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</si>
  <si>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</si>
  <si>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</si>
  <si>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</si>
  <si>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</si>
  <si>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</si>
  <si>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</si>
  <si>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</si>
  <si>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</si>
  <si>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</si>
  <si>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</si>
  <si>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</si>
  <si>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</si>
  <si>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</si>
  <si>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</si>
  <si>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</si>
  <si>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</si>
  <si>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</si>
  <si>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</si>
  <si>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</si>
  <si>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</si>
  <si>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</si>
  <si>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</si>
  <si>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</si>
  <si>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</si>
  <si>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</si>
  <si>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</si>
  <si>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</si>
  <si>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</si>
  <si>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</si>
  <si>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</si>
  <si>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</si>
  <si>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</si>
  <si>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</si>
  <si>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</si>
  <si>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</si>
  <si>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</si>
  <si>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</si>
  <si>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</si>
  <si>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</si>
  <si>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</si>
  <si>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</si>
  <si>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</si>
  <si>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</si>
  <si>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</si>
  <si>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</si>
  <si>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</si>
  <si>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</si>
  <si>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</si>
  <si>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</si>
  <si>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</si>
  <si>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</si>
  <si>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</si>
  <si>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</si>
  <si>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</si>
  <si>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</si>
  <si>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</si>
  <si>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</si>
  <si>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</si>
  <si>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</si>
  <si>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</si>
  <si>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</si>
  <si>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</si>
  <si>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</si>
  <si>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</si>
  <si>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</si>
  <si>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</si>
  <si>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</si>
  <si>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</si>
  <si>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</si>
  <si>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</si>
  <si>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</si>
  <si>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</si>
  <si>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</si>
  <si>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</si>
  <si>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</si>
  <si>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</si>
  <si>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</si>
  <si>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</si>
  <si>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</si>
  <si>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</si>
  <si>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</si>
  <si>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</si>
  <si>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</si>
  <si>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</si>
  <si>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</si>
  <si>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</si>
  <si>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</si>
  <si>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</si>
  <si>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</si>
  <si>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</si>
  <si>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</si>
  <si>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</si>
  <si>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</si>
  <si>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</si>
  <si>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</si>
  <si>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</si>
  <si>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</si>
  <si>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</si>
  <si>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</si>
  <si>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</si>
  <si>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</si>
  <si>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</si>
  <si>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</si>
  <si>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</si>
  <si>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</si>
  <si>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</si>
  <si>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</si>
  <si>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</si>
  <si>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</si>
  <si>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</si>
  <si>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</si>
  <si>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</si>
  <si>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</si>
  <si>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</si>
  <si>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</si>
  <si>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</si>
  <si>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</si>
  <si>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</si>
  <si>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</si>
  <si>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</si>
  <si>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</si>
  <si>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</si>
  <si>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</si>
  <si>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</si>
  <si>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</si>
  <si>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</si>
  <si>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</si>
  <si>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</si>
  <si>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</si>
  <si>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</si>
  <si>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</si>
  <si>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</si>
  <si>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</si>
  <si>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</si>
  <si>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</si>
  <si>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</si>
  <si>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</si>
  <si>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</si>
  <si>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</si>
  <si>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</si>
  <si>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</si>
  <si>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</si>
  <si>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</si>
  <si>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</si>
  <si>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</si>
  <si>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</si>
  <si>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</si>
  <si>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</si>
  <si>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</si>
  <si>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</si>
  <si>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</si>
  <si>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</si>
  <si>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</si>
  <si>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</si>
  <si>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</si>
  <si>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</si>
  <si>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</si>
  <si>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</si>
  <si>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</si>
  <si>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</si>
  <si>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</si>
  <si>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</si>
  <si>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</si>
  <si>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</si>
  <si>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</si>
  <si>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</si>
  <si>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</si>
  <si>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</si>
  <si>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</si>
  <si>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</si>
  <si>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</si>
  <si>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</si>
  <si>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</si>
  <si>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</si>
  <si>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</si>
  <si>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</si>
  <si>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</si>
  <si>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</si>
  <si>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</si>
  <si>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</si>
  <si>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</si>
  <si>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</si>
  <si>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</si>
  <si>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</si>
  <si>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</si>
  <si>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</si>
  <si>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</si>
  <si>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</si>
  <si>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</si>
  <si>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</si>
  <si>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</si>
  <si>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</si>
  <si>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</si>
  <si>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</si>
  <si>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</si>
  <si>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</si>
  <si>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</si>
  <si>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</si>
  <si>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</si>
  <si>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</si>
  <si>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</si>
  <si>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</si>
  <si>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</si>
  <si>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</si>
  <si>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</si>
  <si>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</si>
  <si>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</si>
  <si>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</si>
  <si>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</si>
  <si>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</si>
  <si>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</si>
  <si>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</si>
  <si>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</si>
  <si>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</si>
  <si>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</si>
  <si>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</si>
  <si>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</si>
  <si>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</si>
  <si>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</si>
  <si>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</si>
  <si>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</si>
  <si>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</si>
  <si>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</si>
  <si>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</si>
  <si>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</si>
  <si>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</si>
  <si>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</si>
  <si>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</si>
  <si>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</si>
  <si>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</si>
  <si>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</si>
  <si>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</si>
  <si>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</si>
  <si>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</si>
  <si>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</si>
  <si>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</si>
  <si>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</si>
  <si>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</si>
  <si>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</si>
  <si>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</si>
  <si>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</si>
  <si>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</si>
  <si>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</si>
  <si>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</si>
  <si>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</si>
  <si>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</si>
  <si>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</si>
  <si>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</si>
  <si>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</si>
  <si>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</si>
  <si>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</si>
  <si>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</si>
  <si>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</si>
  <si>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</si>
  <si>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</si>
  <si>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</si>
  <si>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</si>
  <si>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</si>
  <si>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</si>
  <si>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</si>
  <si>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</si>
  <si>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</si>
  <si>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</si>
  <si>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</si>
  <si>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</si>
  <si>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</si>
  <si>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</si>
  <si>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</si>
  <si>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</si>
  <si>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</si>
  <si>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</si>
  <si>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</si>
  <si>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</si>
  <si>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</si>
  <si>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</si>
  <si>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</si>
  <si>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</si>
  <si>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</si>
  <si>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</si>
  <si>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</si>
  <si>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</si>
  <si>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</si>
  <si>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</si>
  <si>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</si>
  <si>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</si>
  <si>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</si>
  <si>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</si>
  <si>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</si>
  <si>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</si>
  <si>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</si>
  <si>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</si>
  <si>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</si>
  <si>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</si>
  <si>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</si>
  <si>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</si>
  <si>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</si>
  <si>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</si>
  <si>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</si>
  <si>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</si>
  <si>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</si>
  <si>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</si>
  <si>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</si>
  <si>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</si>
  <si>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</si>
  <si>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</si>
  <si>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</si>
  <si>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</si>
  <si>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</si>
  <si>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</si>
  <si>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</si>
  <si>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</si>
  <si>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</si>
  <si>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</si>
  <si>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</si>
  <si>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</si>
  <si>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</si>
  <si>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</si>
  <si>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</si>
  <si>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</si>
  <si>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</si>
  <si>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</si>
  <si>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</si>
  <si>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</si>
  <si>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</si>
  <si>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</si>
  <si>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</si>
  <si>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</si>
  <si>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</si>
  <si>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</si>
  <si>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</si>
  <si>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</si>
  <si>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</si>
  <si>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</si>
  <si>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</si>
  <si>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</si>
  <si>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</si>
  <si>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</si>
  <si>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</si>
  <si>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</si>
  <si>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</si>
  <si>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</si>
  <si>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</si>
  <si>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</si>
  <si>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</si>
  <si>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</si>
  <si>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</si>
  <si>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</si>
  <si>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</si>
  <si>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</si>
  <si>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</si>
  <si>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</si>
  <si>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</si>
  <si>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</si>
  <si>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</si>
  <si>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</si>
  <si>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</si>
  <si>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</si>
  <si>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</si>
  <si>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</si>
  <si>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</si>
  <si>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</si>
  <si>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</si>
  <si>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</si>
  <si>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</si>
  <si>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</si>
  <si>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</si>
  <si>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</si>
  <si>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</si>
  <si>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</si>
  <si>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</si>
  <si>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</si>
  <si>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</si>
  <si>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</si>
  <si>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</si>
  <si>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</si>
  <si>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</si>
  <si>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</si>
  <si>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</si>
  <si>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</si>
  <si>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</si>
  <si>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</si>
  <si>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</si>
  <si>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</si>
  <si>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</si>
  <si>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</si>
  <si>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</si>
  <si>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</si>
  <si>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</si>
  <si>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</si>
  <si>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</si>
  <si>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</si>
  <si>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</si>
  <si>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</si>
  <si>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</si>
  <si>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</si>
  <si>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</si>
  <si>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</si>
  <si>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</si>
  <si>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</si>
  <si>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</si>
  <si>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</si>
  <si>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</si>
  <si>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</si>
  <si>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</si>
  <si>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</si>
  <si>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</si>
  <si>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</si>
  <si>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</si>
  <si>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</si>
  <si>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</si>
  <si>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</si>
  <si>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</si>
  <si>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</si>
  <si>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</si>
  <si>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</si>
  <si>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</si>
  <si>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</si>
  <si>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</si>
  <si>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</si>
  <si>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</si>
  <si>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</si>
  <si>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</si>
  <si>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</si>
  <si>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</si>
  <si>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</si>
  <si>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</si>
  <si>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</si>
  <si>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</si>
  <si>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</si>
  <si>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</si>
  <si>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</si>
  <si>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</si>
  <si>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</si>
  <si>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</si>
  <si>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</si>
  <si>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</si>
  <si>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</si>
  <si>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</si>
  <si>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</si>
  <si>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</si>
  <si>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</si>
  <si>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</si>
  <si>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</si>
  <si>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</si>
  <si>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</si>
  <si>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</si>
  <si>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</si>
  <si>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</si>
  <si>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</si>
  <si>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</si>
  <si>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</si>
  <si>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</si>
  <si>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</si>
  <si>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</si>
  <si>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</si>
  <si>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</si>
  <si>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</si>
  <si>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</si>
  <si>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</si>
  <si>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</si>
  <si>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</si>
  <si>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</si>
  <si>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</si>
  <si>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</si>
  <si>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</si>
  <si>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</si>
  <si>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</si>
  <si>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</si>
  <si>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</si>
  <si>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</si>
  <si>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</si>
  <si>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</si>
  <si>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</si>
  <si>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</si>
  <si>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</si>
  <si>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</si>
  <si>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</si>
  <si>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</si>
  <si>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</si>
  <si>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</si>
  <si>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</si>
  <si>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</si>
  <si>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</si>
  <si>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</si>
  <si>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</si>
  <si>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</si>
  <si>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</si>
  <si>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</si>
  <si>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</si>
  <si>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</si>
  <si>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</si>
  <si>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</si>
  <si>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</si>
  <si>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</si>
  <si>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</si>
  <si>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</si>
  <si>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</si>
  <si>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</si>
  <si>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</si>
  <si>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</si>
  <si>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</si>
  <si>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</si>
  <si>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</si>
  <si>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</si>
  <si>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</si>
  <si>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</si>
  <si>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</si>
  <si>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</si>
  <si>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</si>
  <si>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</si>
  <si>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</si>
  <si>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</si>
  <si>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</si>
  <si>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</si>
  <si>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</si>
  <si>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</si>
  <si>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</si>
  <si>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</si>
  <si>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</si>
  <si>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</si>
  <si>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</si>
  <si>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</si>
  <si>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</si>
  <si>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</si>
  <si>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</si>
  <si>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</si>
  <si>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</si>
  <si>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</si>
  <si>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</si>
  <si>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</si>
  <si>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</si>
  <si>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</si>
  <si>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</si>
  <si>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</si>
  <si>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</si>
  <si>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</si>
  <si>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</si>
  <si>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</si>
  <si>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</si>
  <si>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</si>
  <si>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</si>
  <si>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</si>
  <si>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</si>
  <si>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</si>
  <si>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</si>
  <si>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</si>
  <si>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</si>
  <si>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</si>
  <si>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</si>
  <si>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</si>
  <si>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</si>
  <si>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</si>
  <si>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</si>
  <si>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</si>
  <si>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</si>
  <si>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</si>
  <si>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</si>
  <si>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</si>
  <si>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</si>
  <si>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</si>
  <si>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</si>
  <si>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</si>
  <si>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</si>
  <si>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</si>
  <si>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</si>
  <si>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</si>
  <si>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</si>
  <si>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</si>
  <si>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</si>
  <si>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</si>
  <si>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</si>
  <si>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</si>
  <si>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</si>
  <si>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</si>
  <si>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</si>
  <si>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</si>
  <si>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</si>
  <si>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</si>
  <si>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</si>
  <si>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</si>
  <si>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</si>
  <si>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</si>
  <si>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</si>
  <si>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</si>
  <si>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</si>
  <si>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</si>
  <si>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</si>
  <si>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</si>
  <si>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</si>
  <si>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</si>
  <si>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</si>
  <si>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</si>
  <si>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</si>
  <si>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</si>
  <si>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</si>
  <si>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</si>
  <si>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</si>
  <si>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</si>
  <si>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</si>
  <si>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</si>
  <si>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</si>
  <si>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</si>
  <si>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</si>
  <si>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</si>
  <si>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</si>
  <si>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</si>
  <si>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</si>
  <si>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</si>
  <si>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</si>
  <si>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</si>
  <si>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</si>
  <si>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</si>
  <si>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</si>
  <si>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</si>
  <si>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</si>
  <si>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</si>
  <si>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</si>
  <si>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</si>
  <si>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</si>
  <si>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</si>
  <si>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</si>
  <si>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</si>
  <si>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</si>
  <si>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</si>
  <si>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</si>
  <si>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</si>
  <si>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</si>
  <si>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</si>
  <si>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</si>
  <si>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</si>
  <si>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</si>
  <si>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</si>
  <si>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</si>
  <si>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</si>
  <si>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</si>
  <si>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</si>
  <si>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</si>
  <si>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</si>
  <si>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</si>
  <si>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</si>
  <si>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</si>
  <si>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</si>
  <si>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</si>
  <si>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</si>
  <si>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</si>
  <si>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</si>
  <si>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</si>
  <si>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</si>
  <si>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</si>
  <si>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</si>
  <si>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</si>
  <si>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</si>
  <si>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</si>
  <si>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</si>
  <si>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</si>
  <si>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</si>
  <si>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</si>
  <si>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</si>
  <si>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</si>
  <si>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</si>
  <si>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</si>
  <si>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</si>
  <si>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</si>
  <si>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</si>
  <si>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</si>
  <si>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</si>
  <si>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</si>
  <si>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</si>
  <si>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</si>
  <si>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</si>
  <si>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</si>
  <si>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</si>
  <si>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</si>
  <si>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</si>
  <si>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</si>
  <si>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</si>
  <si>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</si>
  <si>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</si>
  <si>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</si>
  <si>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</si>
  <si>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</si>
  <si>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</si>
  <si>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</si>
  <si>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</si>
  <si>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</si>
  <si>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</si>
  <si>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</si>
  <si>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</si>
  <si>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</si>
  <si>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</si>
  <si>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</si>
  <si>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</si>
  <si>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</si>
  <si>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</si>
  <si>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</si>
  <si>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</si>
  <si>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</si>
  <si>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</si>
  <si>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</si>
  <si>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</si>
  <si>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</si>
  <si>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</si>
  <si>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</si>
  <si>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</si>
  <si>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</si>
  <si>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</si>
  <si>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</si>
  <si>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</si>
  <si>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</si>
  <si>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</si>
  <si>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</si>
  <si>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</si>
  <si>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</si>
  <si>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</si>
  <si>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</si>
  <si>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</si>
  <si>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</si>
  <si>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</si>
  <si>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</si>
  <si>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</si>
  <si>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</si>
  <si>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</si>
  <si>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</si>
  <si>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</si>
  <si>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</si>
  <si>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</si>
  <si>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</si>
  <si>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</si>
  <si>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</si>
  <si>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</si>
  <si>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</si>
  <si>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</si>
  <si>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</si>
  <si>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</si>
  <si>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</si>
  <si>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</si>
  <si>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</si>
  <si>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</si>
  <si>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</si>
  <si>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</si>
  <si>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</si>
  <si>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</si>
  <si>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</si>
  <si>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</si>
  <si>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</si>
  <si>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</si>
  <si>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</si>
  <si>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</si>
  <si>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</si>
  <si>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</si>
  <si>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</si>
  <si>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</si>
  <si>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</si>
  <si>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</si>
  <si>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</si>
  <si>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</si>
  <si>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</si>
  <si>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</si>
  <si>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</si>
  <si>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</si>
  <si>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</si>
  <si>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</si>
  <si>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</si>
  <si>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</si>
  <si>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</si>
  <si>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</si>
  <si>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</si>
  <si>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</si>
  <si>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</si>
  <si>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</si>
  <si>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</si>
  <si>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</si>
  <si>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</si>
  <si>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</si>
  <si>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</si>
  <si>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</si>
  <si>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</si>
  <si>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</si>
  <si>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</si>
  <si>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</si>
  <si>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</si>
  <si>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</si>
  <si>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</si>
  <si>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</si>
  <si>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</si>
  <si>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</si>
  <si>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</si>
  <si>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</si>
  <si>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</si>
  <si>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</si>
  <si>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</si>
  <si>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</si>
  <si>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</si>
  <si>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</si>
  <si>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</si>
  <si>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</si>
  <si>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</si>
  <si>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</si>
  <si>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</si>
  <si>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</si>
  <si>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</si>
  <si>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</si>
  <si>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</si>
  <si>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</si>
  <si>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</si>
  <si>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</si>
  <si>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</si>
  <si>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</si>
  <si>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</si>
  <si>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</si>
  <si>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</si>
  <si>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</si>
  <si>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</si>
  <si>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</si>
  <si>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</si>
  <si>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</si>
  <si>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</si>
  <si>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</si>
  <si>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</si>
  <si>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</si>
  <si>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</si>
  <si>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</si>
  <si>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</si>
  <si>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</si>
  <si>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</si>
  <si>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</si>
  <si>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</si>
  <si>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</si>
  <si>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</si>
  <si>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</si>
  <si>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</si>
  <si>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</si>
  <si>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</si>
  <si>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</si>
  <si>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</si>
  <si>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</si>
  <si>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</si>
  <si>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</si>
  <si>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</si>
  <si>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</si>
  <si>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</si>
  <si>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</si>
  <si>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</si>
  <si>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</si>
  <si>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</si>
  <si>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</si>
  <si>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</si>
  <si>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</si>
  <si>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</si>
  <si>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</si>
  <si>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</si>
  <si>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</si>
  <si>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</si>
  <si>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</si>
  <si>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</si>
  <si>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</si>
  <si>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</si>
  <si>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</si>
  <si>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</si>
  <si>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</si>
  <si>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</si>
  <si>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</si>
  <si>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</si>
  <si>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</si>
  <si>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</si>
  <si>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</si>
  <si>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</si>
  <si>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</si>
  <si>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</si>
  <si>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</si>
  <si>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</si>
  <si>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</si>
  <si>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</si>
  <si>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</si>
  <si>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</si>
  <si>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</si>
  <si>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</si>
  <si>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</si>
  <si>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</si>
  <si>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</si>
  <si>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</si>
  <si>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</si>
  <si>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</si>
  <si>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</si>
  <si>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</si>
  <si>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</si>
  <si>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</si>
  <si>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</si>
  <si>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</si>
  <si>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</si>
  <si>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</si>
  <si>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</si>
  <si>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</si>
  <si>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</si>
  <si>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</si>
  <si>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</si>
  <si>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</si>
  <si>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</si>
  <si>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</si>
  <si>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</si>
  <si>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</si>
  <si>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</si>
  <si>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</si>
  <si>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</si>
  <si>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</si>
  <si>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</si>
  <si>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</si>
  <si>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</si>
  <si>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</si>
  <si>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</si>
  <si>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</si>
  <si>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</si>
  <si>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</si>
  <si>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</si>
  <si>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</si>
  <si>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</si>
  <si>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</si>
  <si>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</si>
  <si>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</si>
  <si>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</si>
  <si>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</si>
  <si>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</si>
  <si>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</si>
  <si>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</si>
  <si>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</si>
  <si>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</si>
  <si>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</si>
  <si>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</si>
  <si>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</si>
  <si>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</si>
  <si>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</si>
  <si>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</si>
  <si>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</si>
  <si>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</si>
  <si>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</si>
  <si>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</si>
  <si>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</si>
  <si>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</si>
  <si>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</si>
  <si>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</si>
  <si>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</si>
  <si>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</si>
  <si>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</si>
  <si>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</si>
  <si>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</si>
  <si>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</si>
  <si>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</si>
  <si>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</si>
  <si>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</si>
  <si>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</si>
  <si>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</si>
  <si>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</si>
  <si>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</si>
  <si>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</si>
  <si>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</si>
  <si>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</si>
  <si>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</si>
  <si>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</si>
  <si>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</si>
  <si>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</si>
  <si>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</si>
  <si>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</si>
  <si>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</si>
  <si>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</si>
  <si>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</si>
  <si>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</si>
  <si>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</si>
  <si>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</si>
  <si>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</si>
  <si>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</si>
  <si>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</si>
  <si>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</si>
  <si>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</si>
  <si>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</si>
  <si>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</si>
  <si>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</si>
  <si>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</si>
  <si>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</si>
  <si>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</si>
  <si>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</si>
  <si>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</si>
  <si>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</si>
  <si>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</si>
  <si>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</si>
  <si>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</si>
  <si>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</si>
  <si>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</si>
  <si>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</si>
  <si>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</si>
  <si>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</si>
  <si>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</si>
  <si>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</si>
  <si>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</si>
  <si>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</si>
  <si>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</si>
  <si>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</si>
  <si>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</si>
  <si>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</si>
  <si>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</si>
  <si>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</si>
  <si>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</si>
  <si>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</si>
  <si>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</si>
  <si>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</si>
  <si>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</si>
  <si>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</si>
  <si>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</si>
  <si>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</si>
  <si>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</si>
  <si>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</si>
  <si>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</si>
  <si>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</si>
  <si>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</si>
  <si>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</si>
  <si>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</si>
  <si>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</si>
  <si>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</si>
  <si>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</si>
  <si>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</si>
  <si>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</si>
  <si>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</si>
  <si>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</si>
  <si>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</si>
  <si>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</si>
  <si>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</si>
  <si>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</si>
  <si>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</si>
  <si>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</si>
  <si>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</si>
  <si>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</si>
  <si>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</si>
  <si>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</si>
  <si>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</si>
  <si>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</si>
  <si>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</si>
  <si>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</si>
  <si>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</si>
  <si>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</si>
  <si>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</si>
  <si>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</si>
  <si>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</si>
  <si>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</si>
  <si>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</si>
  <si>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</si>
  <si>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</si>
  <si>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</si>
  <si>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</si>
  <si>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</si>
  <si>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</si>
  <si>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</si>
  <si>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</si>
  <si>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</si>
  <si>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</si>
  <si>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</si>
  <si>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</si>
  <si>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</si>
  <si>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</si>
  <si>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</si>
  <si>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</si>
  <si>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</si>
  <si>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</si>
  <si>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</si>
  <si>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</si>
  <si>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</si>
  <si>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</si>
  <si>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</si>
  <si>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</si>
  <si>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</si>
  <si>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</si>
  <si>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</si>
  <si>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</si>
  <si>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</si>
  <si>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</si>
  <si>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</si>
  <si>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</si>
  <si>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</si>
  <si>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</si>
  <si>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</si>
  <si>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</si>
  <si>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</si>
  <si>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</si>
  <si>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</si>
  <si>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</si>
  <si>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</si>
  <si>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</si>
  <si>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</si>
  <si>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</si>
  <si>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</si>
  <si>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</si>
  <si>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</si>
  <si>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</si>
  <si>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</si>
  <si>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</si>
  <si>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</si>
  <si>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</si>
  <si>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</si>
  <si>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</si>
  <si>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</si>
  <si>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</si>
  <si>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</si>
  <si>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</si>
  <si>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</si>
  <si>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</si>
  <si>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</si>
  <si>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</si>
  <si>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</si>
  <si>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</si>
  <si>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</si>
  <si>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</si>
  <si>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</si>
  <si>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</si>
  <si>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</si>
  <si>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</si>
  <si>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</si>
  <si>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</si>
  <si>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</si>
  <si>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</si>
  <si>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</si>
  <si>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</si>
  <si>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</si>
  <si>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</si>
  <si>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</si>
  <si>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</si>
  <si>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</si>
  <si>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</si>
  <si>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</si>
  <si>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</si>
  <si>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</si>
  <si>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</si>
  <si>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</si>
  <si>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</si>
  <si>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</si>
  <si>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</si>
  <si>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</si>
  <si>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</si>
  <si>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</si>
  <si>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</si>
  <si>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</si>
  <si>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</si>
  <si>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</si>
  <si>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</si>
  <si>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</si>
  <si>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</si>
  <si>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</si>
  <si>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</si>
  <si>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</si>
  <si>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</si>
  <si>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</si>
  <si>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</si>
  <si>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</si>
  <si>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</si>
  <si>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</si>
  <si>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</si>
  <si>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</si>
  <si>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</si>
  <si>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</si>
  <si>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</si>
  <si>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</si>
  <si>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</si>
  <si>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</si>
  <si>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</si>
  <si>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</si>
  <si>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</si>
  <si>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</si>
  <si>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</si>
  <si>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</si>
  <si>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</si>
  <si>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</si>
  <si>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</si>
  <si>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</si>
  <si>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</si>
  <si>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</si>
  <si>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</si>
  <si>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</si>
  <si>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</si>
  <si>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</si>
  <si>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</si>
  <si>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</si>
  <si>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</si>
  <si>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</si>
  <si>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</si>
  <si>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</si>
  <si>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</si>
  <si>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</si>
  <si>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</si>
  <si>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</si>
  <si>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</si>
  <si>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</si>
  <si>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</si>
  <si>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</si>
  <si>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</si>
  <si>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</si>
  <si>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</si>
  <si>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</si>
  <si>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</si>
  <si>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</si>
  <si>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</si>
  <si>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</si>
  <si>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</si>
  <si>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</si>
  <si>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</si>
  <si>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</si>
  <si>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</si>
  <si>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</si>
  <si>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</si>
  <si>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</si>
  <si>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</si>
  <si>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</si>
  <si>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</si>
  <si>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</si>
  <si>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</si>
  <si>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</si>
  <si>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</si>
  <si>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</si>
  <si>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</si>
  <si>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</si>
  <si>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</si>
  <si>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</si>
  <si>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</si>
  <si>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</si>
  <si>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</si>
  <si>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</si>
  <si>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</si>
  <si>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</si>
  <si>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</si>
  <si>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</si>
  <si>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</si>
  <si>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</si>
  <si>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</si>
  <si>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</si>
  <si>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</si>
  <si>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</si>
  <si>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</si>
  <si>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</si>
  <si>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</si>
  <si>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</si>
  <si>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</si>
  <si>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</si>
  <si>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</si>
  <si>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</si>
  <si>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</si>
  <si>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</si>
  <si>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</si>
  <si>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</si>
  <si>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</si>
  <si>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</si>
  <si>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</si>
  <si>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</si>
  <si>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</si>
  <si>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</si>
  <si>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</si>
  <si>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</si>
  <si>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</si>
  <si>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</si>
  <si>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</si>
  <si>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</si>
  <si>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</si>
  <si>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</si>
  <si>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</si>
  <si>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</si>
  <si>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</si>
  <si>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</si>
  <si>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</si>
  <si>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</si>
  <si>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</si>
  <si>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</si>
  <si>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</si>
  <si>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</si>
  <si>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</si>
  <si>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</si>
  <si>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</si>
  <si>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</si>
  <si>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</si>
  <si>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</si>
  <si>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</si>
  <si>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</si>
  <si>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</si>
  <si>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</si>
  <si>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</si>
  <si>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</si>
  <si>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</si>
  <si>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</si>
  <si>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</si>
  <si>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</si>
  <si>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</si>
  <si>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</si>
  <si>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</si>
  <si>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</si>
  <si>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</si>
  <si>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</si>
  <si>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</si>
  <si>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</si>
  <si>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</si>
  <si>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</si>
  <si>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</si>
  <si>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</si>
  <si>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</si>
  <si>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</si>
  <si>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</si>
  <si>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</si>
  <si>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</si>
  <si>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</si>
  <si>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</si>
  <si>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</si>
  <si>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</si>
  <si>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</si>
  <si>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</si>
  <si>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</si>
  <si>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</si>
  <si>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</si>
  <si>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</si>
  <si>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</si>
  <si>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</si>
  <si>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</si>
  <si>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</si>
  <si>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</si>
  <si>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</si>
  <si>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</si>
  <si>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</si>
  <si>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</si>
  <si>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</si>
  <si>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</si>
  <si>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</si>
  <si>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</si>
  <si>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</si>
  <si>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</si>
  <si>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</si>
  <si>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</si>
  <si>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</si>
  <si>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</si>
  <si>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</si>
  <si>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</si>
  <si>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</si>
  <si>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</si>
  <si>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</si>
  <si>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</si>
  <si>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</si>
  <si>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</si>
  <si>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</si>
  <si>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</si>
  <si>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</si>
  <si>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</si>
  <si>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</si>
  <si>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</si>
  <si>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</si>
  <si>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</si>
  <si>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</si>
  <si>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</si>
  <si>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</si>
  <si>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</si>
  <si>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</si>
  <si>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</si>
  <si>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</si>
  <si>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</si>
  <si>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</si>
  <si>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</si>
  <si>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</si>
  <si>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</si>
  <si>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</si>
  <si>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</si>
  <si>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</si>
  <si>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</si>
  <si>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</si>
  <si>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</si>
  <si>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</si>
  <si>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</si>
  <si>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</si>
  <si>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</si>
  <si>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</si>
  <si>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</si>
  <si>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</si>
  <si>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</si>
  <si>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</si>
  <si>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</si>
  <si>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</si>
  <si>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</si>
  <si>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</si>
  <si>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</si>
  <si>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</si>
  <si>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</si>
  <si>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</si>
  <si>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</si>
  <si>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</si>
  <si>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</si>
  <si>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</si>
  <si>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</si>
  <si>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</si>
  <si>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</si>
  <si>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</si>
  <si>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</si>
  <si>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</si>
  <si>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</si>
  <si>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</si>
  <si>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</si>
  <si>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</si>
  <si>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</si>
  <si>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</si>
  <si>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</si>
  <si>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</si>
  <si>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</si>
  <si>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</si>
  <si>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</si>
  <si>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</si>
  <si>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</si>
  <si>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</si>
  <si>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</si>
  <si>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</si>
  <si>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</si>
  <si>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</si>
  <si>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</si>
  <si>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</si>
  <si>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</si>
  <si>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</si>
  <si>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</si>
  <si>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</si>
  <si>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</si>
  <si>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</si>
  <si>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</si>
  <si>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</si>
  <si>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</si>
  <si>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</si>
  <si>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</si>
  <si>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</si>
  <si>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</si>
  <si>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</si>
  <si>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</si>
  <si>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</si>
  <si>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</si>
  <si>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</si>
  <si>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</si>
  <si>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</si>
  <si>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</si>
  <si>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</si>
  <si>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</si>
  <si>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</si>
  <si>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</si>
  <si>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</si>
  <si>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</si>
  <si>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</si>
  <si>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</si>
  <si>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</si>
  <si>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</si>
  <si>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</si>
  <si>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</si>
  <si>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</si>
  <si>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</si>
  <si>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</si>
  <si>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</si>
  <si>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</si>
  <si>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</si>
  <si>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</si>
  <si>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</si>
  <si>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</si>
  <si>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</si>
  <si>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</si>
  <si>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</si>
  <si>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</si>
  <si>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</si>
  <si>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</si>
  <si>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</si>
  <si>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</si>
  <si>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</si>
  <si>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</si>
  <si>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</si>
  <si>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</si>
  <si>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</si>
  <si>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</si>
  <si>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</si>
  <si>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</si>
  <si>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</si>
  <si>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</si>
  <si>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</si>
  <si>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</si>
  <si>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</si>
  <si>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</si>
  <si>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</si>
  <si>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</si>
  <si>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</si>
  <si>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</si>
  <si>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</si>
  <si>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</si>
  <si>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</si>
  <si>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</si>
  <si>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</si>
  <si>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</si>
  <si>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</si>
  <si>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</si>
  <si>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</si>
  <si>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</si>
  <si>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</si>
  <si>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</si>
  <si>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</si>
  <si>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</si>
  <si>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</si>
  <si>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</si>
  <si>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</si>
  <si>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</si>
  <si>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</si>
  <si>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</si>
  <si>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</si>
  <si>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</si>
  <si>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</si>
  <si>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</si>
  <si>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</si>
  <si>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</si>
  <si>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</si>
  <si>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</si>
  <si>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</si>
  <si>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</si>
  <si>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</si>
  <si>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</si>
  <si>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</si>
  <si>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</si>
  <si>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</si>
  <si>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</si>
  <si>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</si>
  <si>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</si>
  <si>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</si>
  <si>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</si>
  <si>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</si>
  <si>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</si>
  <si>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</si>
  <si>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</si>
  <si>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</si>
  <si>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</si>
  <si>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</si>
  <si>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</si>
  <si>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</si>
  <si>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</si>
  <si>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</si>
  <si>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</si>
  <si>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</si>
  <si>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</si>
  <si>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</si>
  <si>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</si>
  <si>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</si>
  <si>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</si>
  <si>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</si>
  <si>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</si>
  <si>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</si>
  <si>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</si>
  <si>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</si>
  <si>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</si>
  <si>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</si>
  <si>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</si>
  <si>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</si>
  <si>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</si>
  <si>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</si>
  <si>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</si>
  <si>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</si>
  <si>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</si>
  <si>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</si>
  <si>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</si>
  <si>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</si>
  <si>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</si>
  <si>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</si>
  <si>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</si>
  <si>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</si>
  <si>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</si>
  <si>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</si>
  <si>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</si>
  <si>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</si>
  <si>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</si>
  <si>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</si>
  <si>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</si>
  <si>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</si>
  <si>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</si>
  <si>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</si>
  <si>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</si>
  <si>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</si>
  <si>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</si>
  <si>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</si>
  <si>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</si>
  <si>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</si>
  <si>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</si>
  <si>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</si>
  <si>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</si>
  <si>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</si>
  <si>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</si>
  <si>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</si>
  <si>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</si>
  <si>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</si>
  <si>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</si>
  <si>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</si>
  <si>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</si>
  <si>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</si>
  <si>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</si>
  <si>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</si>
  <si>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</si>
  <si>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</si>
  <si>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</si>
  <si>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</si>
  <si>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</si>
  <si>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</si>
  <si>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</si>
  <si>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</si>
  <si>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</si>
  <si>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</si>
  <si>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</si>
  <si>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</si>
  <si>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</si>
  <si>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</si>
  <si>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</si>
  <si>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</si>
  <si>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</si>
  <si>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</si>
  <si>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</si>
  <si>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</si>
  <si>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</si>
  <si>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</si>
  <si>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</si>
  <si>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</si>
  <si>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</si>
  <si>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</si>
  <si>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</si>
  <si>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</si>
  <si>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</si>
  <si>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</si>
  <si>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</si>
  <si>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</si>
  <si>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</si>
  <si>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</si>
  <si>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</si>
  <si>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</si>
  <si>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</si>
  <si>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</si>
  <si>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</si>
  <si>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</si>
  <si>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</si>
  <si>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</si>
  <si>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</si>
  <si>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</si>
  <si>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</si>
  <si>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</si>
  <si>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</si>
  <si>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</si>
  <si>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</si>
  <si>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</si>
  <si>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</si>
  <si>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</si>
  <si>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</si>
  <si>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</si>
  <si>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</si>
  <si>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</si>
  <si>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</si>
  <si>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</si>
  <si>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</si>
  <si>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</si>
  <si>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</si>
  <si>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</si>
  <si>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</si>
  <si>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</si>
  <si>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</si>
  <si>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</si>
  <si>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</si>
  <si>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</si>
  <si>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</si>
  <si>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</si>
  <si>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</si>
  <si>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</si>
  <si>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</si>
  <si>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</si>
  <si>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</si>
  <si>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</si>
  <si>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</si>
  <si>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</si>
  <si>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</si>
  <si>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</si>
  <si>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</si>
  <si>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</si>
  <si>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</si>
  <si>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</si>
  <si>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</si>
  <si>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</si>
  <si>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</si>
  <si>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</si>
  <si>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</si>
  <si>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</si>
  <si>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</si>
  <si>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</si>
  <si>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</si>
  <si>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</si>
  <si>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</si>
  <si>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</si>
  <si>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</si>
  <si>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</si>
  <si>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</si>
  <si>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</si>
  <si>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</si>
  <si>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</si>
  <si>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</si>
  <si>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</si>
  <si>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</si>
  <si>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</si>
  <si>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</si>
  <si>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</si>
  <si>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</si>
  <si>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</si>
  <si>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</si>
  <si>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</si>
  <si>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</si>
  <si>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</si>
  <si>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</si>
  <si>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</si>
  <si>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</si>
  <si>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</si>
  <si>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</si>
  <si>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</si>
  <si>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</si>
  <si>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</si>
  <si>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</si>
  <si>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成交地面价</t>
    <phoneticPr fontId="3" type="noConversion"/>
  </si>
  <si>
    <t>推出楼面价(除保障房)(元/㎡)</t>
  </si>
  <si>
    <t>成交楼面价(除保障房)(元/㎡)</t>
  </si>
  <si>
    <t>溢价率</t>
  </si>
  <si>
    <t>出让年限</t>
  </si>
  <si>
    <t>竞报整体自持比例(%)</t>
  </si>
  <si>
    <t>竞报商品住房自持比例(%)</t>
  </si>
  <si>
    <t>竞报商办部分自持比例(%)</t>
  </si>
  <si>
    <t>土地星级</t>
  </si>
  <si>
    <t>北京市</t>
  </si>
  <si>
    <t>工业用地</t>
  </si>
  <si>
    <t>大兴区</t>
  </si>
  <si>
    <t>挂牌</t>
  </si>
  <si>
    <t>多层厂房不低于40%;单层厂房不低于50%;</t>
  </si>
  <si>
    <t>未开工</t>
  </si>
  <si>
    <t>2019-11-21</t>
  </si>
  <si>
    <t>2019-12-11</t>
  </si>
  <si>
    <t>2019-12-25</t>
  </si>
  <si>
    <t>已成交</t>
  </si>
  <si>
    <t>20年</t>
  </si>
  <si>
    <t>0星</t>
  </si>
  <si>
    <t>北京经济技术开发区河西区X6-1M3地块</t>
  </si>
  <si>
    <t>京开国土挂[2017]5号</t>
  </si>
  <si>
    <t>开工中</t>
  </si>
  <si>
    <t>2018-01-03</t>
  </si>
  <si>
    <t>北京佳讯云创科技有限公司</t>
  </si>
  <si>
    <t>50年</t>
  </si>
  <si>
    <t>北京经济技术开发区路南区N31M2地块工业项目</t>
  </si>
  <si>
    <t>北京经济技术开发区路南区N31M2地块</t>
  </si>
  <si>
    <t>京开国土挂[2017]4号</t>
  </si>
  <si>
    <t>2017-10-09</t>
  </si>
  <si>
    <t>北京奔驰汽车有限公司</t>
  </si>
  <si>
    <t>崔锴</t>
  </si>
  <si>
    <t>郑燚</t>
  </si>
  <si>
    <t>北京百得利汽车进出口集团有限公司</t>
    <phoneticPr fontId="6" type="noConversion"/>
  </si>
  <si>
    <t>抵押</t>
  </si>
  <si>
    <t>房地产抵押价值</t>
  </si>
  <si>
    <t>企业</t>
  </si>
  <si>
    <t>上海浦东发展银行股份有限公司北京望京支行</t>
    <phoneticPr fontId="6" type="noConversion"/>
  </si>
  <si>
    <t>出让</t>
  </si>
  <si>
    <t>复印件</t>
  </si>
  <si>
    <t>通路</t>
  </si>
  <si>
    <t>通电</t>
  </si>
  <si>
    <t>通上水</t>
  </si>
  <si>
    <t>通下水</t>
  </si>
  <si>
    <t>通讯</t>
  </si>
  <si>
    <r>
      <t>1</t>
    </r>
    <r>
      <rPr>
        <sz val="10"/>
        <color indexed="8"/>
        <rFont val="宋体"/>
        <family val="3"/>
        <charset val="134"/>
      </rPr>
      <t>幢</t>
    </r>
    <phoneticPr fontId="3" type="noConversion"/>
  </si>
  <si>
    <t>是</t>
  </si>
  <si>
    <r>
      <t>2幢</t>
    </r>
    <r>
      <rPr>
        <sz val="10"/>
        <color indexed="8"/>
        <rFont val="宋体"/>
        <family val="3"/>
        <charset val="134"/>
      </rPr>
      <t/>
    </r>
  </si>
  <si>
    <r>
      <t>3幢</t>
    </r>
    <r>
      <rPr>
        <sz val="10"/>
        <color indexed="8"/>
        <rFont val="宋体"/>
        <family val="3"/>
        <charset val="134"/>
      </rPr>
      <t/>
    </r>
  </si>
  <si>
    <t>地上</t>
  </si>
  <si>
    <t>标准厂房</t>
  </si>
  <si>
    <t>工业用房</t>
    <phoneticPr fontId="3" type="noConversion"/>
  </si>
  <si>
    <t>建筑面积</t>
    <phoneticPr fontId="140" type="noConversion"/>
  </si>
  <si>
    <t>建成年代</t>
    <phoneticPr fontId="140" type="noConversion"/>
  </si>
  <si>
    <t>成新度</t>
    <phoneticPr fontId="140" type="noConversion"/>
  </si>
  <si>
    <t>——</t>
    <phoneticPr fontId="140" type="noConversion"/>
  </si>
  <si>
    <t>成新度</t>
  </si>
  <si>
    <t>收益法</t>
  </si>
  <si>
    <t>估价对象位于北京经济技术开发区，园区建设成熟，产业集聚程度较好</t>
    <phoneticPr fontId="3" type="noConversion"/>
  </si>
  <si>
    <t>估价对象周边道路状况、公共交通通达情况、停车便捷程度，综合评价交通便捷度较好</t>
    <phoneticPr fontId="3" type="noConversion"/>
  </si>
  <si>
    <t>七通</t>
    <phoneticPr fontId="3" type="noConversion"/>
  </si>
  <si>
    <t>该园区内无污染型企业，绿化较好，卫生条件良好，整体环境状况较好</t>
    <phoneticPr fontId="3" type="noConversion"/>
  </si>
  <si>
    <t>较一致</t>
    <phoneticPr fontId="3" type="noConversion"/>
  </si>
  <si>
    <t>多面临街</t>
  </si>
  <si>
    <r>
      <rPr>
        <sz val="11"/>
        <color indexed="8"/>
        <rFont val="宋体"/>
        <family val="3"/>
        <charset val="134"/>
      </rPr>
      <t>城市支路</t>
    </r>
    <r>
      <rPr>
        <sz val="11"/>
        <color indexed="8"/>
        <rFont val="Arial"/>
        <family val="2"/>
      </rPr>
      <t>——</t>
    </r>
    <r>
      <rPr>
        <sz val="11"/>
        <color indexed="8"/>
        <rFont val="宋体"/>
        <family val="3"/>
        <charset val="134"/>
      </rPr>
      <t>东环北路</t>
    </r>
    <phoneticPr fontId="3" type="noConversion"/>
  </si>
  <si>
    <t>工业</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</si>
  <si>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</si>
  <si>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</si>
  <si>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</si>
  <si>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</si>
  <si>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</si>
  <si>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</si>
  <si>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</si>
  <si>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</si>
  <si>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</si>
  <si>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</si>
  <si>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</si>
  <si>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</si>
  <si>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</si>
  <si>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</si>
  <si>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</si>
  <si>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</si>
  <si>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</si>
  <si>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</si>
  <si>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较好</t>
  </si>
  <si>
    <t>估价对象所在区域公共配套设施齐备情况较好</t>
    <phoneticPr fontId="3" type="noConversion"/>
  </si>
  <si>
    <t>七通</t>
  </si>
  <si>
    <t>支路</t>
  </si>
  <si>
    <t>较规则</t>
  </si>
  <si>
    <t>六通</t>
  </si>
  <si>
    <t>工业用房</t>
  </si>
  <si>
    <t>押一</t>
  </si>
  <si>
    <t>砖混</t>
  </si>
  <si>
    <t>非生产用房</t>
  </si>
  <si>
    <t>现房</t>
  </si>
  <si>
    <t>项目全部</t>
  </si>
  <si>
    <t>成本法</t>
  </si>
  <si>
    <t>观察</t>
    <phoneticPr fontId="3" type="noConversion"/>
  </si>
  <si>
    <t>北京市基准地价容积率修正系数表（商业）</t>
    <phoneticPr fontId="3" type="noConversion"/>
  </si>
  <si>
    <t>容积率</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</si>
  <si>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</si>
  <si>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</si>
  <si>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</si>
  <si>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</si>
  <si>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</si>
  <si>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</si>
  <si>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</si>
  <si>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</si>
  <si>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</si>
  <si>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</si>
  <si>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</si>
  <si>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</si>
  <si>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</si>
  <si>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</si>
  <si>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</si>
  <si>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1.年期修正</t>
    <phoneticPr fontId="3" type="noConversion"/>
  </si>
  <si>
    <t>2.用途修正</t>
    <phoneticPr fontId="3" type="noConversion"/>
  </si>
  <si>
    <t>容积率修正</t>
    <phoneticPr fontId="3" type="noConversion"/>
  </si>
  <si>
    <t>地面价</t>
    <phoneticPr fontId="3" type="noConversion"/>
  </si>
  <si>
    <r>
      <t>3.</t>
    </r>
    <r>
      <rPr>
        <sz val="10"/>
        <rFont val="宋体"/>
        <family val="3"/>
        <charset val="134"/>
      </rPr>
      <t>容积率</t>
    </r>
    <phoneticPr fontId="3" type="noConversion"/>
  </si>
  <si>
    <t>北京经济技术开发区路东区E9R2、E9A2地块R2二类居住用地、A33基础教育用地</t>
  </si>
  <si>
    <t>综合用地(含住宅)</t>
  </si>
  <si>
    <t>北京经济技术开发区路东区E9R2、E9A2地块</t>
  </si>
  <si>
    <t>京土整储挂(开)[2019]030号</t>
  </si>
  <si>
    <t>R2二类居住用地、A33基础教育用地</t>
  </si>
  <si>
    <t>r2≤2.8,a33≤0.8</t>
  </si>
  <si>
    <t>2019-11-13</t>
  </si>
  <si>
    <t>山西通建</t>
  </si>
  <si>
    <t>居住70年、商业40年、办公50年</t>
  </si>
  <si>
    <t>北京经济技术开发区路东区E9R3、E9R4地块R2二类居住用地</t>
  </si>
  <si>
    <t>住宅用地</t>
  </si>
  <si>
    <t>北京经济技术开发区路东区E9R3、E9R4地块</t>
  </si>
  <si>
    <t>京土整储挂(开)[2019]031号</t>
  </si>
  <si>
    <t>R2二类居住用地</t>
  </si>
  <si>
    <t>≤2.8</t>
  </si>
  <si>
    <t>招商</t>
  </si>
  <si>
    <t>北京市通州区潞城镇FZX-0901-0162地块F3其他类多功能用地</t>
  </si>
  <si>
    <t>商业/办公用地</t>
  </si>
  <si>
    <t>通州区</t>
  </si>
  <si>
    <t>通州区潞城镇</t>
  </si>
  <si>
    <t>京土整储挂(通)[2019]029号</t>
  </si>
  <si>
    <t>F3其他类多功能用地</t>
  </si>
  <si>
    <t>≤2.5</t>
  </si>
  <si>
    <t>2019-10-17</t>
  </si>
  <si>
    <t>北京润置商业运营管理有限公司和北京首都开发股份有限公司联合体</t>
  </si>
  <si>
    <t>商业40年办公50年</t>
  </si>
  <si>
    <t>北京市大兴区黄村镇孙村组团DX00-0009-6010地块R2二类居住用地、DX00-0009-6009地块A33基础教育用地</t>
  </si>
  <si>
    <t>大兴区黄村镇</t>
  </si>
  <si>
    <t>京土整储挂(兴)[2019]025号</t>
  </si>
  <si>
    <t>r2≤1.8,a33≤0.8</t>
  </si>
  <si>
    <t>2019-10-15</t>
  </si>
  <si>
    <t>北京融创恒基地产有限公司和北京昌政大道实业有限公司联合体</t>
  </si>
  <si>
    <t>北京市通州区马驹桥镇国家环保产业园区YZ00-0703-6004、6005、6006地块R2二类居住用地及A33基础教育用地</t>
  </si>
  <si>
    <t>通州区马驹桥镇</t>
  </si>
  <si>
    <t>京土整储挂(通)[2019]027号</t>
  </si>
  <si>
    <t>r2≤2.2,a33≤0.8</t>
  </si>
  <si>
    <t>北京融玺企业管理服务有限公司、北京首都开发股份有限公司和北京通州投资发展有限公司联合体</t>
  </si>
  <si>
    <t>北京市大兴区地铁亦庄线旧宫东站2号地项目DX05-0102-6003、6004、6005地块R2居住用地、A334基础教育用地及S1城市道路用地</t>
  </si>
  <si>
    <t>大兴区旧宫镇</t>
  </si>
  <si>
    <t>京土整储挂(兴)[2019]026号</t>
  </si>
  <si>
    <t>R2居住用地及A334基础教育用地及S1城市道路用地</t>
  </si>
  <si>
    <t>r2≤2.5,幼儿园≤0.8,a33≤0.8</t>
  </si>
  <si>
    <t>中国电建地产集团有限公司和京能置业股份有限公司联合体</t>
  </si>
  <si>
    <t>北京经济技术开发区路南区N5M1地块工业项目国有建设用地</t>
  </si>
  <si>
    <t>北京经济技术开发区路南区N5M1地块</t>
  </si>
  <si>
    <t>京开国土挂[2019]08号</t>
  </si>
  <si>
    <t>2019-09-26</t>
  </si>
  <si>
    <t>北京七星恒盛导航科技有限公司</t>
  </si>
  <si>
    <t>北京市大兴区庞各庄镇DX06-0103-6001、6002、6003地块R2二类居住用地、A33基础教育用地</t>
  </si>
  <si>
    <t>大兴区庞各庄镇</t>
  </si>
  <si>
    <t>京土整储挂(兴)[2019]023号</t>
  </si>
  <si>
    <t>r2≤2,a33≤0.8</t>
  </si>
  <si>
    <t>2019-09-25</t>
  </si>
  <si>
    <t>保利(北京)房地产开发有限公司</t>
  </si>
  <si>
    <t>北京市大兴区瀛海镇YZ00-0803-0802、6021地块R2二类居住用地</t>
  </si>
  <si>
    <t>大兴区瀛海镇</t>
  </si>
  <si>
    <t>京土整储挂(兴)[2019]022号</t>
  </si>
  <si>
    <t>≤2.2</t>
  </si>
  <si>
    <t>北京中海地产有限公司</t>
  </si>
  <si>
    <t>北京市丰台区南苑石榴庄0517-L02地块F1住宅混合公建用地</t>
  </si>
  <si>
    <t>丰台区</t>
  </si>
  <si>
    <t>丰台区南苑石榴庄</t>
  </si>
  <si>
    <t>京土整储挂(丰)[2019]021号</t>
  </si>
  <si>
    <t>F1住宅混合公建用地</t>
  </si>
  <si>
    <t>≤3</t>
  </si>
  <si>
    <t>金茂北方企业管理(天津)有限公司和廊坊市合恩房地产开发有限公司联合体</t>
  </si>
  <si>
    <t>北京市怀柔区怀柔新城07街区(杨宋镇凤翔一园10号)HR00-0007-6006地块R2二类居住用地</t>
  </si>
  <si>
    <t>怀柔区</t>
  </si>
  <si>
    <t>怀柔新城07街区</t>
  </si>
  <si>
    <t>招标</t>
  </si>
  <si>
    <t>京土整储招(怀)[2019]028号</t>
  </si>
  <si>
    <t>2019-09-23</t>
  </si>
  <si>
    <t>北京怀胜城市建设开发有限公司和北京怀胜青春广场置业有限公司联合体</t>
  </si>
  <si>
    <t>集体建设用地区级统筹大兴区瀛海镇YZ00-0803-2010、2013A、2013B、2014、2016地块</t>
  </si>
  <si>
    <t>京土集使挂(兴)[2019]002号</t>
  </si>
  <si>
    <t>F81绿隔产业用地(建设共有产权房)</t>
  </si>
  <si>
    <t>f81≤2.5</t>
  </si>
  <si>
    <t>2019-09-12</t>
  </si>
  <si>
    <t>北京上瑞置业有限公司</t>
  </si>
  <si>
    <t>北京市朝阳区孙河乡西甸村、孙河村2902-88地块F1住宅混合公建用地</t>
  </si>
  <si>
    <t>朝阳区</t>
  </si>
  <si>
    <t>朝阳区孙河乡</t>
  </si>
  <si>
    <t>京土整储挂(朝)[2019]020号</t>
  </si>
  <si>
    <t>≤1.5</t>
  </si>
  <si>
    <t>北京天恒正同资产管理有限公司和徐州恒江房地产开发有限公司联合体</t>
  </si>
  <si>
    <t>居住70年商业40年办公50年</t>
  </si>
  <si>
    <t>北京经济技术开发区河西区X78C2地块B4综合性商业金融服务业用地</t>
  </si>
  <si>
    <t>北京经济技术开发区河西区X78C2地块</t>
  </si>
  <si>
    <t>京土整储挂(开)[2019]019号</t>
  </si>
  <si>
    <t>B4综合性商业金融服务业用地</t>
  </si>
  <si>
    <t>≤2</t>
  </si>
  <si>
    <t>2019-08-29</t>
  </si>
  <si>
    <t>北京尚恒锦瑞商业运营管理有限公司</t>
  </si>
  <si>
    <t>办公50年、商业40年</t>
  </si>
  <si>
    <t>北京市朝阳区东坝乡驹子房1106-720地块F1住宅混合公建用地、1106-721地块A33基础教育用地</t>
  </si>
  <si>
    <t>朝阳区东坝乡</t>
  </si>
  <si>
    <t>京土整储挂(朝)[2019]017号</t>
  </si>
  <si>
    <t>F1住宅混合公建用地、A33基础教育用地</t>
  </si>
  <si>
    <t>f1≤3,a33≤0.9</t>
  </si>
  <si>
    <t>北京房地置业发展有限公司</t>
  </si>
  <si>
    <t>北京市顺义区北小营镇顺义新城第30街区30-01-02地块R2二类居住用地、30-01-04地块A33基础教育用地</t>
  </si>
  <si>
    <t>顺义区</t>
  </si>
  <si>
    <t>顺义区北小营镇</t>
  </si>
  <si>
    <t>京土整储挂(顺)[2019]018号</t>
  </si>
  <si>
    <t>天津北方彤茂企业管理有限公司和北京城建投资发展股份有限公司联合体</t>
  </si>
  <si>
    <t>北京高端制造业基地06街区02地块项目</t>
  </si>
  <si>
    <t>房山区</t>
  </si>
  <si>
    <t>房山区窦店</t>
  </si>
  <si>
    <t>京土整储挂(房)工业〔2019〕002号</t>
  </si>
  <si>
    <t>M4工业研发用地、S4社会停车场用地</t>
  </si>
  <si>
    <t>2019-07-18</t>
  </si>
  <si>
    <t>北京京东方生命科技有限公司</t>
  </si>
  <si>
    <t>顺义区赵全营镇SY04-0100-6006-3地块M4工业研发项目</t>
  </si>
  <si>
    <t>顺义区赵全营镇板桥村</t>
  </si>
  <si>
    <t>京土整储挂(顺)工业研发[2019]002号</t>
  </si>
  <si>
    <t>M4工业研发</t>
  </si>
  <si>
    <t>2019-07-16</t>
  </si>
  <si>
    <t>北京吉源医药科技有限公司</t>
  </si>
  <si>
    <t>北京市丰台区花乡造甲村1512-653等地块(丰台区花乡造甲村土地一级开发项目南地块)综合性商业金融服务业及二类居住用地</t>
  </si>
  <si>
    <t>丰台区花乡造甲村</t>
  </si>
  <si>
    <t>京土整储挂(丰)[2019]016号</t>
  </si>
  <si>
    <t>R2二类居住用地、B4综合性商业金融服务业用地</t>
  </si>
  <si>
    <t>b4≤5,r2≤2.8</t>
  </si>
  <si>
    <t>2019-07-15</t>
  </si>
  <si>
    <t>北京经济技术开发区路南区N2M3地块</t>
  </si>
  <si>
    <t>北京经济技术开发区路南区N2M3地块工业项目</t>
  </si>
  <si>
    <t>京开国土挂[2019]07号</t>
  </si>
  <si>
    <t>2019-07-06</t>
  </si>
  <si>
    <t>福瑞博达(北京)自动化设备有限公司</t>
  </si>
  <si>
    <t>北京市海淀区西三旗1811-L04地块B4综合性商业金融服务业用地</t>
  </si>
  <si>
    <t>海淀区</t>
  </si>
  <si>
    <t>海淀区西三旗</t>
  </si>
  <si>
    <t>京土整储挂(海)[2019]015号</t>
  </si>
  <si>
    <t>2019-07-04</t>
  </si>
  <si>
    <t>北京润置商业运营管理有限公司</t>
  </si>
  <si>
    <t>商业40年、办公50年</t>
  </si>
  <si>
    <t>大兴新城东南片区0605-022B地块工业用地</t>
  </si>
  <si>
    <t>大兴区新城东南片区</t>
  </si>
  <si>
    <t>京土整储挂(兴)工业[2019]001号</t>
  </si>
  <si>
    <t>MI一类工业用地</t>
  </si>
  <si>
    <t>2019-06-28</t>
  </si>
  <si>
    <t>北京天科合达半导体股份有限公司</t>
  </si>
  <si>
    <t>北京市石景山区古城南街东侧1612-761、764等地块R2二类居住用地、1612-768地块B4综合性商业金融服务业用地、1612-760地块A33基础教育用地</t>
  </si>
  <si>
    <t>石景山区</t>
  </si>
  <si>
    <t>石景山区古城南街东侧</t>
  </si>
  <si>
    <t>京土整储挂(石)[2019]012号</t>
  </si>
  <si>
    <t>R2二类居住用地、B4综合性商业金融服务业用地、A33基础教育用地</t>
  </si>
  <si>
    <t>b4≤5,a33≤0.8,r2≤2.8</t>
  </si>
  <si>
    <t>2019-06-27</t>
  </si>
  <si>
    <t>北京润置商业运营管理有限公司、北京海赋丰业房地产开发有限公司和上海兴泷置业有限公司联合体</t>
  </si>
  <si>
    <t>北京市顺义区高丽营镇SY02-0102-6001、SY02-0102-6002地块R2二类居住用地</t>
  </si>
  <si>
    <t>顺义区高丽营镇</t>
  </si>
  <si>
    <t>京土整储挂(顺)[2019]013号</t>
  </si>
  <si>
    <t>北京首都开发股份有限公司和富力瑞康有限公司联合体</t>
  </si>
  <si>
    <t>北京市平谷区金海湖镇PG06-0100-6014地块R2二类居住用地</t>
  </si>
  <si>
    <t>平谷区</t>
  </si>
  <si>
    <t>平谷区金海湖镇</t>
  </si>
  <si>
    <t>京土整储挂(平)[2019]014号</t>
  </si>
  <si>
    <t>≤1.01</t>
  </si>
  <si>
    <t>首金合创(天津)置业发展有限公司、北京金第房地产开发有限责任公司和北京首都开发股份有限公司联合体</t>
  </si>
  <si>
    <t>北京经济技术开发区河西区X92R1地块R2二类居住用地</t>
  </si>
  <si>
    <t>北京经济技术开发区河西区X92R1地块</t>
  </si>
  <si>
    <t>京土整储挂(开)[2019]010号</t>
  </si>
  <si>
    <t>2019-06-21</t>
  </si>
  <si>
    <t>北京雅信房地产开发有限公司</t>
  </si>
  <si>
    <t>北京市怀柔区怀柔新城03街区HR00-0003-6004等地块A33基础教育用地、R2二类居住用地、F1住宅混合公建用地、F3其他类多功能用地</t>
  </si>
  <si>
    <t>怀柔区怀柔新城03街区</t>
  </si>
  <si>
    <t>京土整储挂(怀)[2019]009号</t>
  </si>
  <si>
    <t>R2二类居住用地、F1住宅混合公建用地、F3其他类多功能用地、A33基础教育用地</t>
  </si>
  <si>
    <t>≤2.05</t>
  </si>
  <si>
    <t>北京城建投资发展股份有限公司和北京怀胜城市建设开发有限公司联合体</t>
  </si>
  <si>
    <t>北京经济技术开发区河西区X92R2地块R2二类居住用地</t>
  </si>
  <si>
    <t>北京经济技术开发区河西区X92R2地块</t>
  </si>
  <si>
    <t>京土整储挂(开)[2019]011号</t>
  </si>
  <si>
    <t>港中旅房地产开发有限公司</t>
  </si>
  <si>
    <t>北京市海淀区&amp;quot;海淀北部地区整体开发&amp;quot;西北旺镇HD00-0402-0102地块(永丰产业基地)B1商业用地</t>
  </si>
  <si>
    <t>海淀区西北旺镇</t>
  </si>
  <si>
    <t>京土整储挂(海)[2019]005号</t>
  </si>
  <si>
    <t>B1商业用地</t>
  </si>
  <si>
    <t>2019-05-28</t>
  </si>
  <si>
    <t>北京实创科技园开发建设股份有限公司</t>
  </si>
  <si>
    <t>北京市海淀区&amp;quot;海淀北部地区整体开发&amp;quot;苏家坨镇HD00-0303-6031、6032、6033地块(中关村环保科技示范园)F1住宅混合公建用地、A33基础教育用地</t>
  </si>
  <si>
    <t>海淀区苏家坨镇</t>
  </si>
  <si>
    <t>京土整储挂(海)[2019]008号</t>
  </si>
  <si>
    <t>f1≤3,a33≤0.8</t>
  </si>
  <si>
    <t>北京经济技术开发区南海子郊野公园B片区B-04/*B-06/B-11地块F3其他类多功能用地</t>
  </si>
  <si>
    <t>南海子郊野公园B片区B-04/*B-06/B-11地块</t>
  </si>
  <si>
    <t>京土整储挂(开)[2019]006号</t>
  </si>
  <si>
    <t>b-04、b-06≤1.5,b-11≤2</t>
  </si>
  <si>
    <t>北京国苑体育文化投资有限责任公司</t>
  </si>
  <si>
    <t>北京市朝阳区孙河乡北甸西村、北甸东村、西甸村、孙河村2902-31地块R2二类居住用地</t>
  </si>
  <si>
    <t>京土整储挂(朝)[2019]007号</t>
  </si>
  <si>
    <t>≤1.1</t>
  </si>
  <si>
    <t>苏州恒相房地产开发有限公司</t>
  </si>
  <si>
    <t>顺义区SY02-0200-6001、6002地块M4工业研发项目</t>
  </si>
  <si>
    <t>顺义区高丽营镇临空国际产业园</t>
  </si>
  <si>
    <t>京土整储挂(顺)工业研发[2019]001号</t>
  </si>
  <si>
    <t>2019-04-22</t>
  </si>
  <si>
    <t>北京控制工程研究所</t>
  </si>
  <si>
    <t>北京经济技术开发区核心区66M2地块工业项目国有建设用地</t>
  </si>
  <si>
    <t>北京经济技术开发区核心区66M2地块</t>
  </si>
  <si>
    <t>京开国土挂[2019]06号</t>
  </si>
  <si>
    <t>北京亦庄盛元投资开发有限公司</t>
  </si>
  <si>
    <t>顺义区赵全营镇SY04-0100-6006-4地块M4工业研发项目</t>
  </si>
  <si>
    <t>京土整储挂(顺)工业研发[2019]003号</t>
  </si>
  <si>
    <t>北京连山科技股份有限公司</t>
  </si>
  <si>
    <t>北京经济技术开发区河西区X62M4地块工业项目</t>
  </si>
  <si>
    <t>北京经济技术开发区河西区X62M4地块</t>
  </si>
  <si>
    <t>京开国土挂[2019]05号</t>
  </si>
  <si>
    <t>2019-04-10</t>
  </si>
  <si>
    <t>北京卡达克汽车检测技术中心有限公司</t>
  </si>
  <si>
    <t>北京市门头沟区永定镇MC00-0016-0055、0056、0066地块A334基础教育用地、F1住宅混合公建用地、F2公建混合住宅用地</t>
  </si>
  <si>
    <t>门头沟区</t>
  </si>
  <si>
    <t>门头沟区永定镇</t>
  </si>
  <si>
    <t>京土整储挂(门)[2019]004号</t>
  </si>
  <si>
    <t>A334基础教育用地、F1住宅混合公建用地、F2公建混合住宅用地</t>
  </si>
  <si>
    <t>a334=0.8,f1、f2=2.5</t>
  </si>
  <si>
    <t>2019-04-04</t>
  </si>
  <si>
    <t>北京凯竣商务服务有限公司</t>
  </si>
  <si>
    <t>居住70年,商业40年,办公50年</t>
  </si>
  <si>
    <t>北京经济技术开发区路南区N9M1地块工业项目</t>
  </si>
  <si>
    <t>北京经济技术开发区路南区N9M1地块</t>
  </si>
  <si>
    <t>京开国土挂[2019]04号</t>
  </si>
  <si>
    <t>2019-04-03</t>
  </si>
  <si>
    <t>北京经济技术开发区路南区N9M2地块工业项目</t>
  </si>
  <si>
    <t>北京经济技术开发区路东区E7M2地块</t>
  </si>
  <si>
    <t>京开国土挂[2019]01号</t>
  </si>
  <si>
    <t>北京集创北方半导体科技有限公司</t>
  </si>
  <si>
    <t>北京经济技术开发区路南区N9M2地块</t>
  </si>
  <si>
    <t>京开国土挂[2019]02号</t>
  </si>
  <si>
    <t>北京仁众药业有限公司</t>
  </si>
  <si>
    <t>北京经济技术开发区路南区N35M1地块工业项目</t>
  </si>
  <si>
    <t>北京经济技术开发区路南区N35M1</t>
  </si>
  <si>
    <t>京开国土挂[2019]03号</t>
  </si>
  <si>
    <t>北京昭衍生物技术有限公司</t>
  </si>
  <si>
    <t>北京市大兴区西红门镇集体经营性建设用地入市试点2号地C地块(2-006-1)F81绿隔产业用地</t>
  </si>
  <si>
    <t>其它用地</t>
  </si>
  <si>
    <t>大兴区西红门镇</t>
  </si>
  <si>
    <t>京土集使挂(兴)[2018]002号</t>
  </si>
  <si>
    <t>F81绿隔产业用地</t>
  </si>
  <si>
    <t>≤2.0</t>
  </si>
  <si>
    <t>2019-03-08</t>
  </si>
  <si>
    <t>中铁第五勘察设计院集团有限公司、中国铁建投资集团有限公司、中铁十一局集团有限公司、中铁磁浮交通投资建设有限公司、中铁建设集团房地产有限公司</t>
  </si>
  <si>
    <t>40年</t>
  </si>
  <si>
    <t>北京市平谷区金海湖镇PG06-0100-6019等地块R2二类居住用地、B1商业用地、A33基础教育用地</t>
  </si>
  <si>
    <t>京土整储挂(平)[2019]003号</t>
  </si>
  <si>
    <t>R2二类居住用地、B1商业用地、A33基础教育用地</t>
  </si>
  <si>
    <t>b1/r2=1.01,a33=0.8</t>
  </si>
  <si>
    <t>2019-02-27</t>
  </si>
  <si>
    <t>首金隆创(天津)置业发展有限公司和北京金第房地产开发有限责任公司联合体</t>
  </si>
  <si>
    <t>北京市大兴区瀛海镇YZ00-0803-6024、6025、6032、6035、6038地块F1住宅混合公建用地、A33基础教育用地、S32公交场站设施用地</t>
  </si>
  <si>
    <t>京土整储挂(兴)[2019]001号</t>
  </si>
  <si>
    <t>F1住宅混合公建用地、A33基础教育用地、S32公交场站设施用地</t>
  </si>
  <si>
    <t>f1=2.5,a33=0.8</t>
  </si>
  <si>
    <t>2019-02-25</t>
  </si>
  <si>
    <t>北京市大兴区黄村镇三合庄村DX00-0202-6009地块F1住宅混合公建用地</t>
  </si>
  <si>
    <t>大兴区黄村镇三合庄村</t>
  </si>
  <si>
    <t>京土整储挂(兴)[2019]002号</t>
  </si>
  <si>
    <t>北京金地达远企业管理咨询有限公司</t>
  </si>
  <si>
    <t>北京市通州新城0203街区TZ00-0203-6009地块R2二类居住用地、TZ00-0203-6010地块A33基础教育用地</t>
  </si>
  <si>
    <t>通州新城0203街区</t>
  </si>
  <si>
    <t>京土整储挂(通)[2018]067号</t>
  </si>
  <si>
    <t>r2=1.6,a33=0.8</t>
  </si>
  <si>
    <t>2019-02-02</t>
  </si>
  <si>
    <t>北京通州房地产开发有限责任公司</t>
  </si>
  <si>
    <t>北京市丰台区王佐镇魏各庄FT00-0503-0092等地块(丰台区青龙湖国际会都核心区C地块)二类居住及基础教育用地</t>
  </si>
  <si>
    <t>丰台区王佐镇魏各庄</t>
  </si>
  <si>
    <t>京土整储挂(丰)[2018]069号</t>
  </si>
  <si>
    <t>r2=1.1,a33=0.8</t>
  </si>
  <si>
    <t>北京万科企业有限公司和国开东方城镇发展投资有限公司联合体</t>
  </si>
  <si>
    <t>北京市通州区永顺镇TZ-0104-6002地块F1住宅混合公建用地、TZ-0104-6001地块A33基础教育用地</t>
  </si>
  <si>
    <t>通州区永顺镇</t>
  </si>
  <si>
    <t>京土整储挂(通)[2018]068号</t>
  </si>
  <si>
    <t>f1=1.6,a33=0.8</t>
  </si>
  <si>
    <t>天津北方泽茂企业管理有限公司和北京煦腾房地产开发有限公司联合体</t>
  </si>
  <si>
    <t>北京市门头沟区永定镇曹各庄桥户营村MC00-0016-061地块R2二类居住用地、MC16-041地块T6区域综合交通枢纽用地、MC16-048地块S4社会停车场用地</t>
  </si>
  <si>
    <t>京土整储挂(门)[2018]065号</t>
  </si>
  <si>
    <t>R2二类居住用地、T6区域综合交通枢纽用地、S4社会停车场用地</t>
  </si>
  <si>
    <t>r2=2.8,t6=3.5</t>
  </si>
  <si>
    <t>2019-02-01</t>
  </si>
  <si>
    <t>北京骏乐企业管理咨询有限公司</t>
  </si>
  <si>
    <t>北京市朝阳区将台乡1016-030地块R2二类居住用地、1016-033地块F2公建混合住宅用地</t>
  </si>
  <si>
    <t>朝阳区将台乡驼房营村</t>
  </si>
  <si>
    <t>京土整储挂(朝)[2018]064号</t>
  </si>
  <si>
    <t>R2二类居住用地、F2公建混合住宅用地</t>
  </si>
  <si>
    <t>r2=2.5,f2=3</t>
  </si>
  <si>
    <t>华通置业有限公司和北京茂康企业管理有限公司联合体</t>
  </si>
  <si>
    <t>北京市密云区溪翁庄MY02-0201-6001地块(原圆明三园C地块)R2二类居住用地</t>
  </si>
  <si>
    <t>密云区</t>
  </si>
  <si>
    <t>密云区溪翁庄</t>
  </si>
  <si>
    <t>京土整储挂(密)[2018]066号</t>
  </si>
  <si>
    <t>曲水鹏盛天创业投资管理有限公司</t>
  </si>
  <si>
    <t>北京市通州区台湖镇TZ09-0100-6016地块、6019地块R2二类居住用地、TZ09-0100-6018地块A33基础教育用地</t>
  </si>
  <si>
    <t>通州区台湖镇</t>
  </si>
  <si>
    <t>京土整储挂(通)[2018]060号</t>
  </si>
  <si>
    <t>2019-01-31</t>
  </si>
  <si>
    <t>中建一局集团房地产开发有限公司</t>
  </si>
  <si>
    <t>北京市通州区台湖镇YZ00-0405-0094等地块R2二类居住用地、YZ00-0405-0097地块A33基础教育用地</t>
  </si>
  <si>
    <t>京土整储挂(通)[2018]062号</t>
  </si>
  <si>
    <t>北京万科企业有限公司和深圳市创邺企业管理有限公司联合体</t>
  </si>
  <si>
    <t>北京市石景山区西黄村1606-641地块R2二类居住用地、1606-642地块A33基础教育用地</t>
  </si>
  <si>
    <t>石景山区西黄村</t>
  </si>
  <si>
    <t>京土整储挂(石)[2018]061号</t>
  </si>
  <si>
    <t>首金盛创(天津)置业发展有限公司和北京新城万隆房地产开发有限公司联合体</t>
  </si>
  <si>
    <t>北京市通州区台湖镇YZ00-0405-0099、YZ00-0405-0104地块R2二类居住用地</t>
  </si>
  <si>
    <t>京土整储挂(通)[2018]059号</t>
  </si>
  <si>
    <t>北京住总房地产开发有限责任公司、北京通州投资发展有限公司和北京住总置业有限公司联合体</t>
  </si>
  <si>
    <t>北京市怀柔区雁栖镇陈各庄村HR00-0010-6037地块R2二类居住用地、HR00-0010-6043地块A33基础教育用地</t>
  </si>
  <si>
    <t>怀柔区雁栖镇陈各庄村</t>
  </si>
  <si>
    <t>京土整储挂(怀)[2018]054号</t>
  </si>
  <si>
    <t>2019-01-28</t>
  </si>
  <si>
    <t>北京怀柔科学城建设发展有限公司</t>
  </si>
  <si>
    <t>北京市通州区马驹桥镇C01地块B1商业用地、C-07地块R2二类居住用地、C-09地块A33基础教育用地</t>
  </si>
  <si>
    <t>京土整储挂(通)[2018]055号</t>
  </si>
  <si>
    <t>北京北投置业有限公司、北京通州投资发展有限公司</t>
  </si>
  <si>
    <t>北京市石景山区阜石路1603-616地块R2二类居住用地</t>
  </si>
  <si>
    <t>石景山区阜石路</t>
  </si>
  <si>
    <t>京土整储招(石)[2018]056号</t>
  </si>
  <si>
    <t>2019-01-24</t>
  </si>
  <si>
    <t>北京首钢房地产开发有限公司</t>
  </si>
  <si>
    <t>北京市海淀区西三旗建材城中路东侧1814-630等地块R2二类居住用地、A4体育用地、A334托幼用地</t>
  </si>
  <si>
    <t>海淀区西三旗建材城中路东侧</t>
  </si>
  <si>
    <t>京土整储招(海)[2018]053号</t>
  </si>
  <si>
    <t>R2二类居住用地、A4体育用地、A334托幼用地</t>
  </si>
  <si>
    <t>北京金隅程远房地产开发有限公司</t>
  </si>
  <si>
    <t>北京市海淀区地铁16号线北安河车辆段综合利用项目HD00-0700-0001、0002、0003、0004地块A334托幼用地、F3其他类多功能用地、R2二类居住用地</t>
  </si>
  <si>
    <t>海淀北部地区苏家坨镇</t>
  </si>
  <si>
    <t>京土整储招(海)[2018]058号</t>
  </si>
  <si>
    <t>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</si>
  <si>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</si>
  <si>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</si>
  <si>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海淀区清河地区</t>
  </si>
  <si>
    <t>京土整储招(海)[2018]052号</t>
  </si>
  <si>
    <t>R2二类居住用地、A8社区综合服务设施用地、S32公交场站设施用地、U17邮政设施用地</t>
  </si>
  <si>
    <t>大兴生物医药产业基地0501-023地块工业用地国有建设用地</t>
  </si>
  <si>
    <t>北京市大兴区生物医药基地</t>
  </si>
  <si>
    <t>京土整储挂(兴)工业[2018]003号</t>
  </si>
  <si>
    <t>工业厂房</t>
  </si>
  <si>
    <t>2019-01-17</t>
  </si>
  <si>
    <t>中关村医疗器械园有限公司</t>
  </si>
  <si>
    <t>北京市密云区李各庄路0602、0603地块二类居住及基础教育用地</t>
  </si>
  <si>
    <t>密云区李各庄路</t>
  </si>
  <si>
    <t>京土整储挂(密)[2018]051号</t>
  </si>
  <si>
    <t>北京隽成房地产开发有限公司</t>
  </si>
  <si>
    <t>大兴生物医药产业基地0503-039、040、043、044地块工业用地</t>
  </si>
  <si>
    <t>京土整储挂(兴)工业[2018]004号</t>
  </si>
  <si>
    <t>北京民海生物科技有限公司</t>
  </si>
  <si>
    <t>北京市朝阳区东坝乡单店村1108-006地块R2二类居住用地</t>
  </si>
  <si>
    <t>京土整储挂(朝)[2018]050号</t>
  </si>
  <si>
    <t>北京润置商业运营管理有限公司、北京天恒正同资产管理有限公司和北京建工地产有限责任公司联合体</t>
  </si>
  <si>
    <t>北京经济技术开发区路南区N43M1地块工业项目国有建设用地</t>
  </si>
  <si>
    <t>北京经济技术开发区路南区N43M1地块</t>
  </si>
  <si>
    <t>京开国土挂[2018]7号</t>
  </si>
  <si>
    <t>2019-01-16</t>
  </si>
  <si>
    <t>北京市丰台区花乡郭公庄村1518-L01等地块(地铁九号线郭公庄车辆段项目(三期)土地一级开发项目B地块)二类居住、综合性商业金融服务业及基础教育用地</t>
  </si>
  <si>
    <t>丰台区花乡郭公庄村</t>
  </si>
  <si>
    <t>京土整储挂(丰)[2018]048号</t>
  </si>
  <si>
    <t>2019-01-11</t>
  </si>
  <si>
    <t>北京京投置地房地产有限公司、北京郭公庄投资管理公司和北京市基础设施投资有限公司联合体</t>
  </si>
  <si>
    <t>北京高端制造业(房山)基地01街区01-02(1)地块工业用地项目</t>
  </si>
  <si>
    <t>房山区窦店镇望楚村</t>
  </si>
  <si>
    <t>京土整储挂(房)工业〔2018〕001号</t>
  </si>
  <si>
    <t>一类工业用地</t>
  </si>
  <si>
    <t>北京龙源开关设备有限责任公司</t>
  </si>
  <si>
    <t>北京高端制造业(房山)基地01街区01-03剩余地块工业用地项目</t>
  </si>
  <si>
    <t>京土整储挂(房)工业〔2018〕002号</t>
  </si>
  <si>
    <t>2019-01-04</t>
  </si>
  <si>
    <t>北京岳氏安防科技有限公司</t>
  </si>
  <si>
    <t>平谷区新城北部产业用地F05-02地块工业用地</t>
  </si>
  <si>
    <t>平谷新城北部产业用地东北部</t>
  </si>
  <si>
    <t>京土整储挂(平)工业【2018】001号</t>
  </si>
  <si>
    <t>2019-01-03</t>
  </si>
  <si>
    <t>北京联东金木投资有限公司</t>
  </si>
  <si>
    <t>平谷区新城北部产业用地F05-03地块工业用地</t>
  </si>
  <si>
    <t>京土整储挂(平)工业【2018】002号</t>
  </si>
  <si>
    <t>北京银都天盛科技有限公司</t>
  </si>
  <si>
    <t>北京市昌平区沙河镇七里渠南北村土地一级开发项目CP00-1600-0015等地块R2二类居住用地、B4综合性商业金融服务业用地</t>
  </si>
  <si>
    <t>昌平区</t>
  </si>
  <si>
    <t>昌平区沙河镇七里渠南北村</t>
  </si>
  <si>
    <t>京土整储挂(昌)[2018]047号</t>
  </si>
  <si>
    <t>2018-12-29</t>
  </si>
  <si>
    <t>北京建工地产有限责任公司、北京首都开发股份有限公司和北京润置商业运营管理有限公司联合体</t>
  </si>
  <si>
    <t>大兴生物医药产业基地0503-011-1、014-1、016-1地块工业用地国有建设用地使用权出让</t>
  </si>
  <si>
    <t>京土整储挂(兴)工业[2018]002号</t>
  </si>
  <si>
    <t>北京生物医药产业基地发展有限公司</t>
  </si>
  <si>
    <t>北京市怀柔区庙城HR00-0014-6019等地块R2二类居住用地、B1商业用地、S4社会停车场用地、A33基础教育用地、U22环卫设施用地</t>
  </si>
  <si>
    <t>怀柔区庙城镇庙城村</t>
  </si>
  <si>
    <t>京土整储挂(怀)[2018]046号</t>
  </si>
  <si>
    <t>R2二类居住用地、B1商业用地、S4社会停车场用地、A33基础教育用地、U22环卫设施用地</t>
  </si>
  <si>
    <t>2018-12-24</t>
  </si>
  <si>
    <t>北京银地房地产开发有限责任公司、北京京粮置业有限公司、北京三元嘉业房地产开发有限公司联合体</t>
  </si>
  <si>
    <t>北京市顺义区顺义新城牛栏山组团一级开发项目17-11-07地块(南侧)R2二类居住用地</t>
  </si>
  <si>
    <t>顺义区牛栏山镇</t>
  </si>
  <si>
    <t>京土整储挂(顺)[2018]044号</t>
  </si>
  <si>
    <t>2018-12-11</t>
  </si>
  <si>
    <t>北京拓景商务服务有限公司</t>
  </si>
  <si>
    <t>北京市顺义区高丽营镇于庄SY02-0103-6004、SY02-0103-6007地块R2二类居住用地</t>
  </si>
  <si>
    <t>顺义区高丽营镇于庄</t>
  </si>
  <si>
    <t>京土整储挂(顺)[2018]045号</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</si>
  <si>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</si>
  <si>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</si>
  <si>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顺义新城第13街区</t>
  </si>
  <si>
    <t>京土整储挂(顺)[2018]042号</t>
  </si>
  <si>
    <t>2018-12-04</t>
  </si>
  <si>
    <t>北京市顺义区顺义新城第13街区SY00-0013-6022等地块R2二类居住用地、A61机构养老用地、A33基础教育用地</t>
  </si>
  <si>
    <t>顺义区顺义新城第13街区</t>
  </si>
  <si>
    <t>京土整储挂(顺)[2018]043号</t>
  </si>
  <si>
    <t>R2二类居住用地、A61机构养老设施用地、A33基础教育用地</t>
  </si>
  <si>
    <t>北京新城金郡房地产开发有限公司</t>
  </si>
  <si>
    <t>北京市大兴区采育镇区01-0119地块R2二类居住用地</t>
  </si>
  <si>
    <t>大兴区采育镇</t>
  </si>
  <si>
    <t>京土整储挂(兴)[2018]035号</t>
  </si>
  <si>
    <t>2018-11-26</t>
  </si>
  <si>
    <t>北京城建新城投资开发有限公司</t>
  </si>
  <si>
    <t>北京市顺义区顺义新城第13街区SY00-0013-6010地块R2二类居住用地</t>
  </si>
  <si>
    <t>京土整储挂(顺)[2018]036号</t>
  </si>
  <si>
    <t>北京恒意房地产开发有限公司</t>
  </si>
  <si>
    <t>北京市密云区密云新城0102街区MY00-0102-6014地块R2二类居住用地</t>
  </si>
  <si>
    <t>密云区檀营乡</t>
  </si>
  <si>
    <t>京土整储挂(密)[2018]039号</t>
  </si>
  <si>
    <t>北京檀营鑫房地产开发有限公司</t>
  </si>
  <si>
    <t>北京市丰台区花乡白盆窑村BPY-L011地块R2二类居住用地</t>
  </si>
  <si>
    <t>丰台区花乡白盆窑村</t>
  </si>
  <si>
    <t>京土整储挂(丰)[2018]034号</t>
  </si>
  <si>
    <t>中铁置业集团北京有限公司</t>
  </si>
  <si>
    <t>北京市昌平区沙河镇七里渠南北村土地一级开发项目QLQ-004地块B4综合性商业金融服务业用地</t>
  </si>
  <si>
    <t>京土整储挂(昌)[2018]040号</t>
  </si>
  <si>
    <t>时代好未来教育科技(北京)有限公司</t>
  </si>
  <si>
    <t>北京市大兴区采育镇区01-0128A地块R2二类居住用地</t>
  </si>
  <si>
    <t>京土整储挂(兴)[2018]031号</t>
  </si>
  <si>
    <t>北京住总房地产开发有限责任公司</t>
  </si>
  <si>
    <t>北京市顺义区后沙峪镇顺义新城第19街区SY00-0019-0075地块R2二类居住用地</t>
  </si>
  <si>
    <t>顺义区后沙峪镇</t>
  </si>
  <si>
    <t>京土整储挂(顺)[2018]037号</t>
  </si>
  <si>
    <t>深圳市威卓投资咨询有限公司和北京首都开发股份有限公司联合体</t>
  </si>
  <si>
    <t>北京市顺义区后沙峪镇SY00-0019-6014地块R2二类居住用地、SY00-0019-6013地块A33基础教育用地</t>
  </si>
  <si>
    <t>京土整储挂(顺)[2018]032号</t>
  </si>
  <si>
    <t>中建一局集团建设发展有限公司</t>
  </si>
  <si>
    <t>北京市丰台区花乡白盆窑村BPY-L010、BPY-L013地块R2二类居住用地、A33基础教育用地</t>
  </si>
  <si>
    <t>京土整储挂(丰)[2018]028号</t>
  </si>
  <si>
    <t>北京中铁诺德房地产开发有限公司</t>
  </si>
  <si>
    <t>北京市房山区拱辰街道17-02-10地块F1住宅混合公建用地、17-02-09地块A33基础教育用地</t>
  </si>
  <si>
    <t>房山区拱辰街道办事处</t>
  </si>
  <si>
    <t>京土整储挂(房)[2018]030号</t>
  </si>
  <si>
    <t>北京华发创盛置业有限公司</t>
  </si>
  <si>
    <t>北京市昌平区北七家镇未来科学城南区CP07-0600-0052、0063、C-18地块F2公建混合住宅用地、R2二类居住用地</t>
  </si>
  <si>
    <t>昌平区北七家镇未来科学城南区</t>
  </si>
  <si>
    <t>京土整储挂(昌)[2018]029号</t>
  </si>
  <si>
    <t>F2公建混合住宅用地、R2二类居住用地</t>
  </si>
  <si>
    <t>北京未来科学城置业有限公司、北京城建投资发展股份有限公司和天津北方裕茂企业管理有限公司联合体</t>
  </si>
  <si>
    <t>北京市延庆区延庆新城03街区会展中心东侧地块土地一级开发项目(二期)YQ00-0003-0010等地块旅馆及二类居住用地</t>
  </si>
  <si>
    <t>延庆区</t>
  </si>
  <si>
    <t>延庆区延庆新城03街区</t>
  </si>
  <si>
    <t>京土整储挂(延)[2018]038号</t>
  </si>
  <si>
    <t>B14旅馆用地、R2二类居住用地</t>
  </si>
  <si>
    <t>北京富力通达房地产开发有限公司、华通置业有限公司和北京嘉晨置业合伙企业(有限合伙)联合体</t>
  </si>
  <si>
    <t>北京市延庆区延庆新城03街区会展中心东侧地块土地一级开发项目(二期)YQ00-0003-0024地块B4综合性商业金融服务业用地</t>
  </si>
  <si>
    <t>京土整储招(延)[2018]041号</t>
  </si>
  <si>
    <t>2018-11-15</t>
  </si>
  <si>
    <t>大连万达商业管理集团股份有限公司</t>
  </si>
  <si>
    <t>北京市昌平区沙河镇七里渠南北村土地一级开发项目CP00-1600-0016、CP00-1804-0007地块F2公建混合住宅用地</t>
  </si>
  <si>
    <t>昌平区沙河镇</t>
  </si>
  <si>
    <t>京土整储挂(昌)[2018]027号</t>
  </si>
  <si>
    <t>F2公建混合住宅用地</t>
  </si>
  <si>
    <t>2018-11-05</t>
  </si>
  <si>
    <t>广州小米通讯技术有限公司和北京润置商业运营管理有限公司联合体</t>
  </si>
  <si>
    <t>北京市朝阳区奥林匹克公园中心区B23等地块B4综合性商业金融服务业用地、F3其他类多功能用地</t>
  </si>
  <si>
    <t>朝阳区奥林匹克公园中心区</t>
  </si>
  <si>
    <t>京土整储挂(朝)[2018]026号</t>
  </si>
  <si>
    <t>B4综合性商业金融服务业用地、F3其他类多功能用地</t>
  </si>
  <si>
    <t>北京北辰实业集团有限责任公司</t>
  </si>
  <si>
    <t>北京市朝阳区崔各庄乡2909-0604地块F1住宅混合公建用地</t>
  </si>
  <si>
    <t>朝阳区崔各庄乡</t>
  </si>
  <si>
    <t>京土整储挂(朝)[2018]024号</t>
  </si>
  <si>
    <t>2018-10-31</t>
  </si>
  <si>
    <t>北京金地鸿志企业管理咨询有限公司和北京首都开发股份有限公司联合体</t>
  </si>
  <si>
    <t>北京市石景山区古城南街东侧1612-806、813、819、820等地块R2二类居住用地</t>
  </si>
  <si>
    <t>京土整储挂(石)[2018]025号</t>
  </si>
  <si>
    <t>中海地产集团有限公司和北京首钢房地产开发有限公司联合体</t>
  </si>
  <si>
    <t>北京市朝阳区崔各庄乡2909-0603地块F1住宅混合公建用地</t>
  </si>
  <si>
    <t>京土整储挂(朝)[2018]023号</t>
  </si>
  <si>
    <t>北京金地鸿鹄企业管理咨询有限公司和北京首都开发股份有限公司联合体</t>
  </si>
  <si>
    <t>北京市房山区青龙湖镇中心区01-0010、0021地块R2二类居住用地、01-0015地块B4综合性商业金融服务业用地</t>
  </si>
  <si>
    <t>房山区青龙湖镇</t>
  </si>
  <si>
    <t>京土整储挂(房)[2018]020号</t>
  </si>
  <si>
    <t>2018-10-19</t>
  </si>
  <si>
    <t>中铁建设集团房地产有限公司</t>
  </si>
  <si>
    <t>北京经济技术开发区河西区X89R1地块R2二类居住用地</t>
  </si>
  <si>
    <t>北京经济技术开发区河西区X89R1地块</t>
  </si>
  <si>
    <t>京土整储挂(开)[2018]021号</t>
  </si>
  <si>
    <t>北京金隅兴大房地产开发有限公司</t>
  </si>
  <si>
    <t>北京经济技术开发区河西区X89R2地块R2二类居住用地国有建设用地</t>
  </si>
  <si>
    <t>北京经济技术开发区河西区X89R2地块</t>
  </si>
  <si>
    <t>京土整储挂(开)[2018]022号</t>
  </si>
  <si>
    <t>天津北方博茂置业有限公司、中铁房地产集团北方有限公司和北京隽成房地产开发有限公司联合体</t>
  </si>
  <si>
    <t>北京市房山区青龙湖镇FS16-0201-0005地块R2二类居住用地、FS16-0201-0004地块B4综合性商业金融服务业用地、FS16-0201-0003地块S4社会停车场用地</t>
  </si>
  <si>
    <t>京土整储挂(房)[2018]018号</t>
  </si>
  <si>
    <t>R2二类居住用地、B4综合性商业金融服务业用地、S4社会停车场用地</t>
  </si>
  <si>
    <t>2018-09-13</t>
  </si>
  <si>
    <t>北京首都开发股份有限公司</t>
  </si>
  <si>
    <t>北京市平谷区夏各庄镇PG11-0100-6103等地块R2二类居住用地</t>
  </si>
  <si>
    <t>平谷区夏各庄镇</t>
  </si>
  <si>
    <t>京土整储挂(平)[2018]019号</t>
  </si>
  <si>
    <t>中铁房地产集团创新产业投资有限公司和中铁建设集团房地产有限公司联合体</t>
  </si>
  <si>
    <t>北京市朝阳区崔各庄乡马泉营村29-L02等地块R2二类居住用地、A33基础教育用地、A8社区综合服务设施用地</t>
  </si>
  <si>
    <t>朝阳区崔各庄乡马泉营村</t>
  </si>
  <si>
    <t>京土整储挂(朝)[2018]017号</t>
  </si>
  <si>
    <t>R2二类居住用地、A33基础教育用地、A8社区综合服务设施用地</t>
  </si>
  <si>
    <t>北京经济技术开发区路南区N12M1地块</t>
  </si>
  <si>
    <t>京开国土挂[2018]6号</t>
  </si>
  <si>
    <t>2018-09-03</t>
  </si>
  <si>
    <t>北京经济技术开发区路南区N20M1地块</t>
  </si>
  <si>
    <t>京开国土挂[2018]5号</t>
  </si>
  <si>
    <t>北京经济技术开发区河西区X6-1M4地块工业项目国有建设用地</t>
  </si>
  <si>
    <t>北京经济技术开发区河西区X6-1M4地块</t>
  </si>
  <si>
    <t>京开国土挂[2018]3号</t>
  </si>
  <si>
    <t>北京视源创新科技有限公司</t>
  </si>
  <si>
    <t>北京经济技术开发区路南区N19M1地块工业项目国有建设用地</t>
  </si>
  <si>
    <t>北京经济技术开发区路南区N19M1地块</t>
  </si>
  <si>
    <t>京开国土挂[2018]4号</t>
  </si>
  <si>
    <t>北京市大兴区魏善庄镇DX07-0102-6013地块R2二类居住用地、DX07-0102-6016地块A33基础教育用地</t>
  </si>
  <si>
    <t>大兴区魏善庄镇</t>
  </si>
  <si>
    <t>京土整储挂(兴)[2018]015号</t>
  </si>
  <si>
    <t>2018-08-23</t>
  </si>
  <si>
    <t>北京喜茂置业有限公司</t>
  </si>
  <si>
    <t>北京市大兴区魏善庄镇DX07-0102-6015地块R2二类居住用地</t>
  </si>
  <si>
    <t>京土整储挂(兴)[2018]016号</t>
  </si>
  <si>
    <t>大兴区庞各庄镇PGZ03-47地块工业用地国有建设用地</t>
  </si>
  <si>
    <t>京土整储挂(兴)工业[2018]001号</t>
  </si>
  <si>
    <t>2018-07-26</t>
  </si>
  <si>
    <t>中化岩土集团股份有限公司</t>
  </si>
  <si>
    <t>北京市丰台区丽泽金融商务区南区F-22、F-23地块F3其他类多功能用地</t>
  </si>
  <si>
    <t>丰台区卢沟桥乡</t>
  </si>
  <si>
    <t>京土整储招(丰)[2018]014号</t>
  </si>
  <si>
    <t>2018-07-06</t>
  </si>
  <si>
    <t>中证机构间报价系统股份有限公司和中国银河证券股份有限公司联合体</t>
  </si>
  <si>
    <t>北京市房山区青龙湖镇FS16-0201-0013地块R2二类居住用地</t>
  </si>
  <si>
    <t>京土整储挂(房)[2018]012号</t>
  </si>
  <si>
    <t>2018-07-04</t>
  </si>
  <si>
    <t>深圳市新威佳辰投资咨询有限公司</t>
  </si>
  <si>
    <t>北京市顺义区后沙峪镇马头庄村SY00-0019-6007地块R2二类居住用地</t>
  </si>
  <si>
    <t>顺义区后沙峪镇马头庄村</t>
  </si>
  <si>
    <t>京土整储挂(顺)[2018]013号</t>
  </si>
  <si>
    <t>北京建工地产有限责任公司</t>
  </si>
  <si>
    <t>北京市顺义区后沙峪镇21-18-001e地块R2二类居住用地、21-18-002地块A33基础教育用地</t>
  </si>
  <si>
    <t>京土整储挂(顺)[2018]008号</t>
  </si>
  <si>
    <t>2018-06-22</t>
  </si>
  <si>
    <t>北京市丰台区卢沟桥乡小瓦窑村XWY-12等地块绿隔产业、住宅混合公建及基础教育用地</t>
  </si>
  <si>
    <t>丰台区卢沟桥乡小瓦窑村</t>
  </si>
  <si>
    <t>京土整储挂(丰)[2018]009号</t>
  </si>
  <si>
    <t>F81绿隔产业用地、F1住宅混合公建用地、A33基础教育用地</t>
  </si>
  <si>
    <t>北京润置商业运营管理有限公司和北京海赋丰业房地产开发有限公司联合体</t>
  </si>
  <si>
    <t>北京市房山区长沟镇中心区FS12-0100-6022、6023等地块(北京基金小镇核心区一期)F3其他类多功能用地</t>
  </si>
  <si>
    <t>房山区长沟镇中心区北部</t>
  </si>
  <si>
    <t>京土整储招(房)[2018]011号</t>
  </si>
  <si>
    <t>2018-06-19</t>
  </si>
  <si>
    <t>北京基金小镇控股有限公司和北京基金小镇圣泉投资中心(有限合伙)联合体</t>
  </si>
  <si>
    <t>北京经济技术开发区路东区E16街区E16C-3、E16C-5、E16S-1地块</t>
  </si>
  <si>
    <t>京土整储挂(开)[2018]007号</t>
  </si>
  <si>
    <t>B4综合性商业金融服务业用地、S41公用停车场用地</t>
  </si>
  <si>
    <t>2018-06-14</t>
  </si>
  <si>
    <t>北京智方润科房地产开发有限公司</t>
  </si>
  <si>
    <t>北京经济技术开发区河西区X55M1地块</t>
  </si>
  <si>
    <t>京开国土挂[2018]2号</t>
  </si>
  <si>
    <t>≥1.5且≤1.7</t>
  </si>
  <si>
    <t>2018-06-06</t>
  </si>
  <si>
    <t>北京康弘生物医药有限公司</t>
  </si>
  <si>
    <t>北京经济技术开发区路东区B5M4地块</t>
  </si>
  <si>
    <t>京开国土挂[2018]1号</t>
  </si>
  <si>
    <t>神州细胞工程有限公司</t>
  </si>
  <si>
    <t>北京市延庆区延庆新城YQ00-0300-0058等地块(世园会二期)R2二类居住用地、B4综合性商业金融服务业用地</t>
  </si>
  <si>
    <t>延庆区延庆镇、康庄镇,百康路北侧</t>
  </si>
  <si>
    <t>京土整储挂(延)[2018]004号</t>
  </si>
  <si>
    <t>2018-04-20</t>
  </si>
  <si>
    <t>北京新碧房地产开发有限公司和中铁房地产集团创新产业投资有限公司联合体</t>
  </si>
  <si>
    <t>北京市延庆区张山营镇水峪村A-01等地块B14旅馆用地、U21排水设施用地</t>
  </si>
  <si>
    <t>延庆区张山营镇水峪村</t>
  </si>
  <si>
    <t>京土整储招(延)[2018]*003号</t>
  </si>
  <si>
    <t>B14旅馆用地、U21排水设施用地</t>
  </si>
  <si>
    <t>2018-03-01</t>
  </si>
  <si>
    <t>北京辉煌益境房地产开发有限公司</t>
  </si>
  <si>
    <t>北京市门头沟区永定镇MC00-0018-0060、0061地块B4综合性商业金融服务业用地</t>
  </si>
  <si>
    <t>京土整储挂(门)[2018]002号</t>
  </si>
  <si>
    <t>2018-02-28</t>
  </si>
  <si>
    <t>金融街融辰(北京)置业有限公司和北京市京西置地有限责任公司联合体</t>
  </si>
  <si>
    <t>北京市通州区台湖镇YZ00-0405-0078、0079、0081地块R2二类居住用地</t>
  </si>
  <si>
    <t>京土整储挂(通)[2017]118号</t>
  </si>
  <si>
    <t>2018-02-06</t>
  </si>
  <si>
    <t>北京住总置业有限公司和北京住总房地产开发有限责任公司联合体</t>
  </si>
  <si>
    <t>北京市平谷区兴谷街道PG-0007-6004、6008地块R2二类居住用地、PG-0007-6003地块A33基础教育用地</t>
  </si>
  <si>
    <t>平谷区兴谷街道</t>
  </si>
  <si>
    <t>京土整储挂(平)[2017]120号</t>
  </si>
  <si>
    <t>北京金科展昊置业有限公司</t>
  </si>
  <si>
    <t>北京市门头沟区永定镇曹各庄桥户营村MC00-0016-063地块F1住宅混合公建用地、MC00-0016-064地块</t>
  </si>
  <si>
    <t>北京市门头沟区永定镇</t>
  </si>
  <si>
    <t>京土整储挂(门)[2017]119号</t>
  </si>
  <si>
    <t>F1住宅混合公建用地、R2二类居住用地</t>
  </si>
  <si>
    <t>北京市门头沟区永定镇岢罗坨、秋坡、石佛村MC00-0500-0009、0010、0013地块R2二类居住用地</t>
  </si>
  <si>
    <t>门头沟区永定镇岢罗坨、秋坡、石佛村</t>
  </si>
  <si>
    <t>京土整储挂(门)[2017]116号</t>
  </si>
  <si>
    <t>2018-02-02</t>
  </si>
  <si>
    <t>中国电建地产集团有限公司、山西建设投资集团有限公司、北京金地驰创投资咨询有限公司和隆泰实业(北京)有限公司联合体</t>
  </si>
  <si>
    <t>北京市大兴区庞各庄镇PGZ02-21地块R2二类居住用地</t>
  </si>
  <si>
    <t>京土整储挂(兴)[2017]115号</t>
  </si>
  <si>
    <t>北京市门头沟区永定镇岢罗坨、秋坡、石佛村MC00-0500-0004、0007、0011、0008、0012、0014、MC00-0600-0004、0006、0008、0009、0031地块B1商业用地、F3其他类多功能用地、R2二类居住用地、A334基础教育用地</t>
  </si>
  <si>
    <t>京土整储挂(门)[2017]117号</t>
  </si>
  <si>
    <t>B1商业用地、F3其他类多功能用地、R2二类居住用地、A334基础教育用地</t>
  </si>
  <si>
    <t>隆泰实业(北京)有限公司和中国电建地产集团有限公司联合体</t>
  </si>
  <si>
    <t>北京市丰台区卢沟桥乡小瓦窑村XWY-01地块R2二类居住用地</t>
  </si>
  <si>
    <t>京土整储挂(丰)[2017]112号</t>
  </si>
  <si>
    <t>2018-01-30</t>
  </si>
  <si>
    <t>上海穆捷投资管理有限公司和北京国瑞恒祥置业有限公司联合体</t>
  </si>
  <si>
    <t>北京市大兴区黄村镇三合庄0202-0206、0202-0208地块F1住宅混合公建用地</t>
  </si>
  <si>
    <t>京土整储挂(兴)[2017]114号</t>
  </si>
  <si>
    <t>招商局地产(北京)有限公司和北京永世同创信息咨询有限公司联合体</t>
  </si>
  <si>
    <t>北京市朝阳区豆各庄乡水牛坊村1306-635地块R2二类居住用地、1306-636地块A8社区综合服务用地</t>
  </si>
  <si>
    <t>朝阳区豆各庄乡</t>
  </si>
  <si>
    <t>京土整储挂(朝)[2017]105号</t>
  </si>
  <si>
    <t>R2二类居住用地、A8社区综合服务用地</t>
  </si>
  <si>
    <t>2018-01-25</t>
  </si>
  <si>
    <t>中铁房地产集团北方有限公司</t>
  </si>
  <si>
    <t>北京市怀柔区富密路289号HR-0014-0022地块R2二类居住用地</t>
  </si>
  <si>
    <t>怀柔区富密路</t>
  </si>
  <si>
    <t>京土整储招(怀)[2017]111*号</t>
  </si>
  <si>
    <t>2018-01-18</t>
  </si>
  <si>
    <t>北京京粮置业有限公司</t>
  </si>
  <si>
    <t>北京市大兴区黄村镇DX00-0103-1304地块R2二类居住用地</t>
  </si>
  <si>
    <t>京土整储招(兴)[2017]110*号</t>
  </si>
  <si>
    <t>北京三元德宏房地产开发有限公司</t>
  </si>
  <si>
    <t>北京市昌平区沙河镇丽春湖LCH-010等地块R2二类居住用地、F1住宅混合公建用地、B4综合性商业金融服务业用地、A33基础教育用地</t>
  </si>
  <si>
    <t>京土整储挂(昌)[2017]103号</t>
  </si>
  <si>
    <t>R2二类居住用地、F1住宅混合公建用地、B4综合性商业金融服务业用地、A33基础教育用地</t>
  </si>
  <si>
    <t>2018-01-17</t>
  </si>
  <si>
    <t>北京市朝阳孙河乡北甸西村2902-14地块R2二类居住用地</t>
  </si>
  <si>
    <t>京土整储挂(朝)[2017]102号</t>
  </si>
  <si>
    <t>北京乐优富拓投资有限公司和北京燕都水郡房地产开发有限公司联合体</t>
  </si>
  <si>
    <t>北京市昌平区北七家镇(未来科学城南区)C-16、CP07-0600-0023-2、0024、0025、0041-2、0042、0043地块R2二类居住用地、F3其他类多功能用地</t>
  </si>
  <si>
    <t>昌平区北七家镇</t>
  </si>
  <si>
    <t>京土整储挂(昌)[2017]101号</t>
  </si>
  <si>
    <t>R2二类居住用地、F3其他类多功能用地</t>
  </si>
  <si>
    <t>2018-01-12</t>
  </si>
  <si>
    <t>北京未来科学城昌泰置业有限公司</t>
  </si>
  <si>
    <t>北京市海淀区“海淀北部地区整体开发”翠湖科技园HD00-0303-6022地块R2二类居住用地</t>
  </si>
  <si>
    <t>海淀区温泉镇</t>
  </si>
  <si>
    <t>京土整储挂(海)[2017]100号</t>
  </si>
  <si>
    <t>中国葛洲坝集团房地产开发有限公司</t>
  </si>
  <si>
    <t>北京市石景山区中关村科技园区石景山园北I区1605-636地块B23研发设计用地</t>
  </si>
  <si>
    <t>石景山区中关村科技园区石景山园北I区</t>
  </si>
  <si>
    <t>京土整储挂(石)[2017]098号</t>
  </si>
  <si>
    <t>B23研发设计用地</t>
  </si>
  <si>
    <t>2018-01-09</t>
  </si>
  <si>
    <t>北京保险产业园投资控股有限责任公司和北京保汇置业发展有限公司联合体</t>
  </si>
  <si>
    <t>办公50年</t>
  </si>
  <si>
    <t>北京市石景山区中关村科技园区石景山园北I区1605-651地块B23研发设计用地</t>
  </si>
  <si>
    <t>京土整储挂(石)[2017]099号</t>
  </si>
  <si>
    <t>北京京石科园置业发展有限公司</t>
  </si>
  <si>
    <t>北京市平谷区金海湖镇韩庄村PG06-0100-6001、6002、6004、C-008、C-012地块B1商业用地</t>
  </si>
  <si>
    <t>平谷区金海湖镇韩庄村</t>
  </si>
  <si>
    <t>京土整储招(平)[2017]104号</t>
  </si>
  <si>
    <t>2018-01-08</t>
  </si>
  <si>
    <t>北京瑞元丰吉置业有限公司</t>
  </si>
  <si>
    <t>北京市丰台区城乡一体化槐房村和新宫村旧村改造项目二期(第七宗)NY-001等地块R2二类居住用地、A33基础教育用地</t>
  </si>
  <si>
    <t>丰台区南苑乡槐房村、新宫村</t>
  </si>
  <si>
    <t>京土整储挂(丰)[2017]095号</t>
  </si>
  <si>
    <t>2018-01-04</t>
  </si>
  <si>
    <t>中国电建地产集团有限公司</t>
  </si>
  <si>
    <t>北京市朝阳区孙河乡北甸西村、北甸东村、西甸村2902-46地块R2二类居住用地</t>
  </si>
  <si>
    <t>京土整储挂(朝)[2017]096号</t>
  </si>
  <si>
    <t>北京中瑞凯华投资管理有限公司和北京德俊置业有限公司联合体</t>
  </si>
  <si>
    <t>北京市密云区檀营乡MY00-0103-6002地块R2二类居住用地</t>
  </si>
  <si>
    <t>密云区密云新城</t>
  </si>
  <si>
    <t>京土整储挂(密)[2017]097号</t>
  </si>
  <si>
    <t>北京京投置地房地产有限公司</t>
  </si>
  <si>
    <t>北京市海淀区苏州街站一体化棚户区改造项目前期工作及拟改造土地使用权</t>
  </si>
  <si>
    <t>北京市海淀区海淀南路12号院,海淀区中关村西区苏州街和海淀南路交界处东南角</t>
  </si>
  <si>
    <t>京土棚改招(海)[2017]001号</t>
  </si>
  <si>
    <t>2017-12-29</t>
  </si>
  <si>
    <t>北京城投地下空间开发建设有限公司</t>
  </si>
  <si>
    <t>顺义新城第14街区SY00-0014-6001M1一类工业用地项目</t>
  </si>
  <si>
    <t>顺义新城第14街区</t>
  </si>
  <si>
    <t>京土整储挂(顺)工业[2017]004号</t>
  </si>
  <si>
    <t>M1一类工业用地</t>
  </si>
  <si>
    <t>2017-12-25</t>
  </si>
  <si>
    <t>北京星汉特种印刷有限公司</t>
  </si>
  <si>
    <t>北京市昌平区北七家镇CP07-0203-0007等地块R2二类居住用地、A33基础教育用地</t>
  </si>
  <si>
    <t>昌平区北七家镇中心区,定泗路以南</t>
  </si>
  <si>
    <t>京土整储挂(昌)[2017]093号</t>
  </si>
  <si>
    <t>2017-12-21</t>
  </si>
  <si>
    <t>北京北辰地产集团有限公司和北京金隅地产开发集团有限公司联合体</t>
  </si>
  <si>
    <t>北京市顺义区牛栏山镇SY00-0017-6001等地块B1商业用地、R2二类居住用地、F1住宅混合公建用地</t>
  </si>
  <si>
    <t>京土整储挂(顺)[2017]092号</t>
  </si>
  <si>
    <t>B1商业用地R2二类居住用地F1住宅混合公建用地</t>
  </si>
  <si>
    <t>2017-12-14</t>
  </si>
  <si>
    <t>北京亚通房地产开发有限责任公司(石榴)</t>
  </si>
  <si>
    <t>北京市延庆区延庆新城03街区会展中心东侧一期YQ00-0003-0002等地块二类居住、供电、环卫设施及基础教育用地</t>
  </si>
  <si>
    <t>延庆区延庆新城</t>
  </si>
  <si>
    <t>京土整储挂(延)[2017]091号</t>
  </si>
  <si>
    <t>R2二类居住用地、U12供电用地、U22环卫设施用地、A33基础教育用地</t>
  </si>
  <si>
    <t>综合容积率2.2,详情请见挂牌文件</t>
  </si>
  <si>
    <t>北京富力城房地产开发有限公司和中交地产股份有限公司联合体</t>
  </si>
  <si>
    <t>北京市朝阳区豆各庄乡马家湾村1306-606地块R2二类居住用地</t>
  </si>
  <si>
    <t>京土整储挂(朝)[2017]090号</t>
  </si>
  <si>
    <t>北京市房山区阎村镇LX14-0602等地块R2二类居住用地、S4社会停车场用地、A33基础教育用地</t>
  </si>
  <si>
    <t>房山区阎村镇、拱辰街道办事处</t>
  </si>
  <si>
    <t>京土整储挂(房)[2017]089号</t>
  </si>
  <si>
    <t>R2二类居住用地、S4社会停车场用地、A33基础教育用地</t>
  </si>
  <si>
    <t>2017-12-07</t>
  </si>
  <si>
    <t>北京金隅地产开发集团有限公司</t>
  </si>
  <si>
    <t>北京市房山区良乡镇中心区01-17-02等地块R2二类居住用地、B1商业用地</t>
  </si>
  <si>
    <t>房山区良乡镇</t>
  </si>
  <si>
    <t>京土整储挂(房)[2017]088号</t>
  </si>
  <si>
    <t>R2二类居住用地、B1商业用地</t>
  </si>
  <si>
    <t>北京金融街京西置业有限公司</t>
  </si>
  <si>
    <t>北京市海淀区“海淀北部地区整体开发”西北旺镇亮甲店村HD00-0404-0010、6015、6016、6003、6004地块A2文化设施用地、R2二类居住用地、F1住宅混合公建用地</t>
  </si>
  <si>
    <t>海淀北部地区西北旺镇亮甲店村村东</t>
  </si>
  <si>
    <t>京土整储挂(海)[2017]086号</t>
  </si>
  <si>
    <t>A2文化设施用地、R2二类居住用地、F1住宅混合公建用地</t>
  </si>
  <si>
    <t>2017-11-16</t>
  </si>
  <si>
    <t>北京紫光科城科技发展有限公司</t>
  </si>
  <si>
    <t>北京市海淀区西八里庄0711-653地块B4综合性商业金融服务业用地</t>
  </si>
  <si>
    <t>海淀区玲珑巷地区</t>
  </si>
  <si>
    <t>京土整储挂(海)[2017]087号</t>
  </si>
  <si>
    <t>中国电子科技集团公司</t>
  </si>
  <si>
    <t>北京市石景山区鲁谷路1614-631地块(银河商务区L地块)B4综合性商业金融服务业用地</t>
  </si>
  <si>
    <t>石景山区鲁谷地区</t>
  </si>
  <si>
    <t>京土整储挂(石)[2017]084号</t>
  </si>
  <si>
    <t>2017-11-14</t>
  </si>
  <si>
    <t>天安人寿保险股份有限公司和北京保险产业园投资控股有限责任公司联合体</t>
  </si>
  <si>
    <t>北京市石景山区五里坨建设组团二1601-053地块等F3其他类多功能用地、R2二类居住用地、A334基础教育用地</t>
  </si>
  <si>
    <t>石景山区五里坨地区</t>
  </si>
  <si>
    <t>京土整储挂(石)[2017]083号</t>
  </si>
  <si>
    <t>F3其他类多功能用地、R2二类居住用地、A334基础教育用地</t>
  </si>
  <si>
    <t>北京万湖企业管理有限公司、北京盛新置业有限公司和廊坊市卓越锦华房地产开发有限公司联合体</t>
  </si>
  <si>
    <t>北京市丰台区丽泽金融商务区南区D-02地块B4综合性商业金融服务业用地</t>
  </si>
  <si>
    <t>京土整储挂(丰)[2017]085号</t>
  </si>
  <si>
    <t>华夏人寿保险股份有限公司北京分公司</t>
  </si>
  <si>
    <t>北京市大兴区魏善庄镇2016年世界月季大会周边配套(国家新媒体产业基地B组团)土地一级开发项目AA-43(DX07-0102-6011)地块R2二类居住用地</t>
  </si>
  <si>
    <t>京土整储挂(兴)[2017]081号</t>
  </si>
  <si>
    <t>2017-11-07</t>
  </si>
  <si>
    <t>北京首都开发股份有限公司和保利(北京)房地产开发有限公司联合体</t>
  </si>
  <si>
    <t>北京市昌平区北七家镇(未来科技城南区)C-52地块R2二类居住用地</t>
  </si>
  <si>
    <t>昌平区北七家镇东部</t>
  </si>
  <si>
    <t>京土整储挂(昌)[2017]080号</t>
  </si>
  <si>
    <t>北京市石景山区五里坨建设组团一(1601-029)等地块R2二类居住用地、F1住宅混合公建用地、F3其他类多功能用地、B4综合性商业金融服务业用地、A334基础教育用地</t>
  </si>
  <si>
    <t>京土整储挂(石)[2017]082号</t>
  </si>
  <si>
    <t>R2二类居住用地、F1住宅混合公建用地、F3其他类多功能用地、A334基础教育用地、B4综合性商业金融服务业用地</t>
  </si>
  <si>
    <t>杭州胜拓投资有限公司</t>
  </si>
  <si>
    <t>北京市朝阳区东坝乡驹子房村1109-663地块R2二类居住用地</t>
  </si>
  <si>
    <t>京土整储挂(朝)[2017]077号</t>
  </si>
  <si>
    <t>2017-11-03</t>
  </si>
  <si>
    <t>天恒+旭辉+首开+房地</t>
  </si>
  <si>
    <t>北京市海淀区&amp;quot;海淀北部地区整体开发”西北旺镇亮甲店村HD00-0404-6005、6006地块R2二类居住用地</t>
  </si>
  <si>
    <t>京土整储挂(海)[2017]078号</t>
  </si>
  <si>
    <t>中铁置业集团北京有限公司和北京建工地产有限责任公司联合体</t>
  </si>
  <si>
    <t>北京市顺义区后沙峪镇马头庄村SY00-0019-6005地块B1商业用地、SY00-0019-6006地块R2二类居住用地</t>
  </si>
  <si>
    <t>京土整储挂(顺)[2017]076号</t>
  </si>
  <si>
    <t>B1商业用地、R2二类居住用地</t>
  </si>
  <si>
    <t>2017-10-30</t>
  </si>
  <si>
    <t>中粮地产(北京)有限公司、北京天恒正同资产管理有限公司、北京旭辉企业管理有限公司和北京盛平置业有限公司联合体</t>
  </si>
  <si>
    <t>北京市房山区西潞街道FS00-LX06-0136、0137地块F2公建混合住宅用地</t>
  </si>
  <si>
    <t>房山区西潞街道</t>
  </si>
  <si>
    <t>京土整储挂(房)[2017]074号</t>
  </si>
  <si>
    <t>北京市大兴区黄村镇DX00-0301-0029等地块R2二类居住用地、F3其他类多功能用地、A33基础教育用地</t>
  </si>
  <si>
    <t>京土整储挂(兴)[2017]075号</t>
  </si>
  <si>
    <t>R2二类居住用地、F3其他类多功能用地、A33基础教育用地</t>
  </si>
  <si>
    <t>北京金地远景企业管理咨询有限公司</t>
  </si>
  <si>
    <t>北京经济技术开发区河西区X90R2、X90A1地块R2二类居住用地、A33基础教育用地</t>
  </si>
  <si>
    <t>北京经济技术开发区河西区X90R2、X90A1地块</t>
  </si>
  <si>
    <t>京土整储挂(开)[2017]073号</t>
  </si>
  <si>
    <t>2017-10-25</t>
  </si>
  <si>
    <t>北京金隅大成开发有限公司</t>
  </si>
  <si>
    <t>北京市昌平区北七家镇东三旗村011地块R2二类居住用地</t>
  </si>
  <si>
    <t>昌平区北七家镇立汤路东侧、东三旗村的东北部</t>
  </si>
  <si>
    <t>京土整储挂(昌)[2017]071号</t>
  </si>
  <si>
    <t>北京首都开发股份有限公司、保利(北京)房地产开发有限公司和北京金地明城投资咨询有限公司联合体</t>
  </si>
  <si>
    <t>北京经济技术开发区河西区X90R1、X90S1地块R2二类居住用地、S4社会停车场用地</t>
  </si>
  <si>
    <t>北京经济技术开发区河西区X90R1、X90S1地块</t>
  </si>
  <si>
    <t>京土整储挂(开)[2017]072号</t>
  </si>
  <si>
    <t>R2二类居住用地、S4社会停车场用地</t>
  </si>
  <si>
    <t>北京博大新元房地产开发有限公司</t>
  </si>
  <si>
    <t>北京经济技术开发区河西区X94R1地块R2二类居住用地</t>
  </si>
  <si>
    <t>北京经济技术开发区河西区X94R1地块</t>
  </si>
  <si>
    <t>京土整储挂(开)[2017]069</t>
  </si>
  <si>
    <t>2017-10-11</t>
  </si>
  <si>
    <t>保利(北京)房地产开发有限公司、北京首都开发股份有限公司和北京创嘉兴业科技有限公司联合体</t>
  </si>
  <si>
    <t>北京市海淀区四道口地区I地块F1住宅混合公建用地</t>
  </si>
  <si>
    <t>海淀区四道口</t>
  </si>
  <si>
    <t>京土整储挂(海)[2017]067号</t>
  </si>
  <si>
    <t>北京天恒正同资产管理有限公司</t>
  </si>
  <si>
    <t>北京市通州区西集镇西集村TZ07-0103-0019、0029地块R2二类居住用地、TZ07-0103-0020地块B1商业用地</t>
  </si>
  <si>
    <t>通州区西集镇西集村</t>
  </si>
  <si>
    <t>京土整储挂(通)[2017]068号</t>
  </si>
  <si>
    <t>北京德俊置业有限公司、北京房地置业发展有限公司、北京新奥集团有限公司和北京首都开发股份有限公司联合体</t>
  </si>
  <si>
    <t>大兴新城东南片区DX00-0605-0013地块工业用地</t>
  </si>
  <si>
    <t>京土整储挂(兴)工业[2017]002号</t>
  </si>
  <si>
    <t>2017-10-10</t>
  </si>
  <si>
    <t>北京航天控制仪器研究所</t>
  </si>
  <si>
    <t/>
  </si>
  <si>
    <t>北京市通州区通州新城0204街区TZ00-0024-0006、0007地块R2二类居住用地</t>
  </si>
  <si>
    <t>通州区宋庄镇疃里村</t>
  </si>
  <si>
    <t>京土整储挂(通)[2017]066号</t>
  </si>
  <si>
    <t>2017-09-21</t>
  </si>
  <si>
    <t>北京首都开发股份有限公司和北京新奥集团有限公司联合体</t>
  </si>
  <si>
    <t>北京市丰台区城乡一体化西局村旧村改造项目三期0611-638地块R2二类居住用地</t>
  </si>
  <si>
    <t>丰台区卢沟桥乡西局村</t>
  </si>
  <si>
    <t>京土整储挂(丰)[2017]065号</t>
  </si>
  <si>
    <t>致昌(北京)企业管理有限公司</t>
  </si>
  <si>
    <t>北京市延庆区延庆新城YQ00-0300-0004等地块(世园会一期)其他类多功能、综合性商业金融服务业、公建混合住宅、二类居住、供应设施及基础教育用地</t>
  </si>
  <si>
    <t>京土整储挂(延)[2017]064号</t>
  </si>
  <si>
    <t>F3其他类多功能用地、B4综合性商业金融服务业用地、F2公建混合住宅用地、R2二类居住用地、U1供应设施用地、A33基础教育用地</t>
  </si>
  <si>
    <t>综合容积率:0.972</t>
  </si>
  <si>
    <t>2017-09-13</t>
  </si>
  <si>
    <t>北京世园投资发展有限责任公司</t>
  </si>
  <si>
    <t>北京市石景山区东下庄1605-630地块R2二类居住用地</t>
  </si>
  <si>
    <t>石景山区东下庄</t>
  </si>
  <si>
    <t>京土整储挂(石)[2017]063号</t>
  </si>
  <si>
    <t>北京建工地产有限责任公司和北京天恒正同资产管理有限公司联合体</t>
  </si>
  <si>
    <t>北京市朝阳区孙河乡北甸西村、西甸村2902-29地块R2二类居住用地、2902-17地块A8社区综合服务设施用地、2902-15地块A334托幼用地</t>
  </si>
  <si>
    <t>京土整储挂(朝)[2017]061号</t>
  </si>
  <si>
    <t>R2二类居住用地、A8社区综合服务设施用地、A334托幼用地</t>
  </si>
  <si>
    <t>2017-09-07</t>
  </si>
  <si>
    <t>张家口鸿运房地产开发有限公司</t>
  </si>
  <si>
    <t>北京市门头沟区龙泉镇MC00-0010-6004地块B2商务用地</t>
  </si>
  <si>
    <t>门头沟区龙泉镇</t>
  </si>
  <si>
    <t>京土整储挂(门)[2017]062号</t>
  </si>
  <si>
    <t>B2商务用地</t>
  </si>
  <si>
    <t>北京象地房地产开发有限公司</t>
  </si>
  <si>
    <t>北京经济技术开发区核心区55M4-2地块</t>
  </si>
  <si>
    <t>京开国土挂[2017]3号</t>
  </si>
  <si>
    <t>2017-08-17</t>
  </si>
  <si>
    <t>北京京东方光电科技有限公司</t>
  </si>
  <si>
    <t>怀柔区怀柔镇张各长村HR00-0004-6002、6003、6004地块F2公建混合住宅用地</t>
  </si>
  <si>
    <t>怀柔区怀柔镇张各长村</t>
  </si>
  <si>
    <t>京土整储挂(怀)[2017]059号</t>
  </si>
  <si>
    <t>2017-08-11</t>
  </si>
  <si>
    <t>北京科技园置地有限公司和北京北控城市开发有限公司联合体</t>
  </si>
  <si>
    <t>怀柔区怀柔镇张各长村HR00-0004-6001地块F2公建混合住宅用地</t>
  </si>
  <si>
    <t>京土整储挂(怀)[2017]060号</t>
  </si>
  <si>
    <t>北京碧桂园阳光置业发展有限公司</t>
  </si>
  <si>
    <t>海淀区“海淀北部地区整体开发”翠湖科技园HD00-0303-6009、6010地块R2二类居住用地</t>
  </si>
  <si>
    <t>京土整储挂(海)[2017]055号</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</si>
  <si>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</si>
  <si>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</si>
  <si>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</si>
  <si>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</si>
  <si>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京土整储挂(海)[2017]056号</t>
  </si>
  <si>
    <t>6019:2;6020:1.8</t>
  </si>
  <si>
    <t>北京万翰企业管理有限公司和深圳安创投资管理有限公司联合体</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</si>
  <si>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</si>
  <si>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</si>
  <si>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</si>
  <si>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</si>
  <si>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北京经济技术开发区路东区C14C-1、C14C-2、C14S-1地块B4综合性商业金融服务业用地及S41公用停车场用地</t>
  </si>
  <si>
    <t>北京经济技术开发区路东区C14C-1、C14C-2、C14S-1地块</t>
  </si>
  <si>
    <t>京土整储挂(开)[2017]058号</t>
  </si>
  <si>
    <t>北京联茂方泰房地产开发有限公司(京东)</t>
  </si>
  <si>
    <t>平谷区夏各庄镇03-12、03-16地块R2二类居住用地</t>
  </si>
  <si>
    <t>夏各庄镇夏各庄村</t>
  </si>
  <si>
    <t>京土整储挂(平)[2017]054号</t>
  </si>
  <si>
    <t>2017-08-04</t>
  </si>
  <si>
    <t>大兴区黄村镇DX00-0102-0901地块F1住宅混合公建用地</t>
  </si>
  <si>
    <t>大兴区黄村镇饮马井、义和庄村</t>
  </si>
  <si>
    <t>京土整储挂(兴)[2017]053号</t>
  </si>
  <si>
    <t>远洋地产有限公司</t>
  </si>
  <si>
    <t>平谷区夏各庄镇03-11、03-13、03-14地块R2二类居住用地、A33基础教育用地</t>
  </si>
  <si>
    <t>京土整储挂(平)[2017]052号</t>
  </si>
  <si>
    <t>2017-08-01</t>
  </si>
  <si>
    <t>平谷区夏各庄镇03-04地块R2二类居住用地</t>
  </si>
  <si>
    <t>京土整储挂(平)[2017]051号</t>
  </si>
  <si>
    <t>东城区永外大街0503-602北、606东、606西地块R2二类居住用地、B4综合性商业金融服务业用地</t>
  </si>
  <si>
    <t>东城区</t>
  </si>
  <si>
    <t>东城区永定门外地区</t>
  </si>
  <si>
    <t>京土整储挂(东)[2017]050号</t>
  </si>
  <si>
    <t>北京润置商业运营管理有限公司、招商局地产(北京)有限公司和北京碧桂园广盈置业发展有限公司联合体</t>
  </si>
  <si>
    <t>大兴区瀛海镇YZ00-0803-0512、YZ00-0803-0514、C07-3地块R2二类居住用地、A33基础教育用地</t>
  </si>
  <si>
    <t>京土整储挂(兴)[2017]047号</t>
  </si>
  <si>
    <t>r2:2;a33:0.8</t>
  </si>
  <si>
    <t>2017-07-27</t>
  </si>
  <si>
    <t>北京中瑞凯华投资管理有限公司、北京德俊置业有限公司和上海骞乐企业管理有限公司联合体</t>
  </si>
  <si>
    <t>大兴区黄村镇DX00-0102-0702地块F1住宅混合公建用地</t>
  </si>
  <si>
    <t>京土整储挂(兴)[2017]048号</t>
  </si>
  <si>
    <t>北京融平企业管理服务有限公司</t>
  </si>
  <si>
    <t>昌平区北七家镇003、CP07-0204-0001、010、013地块B4综合性商业金融服务业用地、A61机构养老设施用地、R2二类居住用地、A33基础教育用地</t>
  </si>
  <si>
    <t>京土整储挂(昌)[2017]049号</t>
  </si>
  <si>
    <t>B4综合性商业金融服务业用地、A61机构养老设施用地、R2二类居住用地、A33基础教育用地</t>
  </si>
  <si>
    <t>大兴区黄村镇DX00-0102-0802地块F1住宅混合公建用地</t>
  </si>
  <si>
    <t>京土整储挂(兴)[2017]044号</t>
  </si>
  <si>
    <t>2017-07-25</t>
  </si>
  <si>
    <t>昌平区北七家镇009地块R2二类居住用地</t>
  </si>
  <si>
    <t>京土整储挂(昌)[2017]045号</t>
  </si>
  <si>
    <t>北京未来科技城昌远置业有限公司</t>
  </si>
  <si>
    <t>平谷区马坊镇梨羊村PG05-0108-0001地块R2二类居住用地</t>
  </si>
  <si>
    <t>平谷区马坊镇梨羊村</t>
  </si>
  <si>
    <t>京土整储挂(平)[2017]046号</t>
  </si>
  <si>
    <t>大兴区瀛海镇C4组团YZ00-0803-0602地块F2公建混合住宅用地</t>
  </si>
  <si>
    <t>大兴区瀛海镇区C4组团</t>
  </si>
  <si>
    <t>京土整储挂(兴)[2017]043号</t>
  </si>
  <si>
    <t>2017-07-18</t>
  </si>
  <si>
    <t>北京中海地产有限公司、保利(北京)房地产开发有限公司联合体</t>
  </si>
  <si>
    <t>房山区周口店镇02-0001等地块R2二类居住用地</t>
  </si>
  <si>
    <t>房山区周口店镇</t>
  </si>
  <si>
    <t>京土整储挂(房)[2017]042号</t>
  </si>
  <si>
    <t>北京万科企业有限公司和深圳安创投资管理有限公司联合体</t>
  </si>
  <si>
    <t>丰台区西铁营村0501-634等地块F1住宅混合公建用地、B4综合性商业金融服务业用地、A33基础教育用地</t>
  </si>
  <si>
    <t>丰台区玉泉营桥东北侧</t>
  </si>
  <si>
    <t>京土整储挂(丰)[2017]041号</t>
  </si>
  <si>
    <t>F1住宅混合公建用地、B4综合性商业金融服务业用地、A33基础教育用地</t>
  </si>
  <si>
    <t>f1:3;a33:0.8;b4:3.5</t>
  </si>
  <si>
    <t>北京和茂置业有限公司、上海旭尧企业管理有限公司和北京国瑞兴业房地产控股有限公司联合体</t>
  </si>
  <si>
    <t>顺义区后沙峪镇SY00-0019-6001、6003地块R2二类居住用地、SY00-0019-6004地块B1商业用地</t>
  </si>
  <si>
    <t>顺义区后沙峪镇,顺义新城第19街区</t>
  </si>
  <si>
    <t>京土整储挂(顺)[2017]040号</t>
  </si>
  <si>
    <t>r2:1.8;b1:2</t>
  </si>
  <si>
    <t>2017-07-13</t>
  </si>
  <si>
    <t>北京市怀柔区庙城中学北棚户区改造前期工作及拟改造土地使用权</t>
  </si>
  <si>
    <t>怀柔区庙城镇</t>
  </si>
  <si>
    <t>京土棚改招(怀)[2017]001号</t>
  </si>
  <si>
    <t>二类居住用地及托幼用地</t>
  </si>
  <si>
    <t>2017-06-23</t>
  </si>
  <si>
    <t>北京银地澜湾置业有限责任公司</t>
  </si>
  <si>
    <t>住宅70年、教育50年</t>
  </si>
  <si>
    <t>房山区青龙湖镇东部局部FS16-0201-0012等地块二类居住及基础教育用地</t>
  </si>
  <si>
    <t>京土整储挂(房)[2017]039号</t>
  </si>
  <si>
    <t>2017-06-22</t>
  </si>
  <si>
    <t>北京青龙湖腾翔房地产开发有限公司、北京万科企业有限公司、北京龙湖中佰置业有限公司和北京首都开发股份有限公司联合体</t>
  </si>
  <si>
    <t>顺义区高丽营镇于庄03-21、03-31地块R2二类居住用地</t>
  </si>
  <si>
    <t>京土整储挂(顺)[2017]038号</t>
  </si>
  <si>
    <t>北京万科企业有限公司、北京华美恒升房地产开发有限公司、北京龙湖中佰置业有限公司和北京首都开发股份有限公司联合体</t>
  </si>
  <si>
    <t>丰台区卢沟桥乡城乡一体化周庄子村旧村改造(一期)ZZZ-L05等地块</t>
  </si>
  <si>
    <t>丰台区卢沟桥乡周庄子村</t>
  </si>
  <si>
    <t>京土整储挂(丰)[2017]037号</t>
  </si>
  <si>
    <t>R2二类居住用地、F81绿隔产业用地、A2文化设施用地、A33基础教育用地</t>
  </si>
  <si>
    <t>2017-06-14</t>
  </si>
  <si>
    <t>金融街广安(北京)置业有限公司</t>
  </si>
  <si>
    <t>丰台区城乡一体化槐房村新宫村旧村改造二期NY-016等地块</t>
  </si>
  <si>
    <t>丰台区南苑乡</t>
  </si>
  <si>
    <t>京土整储挂(丰)[2017]036号</t>
  </si>
  <si>
    <t>R2二类居住用地、B4综合性商业金融服务业用地、F3其他类多功能用地</t>
  </si>
  <si>
    <t>2017-05-25</t>
  </si>
  <si>
    <t>中粮地产(北京)有限公司、北京中海地产有限公司、保利(北京)房地产开发有限公司和北京天恒正同资产管理有限公司联合体</t>
  </si>
  <si>
    <t>大兴区黄村镇孙村组团D-07B1地块</t>
  </si>
  <si>
    <t>大兴区黄村镇孙村组团</t>
  </si>
  <si>
    <t>京土整储挂(兴)工业[2017]001号</t>
  </si>
  <si>
    <t>2017-05-22</t>
  </si>
  <si>
    <t>呷哺呷哺餐饮管理有限公司</t>
  </si>
  <si>
    <t>丰台区丽泽金融商务区南区D-07、D-08地块</t>
  </si>
  <si>
    <t>京土整储挂(丰)[2017]035号</t>
  </si>
  <si>
    <t>2017-05-18</t>
  </si>
  <si>
    <t>北京润置商业运营管理有限公司、北京首都开发股份有限公司、北京宸茂置业有限公司和北京金唐天润传媒发展有限公司联合体</t>
  </si>
  <si>
    <t>通州区马驹桥镇YZ00-0606-0014地块</t>
  </si>
  <si>
    <t>北京通州物流基地内</t>
  </si>
  <si>
    <t>京土整储挂(通)[2017]033号</t>
  </si>
  <si>
    <t>2017-05-12</t>
  </si>
  <si>
    <t>北京北建通成国际物流有限公司</t>
  </si>
  <si>
    <t>顺义区高丽营镇02-08-01、02-08-02地块</t>
  </si>
  <si>
    <t>顺义区高丽营镇西北部</t>
  </si>
  <si>
    <t>京土整储挂(顺)[2017]032号</t>
  </si>
  <si>
    <t>2017-05-05</t>
  </si>
  <si>
    <t>北京首都开发股份有限公司和北京富力通达房地产开发有限公司联合体</t>
  </si>
  <si>
    <t>房山区长阳镇FS00-LX10-0092等地块</t>
  </si>
  <si>
    <t>房山新城良乡组团东部</t>
  </si>
  <si>
    <t>京土整储挂(房)[2017]031号</t>
  </si>
  <si>
    <t>B4综合性商业金融服务业用地、S41公用停车场用地、G3广场用地、F3其他类多功能用地</t>
  </si>
  <si>
    <t>北京市房山新城建设工程有限责任公司、北京碧水京良水务有限公司、北京高能长阳环境修复有限公司、北京泰岳阳光科技有限公司、北京钧诚企业管理有限公司和北京云子企业管理有限公司联合体</t>
  </si>
  <si>
    <t>顺义区天竺综合保税区3-4(C12地块局部)地块</t>
  </si>
  <si>
    <t>顺义区天竺综合保税区(即顺义新城第26街区南部)</t>
  </si>
  <si>
    <t>京土整储挂(顺)工业[2017]002</t>
  </si>
  <si>
    <t>W2普通仓储用地</t>
  </si>
  <si>
    <t>2017-05-04</t>
  </si>
  <si>
    <t>经纬供应链管理(北京)有限公司</t>
  </si>
  <si>
    <t>密云区密云新城0102街区MY00-0102-6002地块(原上好家园)</t>
  </si>
  <si>
    <t>京土整储挂(密)[2017]030号</t>
  </si>
  <si>
    <t>2017-05-03</t>
  </si>
  <si>
    <t>北京顺碧投资有限公司</t>
  </si>
  <si>
    <t>朝阳区孙河乡西甸村2902-86地块</t>
  </si>
  <si>
    <t>朝阳区孙河乡西甸村</t>
  </si>
  <si>
    <t>京土整储挂(朝)[2017]029号</t>
  </si>
  <si>
    <t>中粮地产(北京)有限公司、北京天恒正同资产管理有限公司和北京辉广企业管理有限公司联合体</t>
  </si>
  <si>
    <t>丰台区城乡一体化槐房村新宫村旧村改造二期NY-005、006地块</t>
  </si>
  <si>
    <t>南苑乡槐房村、新宫村</t>
  </si>
  <si>
    <t>京土整储挂(丰)[2017]*026号</t>
  </si>
  <si>
    <t>2017-04-27</t>
  </si>
  <si>
    <t>河南新筑置业有限公司</t>
  </si>
  <si>
    <t>顺义区仁和镇第5街区05-03-04-3地块</t>
  </si>
  <si>
    <t>顺义区仁和镇顺义新城第5街区</t>
  </si>
  <si>
    <t>京土整储挂(顺)[2017]027号</t>
  </si>
  <si>
    <t>顺义区天竺镇第22街区SY00-0022-6015、6016地块</t>
  </si>
  <si>
    <t>顺义区天竺镇</t>
  </si>
  <si>
    <t>京土整储挂(顺)[2017]028号</t>
  </si>
  <si>
    <t>R2二类居住用地A33基础教育用地</t>
  </si>
  <si>
    <t>北京金隅大成开发有限公司和北京空港科技园区股份有限公司联合体</t>
  </si>
  <si>
    <t>门头沟区永定镇MC00-0015-0043地块</t>
  </si>
  <si>
    <t>京土整储挂(门)[2017]025号</t>
  </si>
  <si>
    <t>R2二类居住用地A33基础教育用地S4社会停车场用地</t>
  </si>
  <si>
    <t>居住2.5,教育0.7</t>
  </si>
  <si>
    <t>2017-04-25</t>
  </si>
  <si>
    <t>大兴区瀛海镇区C4组团YZ00-0803-0603地块</t>
  </si>
  <si>
    <t>京土整储挂(兴)[2017]024号</t>
  </si>
  <si>
    <t>北京国瑞兴业房地产控股有限公司</t>
  </si>
  <si>
    <t>朝阳区管庄乡塔营村1208-605地块</t>
  </si>
  <si>
    <t>朝阳区管庄乡</t>
  </si>
  <si>
    <t>京土整储挂(朝)[2017]023号</t>
  </si>
  <si>
    <t>北京世纪鸿城置业有限公司</t>
  </si>
  <si>
    <t>石景山区玉泉西一路x-18160地块</t>
  </si>
  <si>
    <t>东至玉泉西一路,南至现状园林小区,西至规划X-18246地块规划绿地,北至现状北辛安交警大队</t>
  </si>
  <si>
    <t>京土整储挂(石)[2017]021号</t>
  </si>
  <si>
    <t>2017-04-24</t>
  </si>
  <si>
    <t>中铁二十二局集团房地产开发有限公司和北京实兴腾飞置业发展公司联合体</t>
  </si>
  <si>
    <t>顺义区新城第26街区C-19(网内8号地)</t>
  </si>
  <si>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</si>
  <si>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</si>
  <si>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</si>
  <si>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</si>
  <si>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</si>
  <si>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</si>
  <si>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</si>
  <si>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</si>
  <si>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朝阳区金盏乡楼梓庄村1113-602地块</t>
  </si>
  <si>
    <t>东至规划金盏服务区东二路西红线,南至规划金盏服务区六街北红线,西至规划东高路东红线,北至规划楼梓庄大街南红线</t>
  </si>
  <si>
    <t>京土整储挂(朝)[2017]016号</t>
  </si>
  <si>
    <t>2017-04-14</t>
  </si>
  <si>
    <t>天津金地华府置业有限公司</t>
  </si>
  <si>
    <t>商业40年*办公50年</t>
  </si>
  <si>
    <t>北京市平谷区夏各庄新城2-01地块</t>
  </si>
  <si>
    <t>东至规划镇区建设用地边界,南至代征绿地,西至代征绿地,北至1号、2号地间隔绿地</t>
  </si>
  <si>
    <t>京土整储挂(平)[2017]017号</t>
  </si>
  <si>
    <t>A61机构养老设施用地</t>
  </si>
  <si>
    <t>北京中弘弘庆房地产开发有限公司</t>
  </si>
  <si>
    <t>大兴区旧宫镇DX07-0201-0010、0011、0012地块</t>
  </si>
  <si>
    <t>京土整储挂(兴)[2017]012号</t>
  </si>
  <si>
    <t>2017-04-13</t>
  </si>
  <si>
    <t>北京首都开发股份有限公司、北京中海地产有限公司、保利(北京)房地产开发有限公司和北京龙湖中佰置业有限公司联合体</t>
  </si>
  <si>
    <t>大兴区旧宫镇DX07-0201-0006、0007地块</t>
  </si>
  <si>
    <t>京土整储挂(兴)[2017]011号</t>
  </si>
  <si>
    <t>平谷区山东庄镇西沥津村PG08-0401-0004等地块</t>
  </si>
  <si>
    <t>东至农林用地边界,南至规划平瑞街,西至桥山路,北至农林用地边界</t>
  </si>
  <si>
    <t>京土整储招(平)[2017]020号</t>
  </si>
  <si>
    <t>R2二类居住用地,A334托幼用地</t>
  </si>
  <si>
    <t>2017-04-12</t>
  </si>
  <si>
    <t>北京兆福房地产开发有限公司</t>
  </si>
  <si>
    <t>朝阳区孙河乡西甸村2902-71地块</t>
  </si>
  <si>
    <t>东至规划2902-73地块,*西至规划孙河组团六号路,南至规划孙河组团十号路,北至规划孙河组团九号路</t>
  </si>
  <si>
    <t>京土整储招(朝)[2017]019号</t>
  </si>
  <si>
    <t>2017-04-11</t>
  </si>
  <si>
    <t>北京亚通房地产开发有限责任公司和北京城建兴华地产有限公司联合体</t>
  </si>
  <si>
    <t>平谷区夏各庄新城2-11-1地块</t>
  </si>
  <si>
    <t>京土整储挂(平)[2017]015号</t>
  </si>
  <si>
    <t>丰台区王佐镇青龙湖地区FT00-0503-0053等地块</t>
  </si>
  <si>
    <t>丰台区王佐镇青龙湖地区</t>
  </si>
  <si>
    <t>京土整储挂(丰)[2017]014号</t>
  </si>
  <si>
    <t>R2二类居住用地、B4综合性商业金融服务业用地、A61机构养老设施用地、A33基础教育用地、S4社会停车场用地</t>
  </si>
  <si>
    <t>国开东方城镇发展投资有限公司和北京万科企业有限公司联合体</t>
  </si>
  <si>
    <t>大兴开发区北区1号地DX00-0301-0145地块</t>
  </si>
  <si>
    <t>京土整储挂(兴)[2017]013号</t>
  </si>
  <si>
    <t>2017-04-06</t>
  </si>
  <si>
    <t>北京亚通房地产开发有限责任公司</t>
  </si>
  <si>
    <t>平谷区夏各庄新城2-11-2地块</t>
  </si>
  <si>
    <t>京土整储挂(平)[2017]009号</t>
  </si>
  <si>
    <t>2017-04-01</t>
  </si>
  <si>
    <t>平谷区夏各庄新城2-11-3地块</t>
  </si>
  <si>
    <t>京土整储挂(平)[2017]010号</t>
  </si>
  <si>
    <t>大兴区北臧村生物医药基地DX00-0502-0008地块</t>
  </si>
  <si>
    <t>大兴区北臧村生物医药基地</t>
  </si>
  <si>
    <t>京土整储挂(兴)[2017]008号</t>
  </si>
  <si>
    <t>2017-03-30</t>
  </si>
  <si>
    <t>北京硕日新宇投资有限公司</t>
  </si>
  <si>
    <t>朝阳区金盏乡楼梓庄村1113-603地块</t>
  </si>
  <si>
    <t>朝阳区金盏乡楼梓庄村</t>
  </si>
  <si>
    <t>京土整储挂(朝)[2017]006号</t>
  </si>
  <si>
    <t>北京润置商业运营管理有限公司、招商局地产(北京)有限公司和北京环渤海正奇企业管理中心(有限合伙)联合体</t>
  </si>
  <si>
    <t>朝阳区金盏乡楼梓庄村1113-604地块</t>
  </si>
  <si>
    <t>京土整储挂(朝)[2017]007号</t>
  </si>
  <si>
    <t>北京广茂置业有限公司</t>
  </si>
  <si>
    <t>通州区台湖镇北神树村B-30地块</t>
  </si>
  <si>
    <t>通州区台湖镇北神树组团J地块范围内</t>
  </si>
  <si>
    <t>京土整储挂(通)[2017]004号</t>
  </si>
  <si>
    <t>2017-03-28</t>
  </si>
  <si>
    <t>密云区檀营乡MY00-0103-0402、MY00-0103-0502等地块</t>
  </si>
  <si>
    <t>京土整储挂(密)[2017]005号</t>
  </si>
  <si>
    <t>北京宝驰通置业有限公司</t>
  </si>
  <si>
    <t>北京经济技术开发区路东区B15M1地块</t>
  </si>
  <si>
    <t>京开国土挂[2017]2号</t>
  </si>
  <si>
    <t>1-1.5</t>
  </si>
  <si>
    <t>2017-03-23</t>
  </si>
  <si>
    <t>北京燕东微电子科技有限公司</t>
  </si>
  <si>
    <t>北京市高端制造业(房山)基地01街区01-03地块部分用地项目</t>
  </si>
  <si>
    <t>房山区窦店镇</t>
  </si>
  <si>
    <t>京土整储挂(房)工业[2017]001号</t>
  </si>
  <si>
    <t>≤1.2</t>
  </si>
  <si>
    <t>北京天仁道和新材料有限公司</t>
  </si>
  <si>
    <t>北京经济技术开发区路东区C8M3地块</t>
  </si>
  <si>
    <t>京开国土挂[2017]1号</t>
  </si>
  <si>
    <t>华卓精科(北京)精密运动系统科技有限公司</t>
  </si>
  <si>
    <t>房山区良乡镇01-13-02、01-13-03、01-15-01地块</t>
  </si>
  <si>
    <t>京土整储挂(房)[2017]002号</t>
  </si>
  <si>
    <t>B12市场用地、F1住宅混合公建用地、R2二类居住用地</t>
  </si>
  <si>
    <t>2017-02-16</t>
  </si>
  <si>
    <t>北京辉拓置业有限公司、北京瑞成永创科技有限公司</t>
  </si>
  <si>
    <t>房山区良乡镇01-02-03等地块</t>
  </si>
  <si>
    <t>京土整储挂(房)[2017]001号</t>
  </si>
  <si>
    <t>R2二类居住用地、B1商业用地、F3其他类多功能用地、A4体育用地、A33基础教育用地</t>
  </si>
  <si>
    <t>北京中海地产有限公司、北京首都开发股份有限公司、保利(北京)房地产开发有限公司、北京龙湖中佰置业有限公司</t>
  </si>
  <si>
    <t>房山区西潞街道FS00-LX06-0081地块</t>
  </si>
  <si>
    <t>京土整储挂(房)[2016]031号</t>
  </si>
  <si>
    <t>2017-01-26</t>
  </si>
  <si>
    <t>北京众美房地产开发有限公司</t>
  </si>
  <si>
    <t>平谷区金海湖乡韩庄村E-003-02、E-004-01地块</t>
  </si>
  <si>
    <t>平谷区金海湖乡韩庄村</t>
  </si>
  <si>
    <t>京土整储挂(平)[2016]032号</t>
  </si>
  <si>
    <t>北京中瑞凯华投资管理有限公司、北京龙湖天行置业有限公司、保利(北京)房地产开发有限公司、北京首都开发股份有限公司</t>
  </si>
  <si>
    <t>东城区前门东区三里河周边B1地块棚户区改造项目前期工作及拟改造土地使用权出让</t>
  </si>
  <si>
    <t>东城区前门地区</t>
  </si>
  <si>
    <t>京土棚改招(东)[2016]002号</t>
  </si>
  <si>
    <t>p保护区用地</t>
  </si>
  <si>
    <t>2017-01-23</t>
  </si>
  <si>
    <t>北京大前门投资经营有限公司</t>
  </si>
  <si>
    <t>门头沟区潭柘寺镇MC01-0003-6009、6008、0057、0086、0120、6016、6015地块</t>
  </si>
  <si>
    <t>门头沟区潭柘寺镇</t>
  </si>
  <si>
    <t>京土整储挂(门)[2016]033号</t>
  </si>
  <si>
    <t>S4社会停车场用地、B4综合性商业金融服务业用地、R2二类居住用地、B1商业用地、F1住宅混合公建用地</t>
  </si>
  <si>
    <t>2017-01-19</t>
  </si>
  <si>
    <t>北京京投置地房地产有限公司、北京首都开发股份有限公司、保利(北京)房地产开发有限公司、北京龙湖天行置业有限公司、北京德俊置业有限公司</t>
  </si>
  <si>
    <t>密云区长安新村和南菜园新村旧城改建棚户区改造项目</t>
  </si>
  <si>
    <t>北京市密云区长安新村和南菜园新村</t>
  </si>
  <si>
    <t>京土棚改招(密)[2016]001号</t>
  </si>
  <si>
    <t>2017-01-13</t>
  </si>
  <si>
    <t>北京绿州博园投资有限公司</t>
  </si>
  <si>
    <t>70年</t>
  </si>
  <si>
    <t>年期修正</t>
    <phoneticPr fontId="3" type="noConversion"/>
  </si>
  <si>
    <t>用途修正</t>
    <phoneticPr fontId="3" type="noConversion"/>
  </si>
  <si>
    <t>容积率修正</t>
    <phoneticPr fontId="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</si>
  <si>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</si>
  <si>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</si>
  <si>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</si>
  <si>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</si>
  <si>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</si>
  <si>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</si>
  <si>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</si>
  <si>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</si>
  <si>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</si>
  <si>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</si>
  <si>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</si>
  <si>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</si>
  <si>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</si>
  <si>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</si>
  <si>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</si>
  <si>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</si>
  <si>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</si>
  <si>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</si>
  <si>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</si>
  <si>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</si>
  <si>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不临58条商业街</t>
  </si>
  <si>
    <t>与级别开发程度一致</t>
  </si>
  <si>
    <t>按公示增长率计算</t>
  </si>
  <si>
    <t>容积率修正</t>
  </si>
  <si>
    <r>
      <rPr>
        <sz val="12"/>
        <color theme="9" tint="-0.249977111117893"/>
        <rFont val="宋体"/>
        <family val="3"/>
        <charset val="134"/>
      </rPr>
      <t>北京经济技术开发区东环北路</t>
    </r>
    <r>
      <rPr>
        <sz val="12"/>
        <color theme="9" tint="-0.249977111117893"/>
        <rFont val="Arial"/>
        <family val="2"/>
      </rPr>
      <t>1</t>
    </r>
    <r>
      <rPr>
        <sz val="12"/>
        <color theme="9" tint="-0.249977111117893"/>
        <rFont val="宋体"/>
        <family val="3"/>
        <charset val="134"/>
      </rPr>
      <t>号工业用房</t>
    </r>
    <phoneticPr fontId="3" type="noConversion"/>
  </si>
  <si>
    <r>
      <rPr>
        <sz val="10"/>
        <rFont val="宋体"/>
        <family val="3"/>
        <charset val="134"/>
      </rPr>
      <t>北京经济技术开发区路东区</t>
    </r>
    <r>
      <rPr>
        <sz val="11"/>
        <color theme="1"/>
        <rFont val="宋体"/>
        <family val="3"/>
        <charset val="134"/>
        <scheme val="minor"/>
      </rPr>
      <t>E7M1</t>
    </r>
    <r>
      <rPr>
        <sz val="10"/>
        <rFont val="宋体"/>
        <family val="3"/>
        <charset val="134"/>
      </rPr>
      <t>地块工业项目</t>
    </r>
    <phoneticPr fontId="3" type="noConversion"/>
  </si>
  <si>
    <t>北京经济技术开发区路东区E7M1地块</t>
  </si>
  <si>
    <t>京开国土挂[2020]01号</t>
  </si>
  <si>
    <t>≤1.7</t>
  </si>
  <si>
    <t>多层厂房不低于40%;单层厂房不低于50%</t>
  </si>
  <si>
    <t>≤45*米</t>
  </si>
  <si>
    <t>2020-02-21</t>
  </si>
  <si>
    <t>2020-03-12</t>
  </si>
  <si>
    <t>2020-03-26</t>
  </si>
  <si>
    <t>北京华卓精科科技股份有限公司</t>
  </si>
  <si>
    <r>
      <rPr>
        <sz val="10"/>
        <rFont val="宋体"/>
        <family val="3"/>
        <charset val="134"/>
      </rPr>
      <t>北京经济技术开发区河西区</t>
    </r>
    <r>
      <rPr>
        <sz val="11"/>
        <color theme="1"/>
        <rFont val="宋体"/>
        <family val="3"/>
        <charset val="134"/>
        <scheme val="minor"/>
      </rPr>
      <t>X61M4</t>
    </r>
    <r>
      <rPr>
        <sz val="10"/>
        <rFont val="宋体"/>
        <family val="3"/>
        <charset val="134"/>
      </rPr>
      <t>地块工业项目</t>
    </r>
    <phoneticPr fontId="3" type="noConversion"/>
  </si>
  <si>
    <t>北京经济技术开发区河西区X61M4地块</t>
  </si>
  <si>
    <t>京开国土挂[2019]14号</t>
  </si>
  <si>
    <t>≤30米</t>
  </si>
  <si>
    <t>北京中科九微科技有限公司</t>
  </si>
  <si>
    <t>2019-03-06</t>
  </si>
  <si>
    <t>2019-03-26</t>
  </si>
  <si>
    <t>经海五路</t>
    <phoneticPr fontId="33" type="noConversion"/>
  </si>
  <si>
    <t>兴海一街</t>
    <phoneticPr fontId="3" type="noConversion"/>
  </si>
  <si>
    <t>兴海二街</t>
    <phoneticPr fontId="3" type="noConversion"/>
  </si>
  <si>
    <t>好</t>
  </si>
  <si>
    <t>较差</t>
  </si>
  <si>
    <t>单位面积地价</t>
  </si>
  <si>
    <t>成本比率</t>
  </si>
  <si>
    <t>Ⅶ-亦1</t>
  </si>
  <si>
    <t>双面临街</t>
  </si>
  <si>
    <t>已包含在土地取得成本中</t>
  </si>
  <si>
    <t>按房产原值计税</t>
  </si>
  <si>
    <t>楼面单价</t>
    <phoneticPr fontId="140" type="noConversion"/>
  </si>
  <si>
    <t>地面单价</t>
    <phoneticPr fontId="140" type="noConversion"/>
  </si>
  <si>
    <t>实缴房产税折算</t>
    <phoneticPr fontId="3" type="noConversion"/>
  </si>
  <si>
    <t>建安</t>
    <phoneticPr fontId="3" type="noConversion"/>
  </si>
  <si>
    <t>总额</t>
    <phoneticPr fontId="3" type="noConversion"/>
  </si>
  <si>
    <t>核心区</t>
    <phoneticPr fontId="140" type="noConversion"/>
  </si>
  <si>
    <t>注销后放款</t>
  </si>
  <si>
    <t>已注销</t>
  </si>
  <si>
    <r>
      <rPr>
        <sz val="10"/>
        <color indexed="8"/>
        <rFont val="宋体"/>
        <family val="3"/>
        <charset val="134"/>
      </rPr>
      <t>正常无压力估值约</t>
    </r>
    <r>
      <rPr>
        <sz val="10"/>
        <color indexed="8"/>
        <rFont val="Arial"/>
        <family val="2"/>
      </rPr>
      <t>10000-11000</t>
    </r>
    <r>
      <rPr>
        <sz val="10"/>
        <color indexed="8"/>
        <rFont val="宋体"/>
        <family val="3"/>
        <charset val="134"/>
      </rPr>
      <t>万元</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</si>
</sst>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theme="1"/>
      <name val="宋体"/>
      <family val="3"/>
      <charset val="134"/>
      <scheme val="minor"/>
    </font>
    <font>
      <sz val="12"/>
      <name val="楷体_GB2312"/>
      <family val="3"/>
      <charset val="134"/>
    </font>
    <font>
      <sz val="11"/>
      <name val="楷体_GB2312"/>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50"/>
        <bgColor indexed="64"/>
      </patternFill>
    </fill>
    <fill>
      <patternFill patternType="solid">
        <fgColor theme="9" tint="0.5999938962981048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1" fillId="0" borderId="0" applyFont="0" applyFill="0" applyBorder="0" applyAlignment="0" applyProtection="0">
      <alignment vertical="center"/>
    </xf>
    <xf numFmtId="0" fontId="55" fillId="0" borderId="0"/>
    <xf numFmtId="0" fontId="98" fillId="0" borderId="0"/>
  </cellStyleXfs>
  <cellXfs count="34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0" fillId="0" borderId="0" xfId="0" applyFill="1" applyAlignment="1"/>
    <xf numFmtId="0" fontId="19" fillId="0" borderId="0" xfId="0" applyFont="1" applyFill="1" applyAlignment="1"/>
    <xf numFmtId="0" fontId="79" fillId="7" borderId="150" xfId="0" applyFont="1" applyFill="1" applyBorder="1" applyAlignment="1" applyProtection="1">
      <alignment vertical="center"/>
      <protection locked="0"/>
    </xf>
    <xf numFmtId="49" fontId="226" fillId="0" borderId="4" xfId="0" applyNumberFormat="1" applyFont="1" applyFill="1" applyBorder="1" applyAlignment="1" applyProtection="1">
      <alignment horizontal="left" vertical="center"/>
      <protection locked="0"/>
    </xf>
    <xf numFmtId="0" fontId="252" fillId="5" borderId="1"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Protection="1">
      <alignment vertical="center"/>
      <protection locked="0"/>
    </xf>
    <xf numFmtId="9" fontId="0" fillId="0" borderId="0" xfId="17" applyFont="1" applyProtection="1">
      <alignment vertical="center"/>
      <protection locked="0"/>
    </xf>
    <xf numFmtId="0" fontId="100" fillId="0" borderId="8" xfId="0" applyNumberFormat="1" applyFont="1" applyFill="1" applyBorder="1" applyAlignment="1" applyProtection="1">
      <alignment horizontal="center" vertical="center" wrapText="1"/>
      <protection locked="0"/>
    </xf>
    <xf numFmtId="0" fontId="100" fillId="0" borderId="24" xfId="0" applyFont="1" applyBorder="1" applyAlignment="1" applyProtection="1">
      <alignment horizontal="center" vertical="center" wrapText="1"/>
      <protection locked="0"/>
    </xf>
    <xf numFmtId="0" fontId="100" fillId="0" borderId="49" xfId="0" applyNumberFormat="1" applyFont="1" applyFill="1" applyBorder="1" applyAlignment="1" applyProtection="1">
      <alignment horizontal="center" vertical="center" wrapText="1"/>
      <protection locked="0"/>
    </xf>
    <xf numFmtId="0" fontId="134" fillId="0" borderId="24" xfId="0" applyNumberFormat="1" applyFont="1" applyFill="1" applyBorder="1" applyAlignment="1" applyProtection="1">
      <alignment horizontal="center" vertical="center" wrapText="1"/>
      <protection locked="0"/>
    </xf>
    <xf numFmtId="0" fontId="46" fillId="5" borderId="2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3" fillId="0" borderId="44"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9" fontId="104" fillId="2" borderId="37" xfId="0" applyNumberFormat="1" applyFont="1" applyFill="1" applyBorder="1" applyAlignment="1" applyProtection="1">
      <alignment horizontal="center" vertical="center" wrapText="1"/>
      <protection locked="0"/>
    </xf>
    <xf numFmtId="0" fontId="46" fillId="6" borderId="28" xfId="0" applyFont="1" applyFill="1" applyBorder="1" applyAlignment="1" applyProtection="1">
      <alignment horizontal="right" vertical="center"/>
      <protection locked="0"/>
    </xf>
    <xf numFmtId="0" fontId="79" fillId="13" borderId="0" xfId="0" applyFont="1" applyFill="1" applyAlignment="1" applyProtection="1">
      <alignment vertical="center"/>
      <protection locked="0"/>
    </xf>
    <xf numFmtId="9" fontId="49" fillId="13" borderId="0" xfId="0" applyNumberFormat="1" applyFont="1" applyFill="1" applyAlignment="1" applyProtection="1">
      <alignment vertical="center"/>
      <protection locked="0"/>
    </xf>
    <xf numFmtId="0" fontId="98" fillId="0" borderId="0" xfId="3" applyNumberFormat="1" applyProtection="1">
      <alignment vertical="center"/>
    </xf>
    <xf numFmtId="0" fontId="98" fillId="0" borderId="0" xfId="3" applyNumberFormat="1" applyFont="1" applyProtection="1">
      <alignment vertical="center"/>
    </xf>
    <xf numFmtId="179" fontId="98" fillId="0" borderId="0" xfId="3" applyNumberFormat="1" applyProtection="1">
      <alignment vertical="center"/>
    </xf>
    <xf numFmtId="0" fontId="55" fillId="0" borderId="0" xfId="18" applyAlignment="1">
      <alignment horizontal="left"/>
    </xf>
    <xf numFmtId="179" fontId="19" fillId="0" borderId="0" xfId="18" applyNumberFormat="1" applyFont="1" applyAlignment="1">
      <alignment horizontal="left"/>
    </xf>
    <xf numFmtId="179" fontId="55" fillId="0" borderId="0" xfId="18" applyNumberFormat="1" applyAlignment="1">
      <alignment horizontal="left"/>
    </xf>
    <xf numFmtId="0" fontId="19" fillId="0" borderId="0" xfId="18" applyFont="1" applyAlignment="1">
      <alignment horizontal="left"/>
    </xf>
    <xf numFmtId="0" fontId="55" fillId="19" borderId="0" xfId="18" applyFill="1" applyAlignment="1">
      <alignment horizontal="left"/>
    </xf>
    <xf numFmtId="0" fontId="55" fillId="18" borderId="0" xfId="18" applyFill="1" applyAlignment="1">
      <alignment horizontal="left"/>
    </xf>
    <xf numFmtId="179" fontId="55" fillId="19" borderId="0" xfId="18" applyNumberFormat="1" applyFill="1" applyAlignment="1">
      <alignment horizontal="left"/>
    </xf>
    <xf numFmtId="0" fontId="55" fillId="0" borderId="0" xfId="18" applyFill="1" applyAlignment="1">
      <alignment horizontal="left"/>
    </xf>
    <xf numFmtId="179" fontId="55" fillId="0" borderId="0" xfId="18" applyNumberFormat="1" applyFill="1" applyAlignment="1">
      <alignment horizontal="left"/>
    </xf>
    <xf numFmtId="0" fontId="55" fillId="15" borderId="0" xfId="18" applyFill="1" applyAlignment="1">
      <alignment horizontal="left"/>
    </xf>
    <xf numFmtId="0" fontId="116" fillId="6" borderId="26" xfId="19" applyFont="1" applyFill="1" applyBorder="1"/>
    <xf numFmtId="184" fontId="46" fillId="0" borderId="67" xfId="19" applyNumberFormat="1" applyFont="1" applyFill="1" applyBorder="1" applyAlignment="1" applyProtection="1">
      <alignment horizontal="center" vertical="center"/>
      <protection locked="0"/>
    </xf>
    <xf numFmtId="0" fontId="116" fillId="0" borderId="0" xfId="19" applyFont="1"/>
    <xf numFmtId="180" fontId="254" fillId="6" borderId="6" xfId="8" applyNumberFormat="1" applyFont="1" applyFill="1" applyBorder="1" applyAlignment="1" applyProtection="1">
      <alignment horizontal="center" vertical="center" wrapText="1"/>
    </xf>
    <xf numFmtId="0" fontId="255" fillId="6" borderId="9" xfId="19" applyFont="1" applyFill="1" applyBorder="1" applyAlignment="1" applyProtection="1">
      <alignment horizontal="center" vertical="center" wrapText="1"/>
    </xf>
    <xf numFmtId="179" fontId="255" fillId="6" borderId="9" xfId="19" applyNumberFormat="1" applyFont="1" applyFill="1" applyBorder="1" applyAlignment="1" applyProtection="1">
      <alignment horizontal="center" vertical="center" wrapText="1"/>
    </xf>
    <xf numFmtId="0" fontId="255" fillId="6" borderId="10" xfId="19" applyFont="1" applyFill="1" applyBorder="1" applyAlignment="1" applyProtection="1">
      <alignment horizontal="center" vertical="center" wrapText="1"/>
    </xf>
    <xf numFmtId="177" fontId="46" fillId="5" borderId="23" xfId="8" applyNumberFormat="1" applyFont="1" applyFill="1" applyBorder="1" applyAlignment="1" applyProtection="1">
      <alignment horizontal="center" vertical="center"/>
      <protection locked="0"/>
    </xf>
    <xf numFmtId="184" fontId="46" fillId="0" borderId="1" xfId="19" applyNumberFormat="1" applyFont="1" applyFill="1" applyBorder="1" applyAlignment="1" applyProtection="1">
      <alignment horizontal="center" vertical="center"/>
      <protection locked="0"/>
    </xf>
    <xf numFmtId="179" fontId="53" fillId="6" borderId="1" xfId="8" applyNumberFormat="1" applyFont="1" applyFill="1" applyBorder="1" applyAlignment="1" applyProtection="1">
      <alignment horizontal="center" vertical="center"/>
    </xf>
    <xf numFmtId="180" fontId="53" fillId="6" borderId="1" xfId="8" applyNumberFormat="1" applyFont="1" applyFill="1" applyBorder="1" applyAlignment="1" applyProtection="1">
      <alignment horizontal="center" vertical="center"/>
    </xf>
    <xf numFmtId="181" fontId="102" fillId="0" borderId="24" xfId="19" applyNumberFormat="1" applyFont="1" applyFill="1" applyBorder="1" applyAlignment="1" applyProtection="1">
      <alignment horizontal="center" vertical="center"/>
      <protection locked="0"/>
    </xf>
    <xf numFmtId="177" fontId="46" fillId="5" borderId="25" xfId="8" applyNumberFormat="1" applyFont="1" applyFill="1" applyBorder="1" applyAlignment="1" applyProtection="1">
      <alignment horizontal="center" vertical="center"/>
      <protection locked="0"/>
    </xf>
    <xf numFmtId="184" fontId="46" fillId="0" borderId="32" xfId="19" applyNumberFormat="1" applyFont="1" applyFill="1" applyBorder="1" applyAlignment="1" applyProtection="1">
      <alignment horizontal="center" vertical="center"/>
      <protection locked="0"/>
    </xf>
    <xf numFmtId="179" fontId="53" fillId="6" borderId="32" xfId="8" applyNumberFormat="1" applyFont="1" applyFill="1" applyBorder="1" applyAlignment="1" applyProtection="1">
      <alignment horizontal="center" vertical="center"/>
    </xf>
    <xf numFmtId="180" fontId="53" fillId="6" borderId="32" xfId="8" applyNumberFormat="1" applyFont="1" applyFill="1" applyBorder="1" applyAlignment="1" applyProtection="1">
      <alignment horizontal="center" vertical="center"/>
    </xf>
    <xf numFmtId="181" fontId="102" fillId="0" borderId="49" xfId="19" applyNumberFormat="1" applyFont="1" applyFill="1" applyBorder="1" applyAlignment="1" applyProtection="1">
      <alignment horizontal="center" vertical="center"/>
      <protection locked="0"/>
    </xf>
    <xf numFmtId="0" fontId="256" fillId="6" borderId="16" xfId="19" applyFont="1" applyFill="1" applyBorder="1" applyAlignment="1">
      <alignment vertical="center"/>
    </xf>
    <xf numFmtId="0" fontId="116" fillId="6" borderId="31" xfId="19" applyFont="1" applyFill="1" applyBorder="1" applyAlignment="1">
      <alignment vertical="center"/>
    </xf>
    <xf numFmtId="0" fontId="116" fillId="0" borderId="0" xfId="19" applyFont="1" applyAlignment="1">
      <alignment vertical="center"/>
    </xf>
    <xf numFmtId="0" fontId="116" fillId="6" borderId="63" xfId="19" applyFont="1" applyFill="1" applyBorder="1"/>
    <xf numFmtId="0" fontId="254" fillId="6" borderId="64" xfId="19" applyFont="1" applyFill="1" applyBorder="1" applyAlignment="1">
      <alignment horizontal="right" vertical="center"/>
    </xf>
    <xf numFmtId="0" fontId="254" fillId="6" borderId="65" xfId="19" applyFont="1" applyFill="1" applyBorder="1" applyAlignment="1">
      <alignment horizontal="right" vertical="center"/>
    </xf>
    <xf numFmtId="0" fontId="53" fillId="6" borderId="6" xfId="19" applyFont="1" applyFill="1" applyBorder="1" applyAlignment="1">
      <alignment horizontal="center"/>
    </xf>
    <xf numFmtId="0" fontId="102" fillId="0" borderId="9" xfId="19" applyFont="1" applyBorder="1" applyAlignment="1" applyProtection="1">
      <alignment horizontal="center"/>
      <protection locked="0"/>
    </xf>
    <xf numFmtId="0" fontId="53" fillId="6" borderId="9" xfId="19" applyFont="1" applyFill="1" applyBorder="1" applyAlignment="1">
      <alignment horizontal="center"/>
    </xf>
    <xf numFmtId="10" fontId="102" fillId="0" borderId="9" xfId="19" applyNumberFormat="1" applyFont="1" applyBorder="1" applyAlignment="1" applyProtection="1">
      <alignment horizontal="center"/>
      <protection locked="0"/>
    </xf>
    <xf numFmtId="0" fontId="53" fillId="6" borderId="10" xfId="19" applyFont="1" applyFill="1" applyBorder="1"/>
    <xf numFmtId="0" fontId="53" fillId="6" borderId="25" xfId="19" applyFont="1" applyFill="1" applyBorder="1" applyAlignment="1">
      <alignment horizontal="center"/>
    </xf>
    <xf numFmtId="0" fontId="102" fillId="0" borderId="32" xfId="19" applyFont="1" applyBorder="1" applyAlignment="1" applyProtection="1">
      <alignment horizontal="center"/>
      <protection locked="0"/>
    </xf>
    <xf numFmtId="0" fontId="53" fillId="6" borderId="32" xfId="19" applyFont="1" applyFill="1" applyBorder="1" applyAlignment="1">
      <alignment horizontal="center"/>
    </xf>
    <xf numFmtId="10" fontId="102" fillId="0" borderId="32" xfId="19" applyNumberFormat="1" applyFont="1" applyBorder="1" applyAlignment="1" applyProtection="1">
      <alignment horizontal="center"/>
      <protection locked="0"/>
    </xf>
    <xf numFmtId="0" fontId="53" fillId="6" borderId="49" xfId="19" applyFont="1" applyFill="1" applyBorder="1"/>
    <xf numFmtId="0" fontId="97" fillId="6" borderId="0" xfId="19" applyFont="1" applyFill="1" applyBorder="1" applyAlignment="1">
      <alignment horizontal="left"/>
    </xf>
    <xf numFmtId="0" fontId="53" fillId="6" borderId="0" xfId="19" applyFont="1" applyFill="1" applyBorder="1" applyAlignment="1">
      <alignment horizontal="center"/>
    </xf>
    <xf numFmtId="0" fontId="102" fillId="0" borderId="9" xfId="19" applyFont="1" applyFill="1" applyBorder="1" applyAlignment="1" applyProtection="1">
      <alignment horizontal="center"/>
      <protection locked="0"/>
    </xf>
    <xf numFmtId="0" fontId="102" fillId="0" borderId="0" xfId="19" applyFont="1"/>
    <xf numFmtId="0" fontId="102" fillId="6" borderId="32" xfId="19" applyFont="1" applyFill="1" applyBorder="1" applyAlignment="1">
      <alignment horizontal="center"/>
    </xf>
    <xf numFmtId="0" fontId="102" fillId="6" borderId="0" xfId="19" applyFont="1" applyFill="1"/>
    <xf numFmtId="0" fontId="116" fillId="6" borderId="0" xfId="19" applyFont="1" applyFill="1"/>
    <xf numFmtId="0" fontId="102" fillId="0" borderId="10" xfId="19" applyFont="1" applyFill="1" applyBorder="1" applyAlignment="1" applyProtection="1">
      <alignment horizontal="center"/>
      <protection locked="0"/>
    </xf>
    <xf numFmtId="0" fontId="102" fillId="6" borderId="49" xfId="19" applyFont="1" applyFill="1" applyBorder="1" applyAlignment="1">
      <alignment horizontal="center"/>
    </xf>
    <xf numFmtId="0" fontId="0" fillId="20" borderId="0" xfId="0" applyFill="1" applyAlignment="1"/>
    <xf numFmtId="179" fontId="55" fillId="21" borderId="0" xfId="18" applyNumberFormat="1" applyFill="1" applyAlignment="1">
      <alignment horizontal="left"/>
    </xf>
    <xf numFmtId="0" fontId="55" fillId="21" borderId="0" xfId="18" applyFill="1" applyAlignment="1">
      <alignment horizontal="left"/>
    </xf>
    <xf numFmtId="0" fontId="19" fillId="21" borderId="0" xfId="18" applyFont="1" applyFill="1" applyAlignment="1">
      <alignment horizontal="left"/>
    </xf>
    <xf numFmtId="179" fontId="19" fillId="21" borderId="0" xfId="18" applyNumberFormat="1" applyFont="1" applyFill="1" applyAlignment="1">
      <alignment horizontal="left"/>
    </xf>
    <xf numFmtId="177" fontId="145" fillId="5" borderId="1" xfId="1" applyNumberFormat="1" applyFont="1" applyFill="1" applyBorder="1" applyAlignment="1" applyProtection="1">
      <alignment horizontal="center"/>
    </xf>
    <xf numFmtId="0" fontId="118" fillId="5" borderId="1" xfId="0" applyFont="1" applyFill="1" applyBorder="1" applyAlignment="1" applyProtection="1">
      <alignment horizontal="left" vertical="center" wrapText="1"/>
      <protection locked="0"/>
    </xf>
    <xf numFmtId="181" fontId="46" fillId="19" borderId="1" xfId="0" applyNumberFormat="1" applyFont="1" applyFill="1" applyBorder="1" applyAlignment="1" applyProtection="1">
      <alignment vertical="center"/>
      <protection locked="0"/>
    </xf>
    <xf numFmtId="10" fontId="46" fillId="19" borderId="1" xfId="0" applyNumberFormat="1" applyFont="1" applyFill="1" applyBorder="1" applyAlignment="1" applyProtection="1">
      <alignment horizontal="center" vertical="center"/>
      <protection locked="0"/>
    </xf>
    <xf numFmtId="177" fontId="49" fillId="13" borderId="0" xfId="0" applyNumberFormat="1" applyFont="1" applyFill="1" applyAlignment="1" applyProtection="1">
      <alignment vertical="center"/>
      <protection locked="0"/>
    </xf>
    <xf numFmtId="0" fontId="19" fillId="19" borderId="0" xfId="18" applyFont="1" applyFill="1" applyAlignment="1">
      <alignment horizontal="left"/>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254" fillId="6" borderId="63" xfId="19" applyFont="1" applyFill="1" applyBorder="1" applyAlignment="1">
      <alignment horizontal="center"/>
    </xf>
    <xf numFmtId="0" fontId="254" fillId="6" borderId="64" xfId="19" applyFont="1" applyFill="1" applyBorder="1" applyAlignment="1">
      <alignment horizontal="center"/>
    </xf>
  </cellXfs>
  <cellStyles count="20">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E-02&#6528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26816;&#32034;&#25968;&#25454;&#65288;2017&#24180;&#33267;&#2017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结果汇总"/>
      <sheetName val="Sheet1"/>
      <sheetName val="入表前修正"/>
      <sheetName val="年期修正系数"/>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仓储</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cell r="C99" t="str">
            <v>高速</v>
          </cell>
          <cell r="D99" t="str">
            <v>快速</v>
          </cell>
          <cell r="E99" t="str">
            <v>主干道</v>
          </cell>
          <cell r="F99" t="str">
            <v>次干道</v>
          </cell>
          <cell r="G99" t="str">
            <v>支路</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好</v>
          </cell>
          <cell r="D116" t="str">
            <v>较好</v>
          </cell>
          <cell r="E116" t="str">
            <v>一般</v>
          </cell>
          <cell r="F116" t="str">
            <v>较差</v>
          </cell>
          <cell r="G116" t="str">
            <v>差</v>
          </cell>
        </row>
      </sheetData>
      <sheetData sheetId="21">
        <row r="2">
          <cell r="G2" t="str">
            <v>八级</v>
          </cell>
        </row>
        <row r="3">
          <cell r="G3">
            <v>0.8</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 val="Sheet1"/>
      <sheetName val="年期修正系数"/>
    </sheetNames>
    <sheetDataSet>
      <sheetData sheetId="0"/>
      <sheetData sheetId="1"/>
      <sheetData sheetId="2">
        <row r="9">
          <cell r="G9">
            <v>1.5189999999999999</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60" customWidth="1"/>
    <col min="2" max="2" width="81" style="1377" customWidth="1"/>
    <col min="3" max="16384" width="9" style="1375"/>
  </cols>
  <sheetData>
    <row r="1" spans="1:2" s="1363" customFormat="1" ht="16.2" thickBot="1">
      <c r="A1" s="1362" t="s">
        <v>1186</v>
      </c>
      <c r="B1" s="1361" t="s">
        <v>1265</v>
      </c>
    </row>
    <row r="2" spans="1:2" s="1366" customFormat="1" ht="16.2" thickTop="1">
      <c r="A2" s="1364" t="s">
        <v>1187</v>
      </c>
      <c r="B2" s="1365" t="str">
        <f>'预评函-封皮'!B37:I37</f>
        <v>北京市北京经济技术开发区东环北路1号工业用房房地产抵押价值预评估</v>
      </c>
    </row>
    <row r="3" spans="1:2" s="1369" customFormat="1">
      <c r="A3" s="1367" t="s">
        <v>1188</v>
      </c>
      <c r="B3" s="1368" t="str">
        <f>'预评函-封皮'!B40</f>
        <v>北京百得利汽车进出口集团有限公司</v>
      </c>
    </row>
    <row r="4" spans="1:2" s="1369" customFormat="1">
      <c r="A4" s="1367" t="s">
        <v>1189</v>
      </c>
      <c r="B4" s="1368" t="str">
        <f ca="1">'预评函-封皮'!B46</f>
        <v>崔锴（注册号：1120100036)、郑燚（注册号：1120070131)</v>
      </c>
    </row>
    <row r="5" spans="1:2" s="1363" customFormat="1" ht="16.2" thickBot="1">
      <c r="A5" s="1370" t="s">
        <v>1190</v>
      </c>
      <c r="B5" s="1371" t="str">
        <f>'预评函-封皮'!B49</f>
        <v>康正预评字号</v>
      </c>
    </row>
    <row r="6" spans="1:2" s="1366" customFormat="1" ht="16.2" thickTop="1">
      <c r="A6" s="1364" t="s">
        <v>1191</v>
      </c>
      <c r="B6" s="1365" t="str">
        <f>'预评函-1'!A4</f>
        <v>受贵公司委托，我公司对北京市北京经济技术开发区东环北路1号工业用房房地产抵押价值进行了预评估。</v>
      </c>
    </row>
    <row r="7" spans="1:2" s="1369" customFormat="1">
      <c r="A7" s="1367" t="s">
        <v>1231</v>
      </c>
      <c r="B7" s="1368" t="str">
        <f>'预评函-1'!A7</f>
        <v>估价对象为北京市北京经济技术开发区东环北路1号工业用房房地产，为北京百得利汽车进出口集团有限公司所有。根据《国有土地使用证》[]，估价对象（分摊）出让国有建设用地使用权面积为15462.6平方米，建筑面积为8640.14平方米。</v>
      </c>
    </row>
    <row r="8" spans="1:2" s="1369" customFormat="1">
      <c r="A8" s="1367" t="s">
        <v>1232</v>
      </c>
      <c r="B8" s="1368" t="str">
        <f>'预评函-1'!A8</f>
        <v>估价对象简述。项目推广名，项目类型（用途），估价对象分布，各用途面积明细情况：XX用途建筑面积XX平方米，XX用途建筑面积XX平方米，……。复杂面积清单需设‘附表’列示：抵押物清单详见附表</v>
      </c>
    </row>
    <row r="9" spans="1:2" s="1369" customFormat="1">
      <c r="A9" s="1367" t="s">
        <v>1233</v>
      </c>
      <c r="B9" s="1368" t="str">
        <f>'预评函-1'!A10</f>
        <v>估价对象为北京市北京经济技术开发区东环北路1号工业用房房地产,为北京百得利汽车进出口集团有限公司开发建设的，该项目尚在开发建设中。根据《国有土地使用证》[]，估价对象（分摊）出让国有建设用地使用权面积为15462.6平方米，规划建筑面积为8640.14平方米。</v>
      </c>
    </row>
    <row r="10" spans="1:2" s="1369" customFormat="1">
      <c r="A10" s="1367" t="s">
        <v>1234</v>
      </c>
      <c r="B10" s="13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9" customFormat="1">
      <c r="A11" s="1367" t="s">
        <v>1192</v>
      </c>
      <c r="B11" s="1368" t="str">
        <f>'预评函-1'!A13</f>
        <v>为估价委托人在向上海浦东发展银行股份有限公司北京望京支行办理贷款手续过程中，确定房地产抵押贷款额度提供参考依据而评估房地产抵押价值。</v>
      </c>
    </row>
    <row r="12" spans="1:2" s="1369" customFormat="1">
      <c r="A12" s="1367" t="s">
        <v>1193</v>
      </c>
      <c r="B12" s="1368" t="str">
        <f>'预评函-1'!A15</f>
        <v>2020年8月20日（评估专业人员实地查勘之日）</v>
      </c>
    </row>
    <row r="13" spans="1:2" s="1369" customFormat="1">
      <c r="A13" s="1367" t="s">
        <v>1194</v>
      </c>
      <c r="B13" s="1368" t="str">
        <f>'预评函-1'!A18</f>
        <v>本次估价的“房地产价值”是指在正常市场情况下，在价值时点2020年8月20日，估价对象规划用途为，土地取得方式为出让，出让国有建设用地使用权剩余土地使用年限为，假定未设立法定优先受偿款下的房地产市场价值。</v>
      </c>
    </row>
    <row r="14" spans="1:2" s="1369" customFormat="1">
      <c r="A14" s="1367" t="s">
        <v>1195</v>
      </c>
      <c r="B14" s="1368" t="str">
        <f>'预评函-1'!A19</f>
        <v>其中，“出让国有建设用地使用权价值”是指估价对象用途为，实际开发程度为宗地红线外“七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9" customFormat="1">
      <c r="A15" s="1367" t="s">
        <v>1196</v>
      </c>
      <c r="B15" s="1368" t="str">
        <f>'预评函-1'!A20</f>
        <v>本次估价的“抵押担保权已注销时的房地产抵押价值”是指估价对象在价值时点的“房地产价值”扣减估价师于价值时点所知悉的除抵押担保权以外的其他法定优先受偿款后的余额。</v>
      </c>
    </row>
    <row r="16" spans="1:2" s="1369" customFormat="1">
      <c r="A16" s="1367" t="s">
        <v>1197</v>
      </c>
      <c r="B16" s="13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9" customFormat="1">
      <c r="A17" s="1367" t="s">
        <v>1198</v>
      </c>
      <c r="B17" s="13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63" customFormat="1" ht="16.2" thickBot="1">
      <c r="A18" s="1370" t="s">
        <v>1199</v>
      </c>
      <c r="B18" s="1371" t="str">
        <f>'预评函-1'!A24</f>
        <v>本次评估采用的主估价方法为成本法和收益法。</v>
      </c>
    </row>
    <row r="19" spans="1:2" s="1366" customFormat="1" ht="16.2" thickTop="1">
      <c r="A19" s="1364" t="s">
        <v>1200</v>
      </c>
      <c r="B19" s="13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9" customFormat="1">
      <c r="A20" s="1367" t="s">
        <v>1201</v>
      </c>
      <c r="B20" s="1368">
        <f ca="1">'预评函-2'!D5</f>
        <v>12081</v>
      </c>
    </row>
    <row r="21" spans="1:2" s="1369" customFormat="1">
      <c r="A21" s="1367" t="s">
        <v>1202</v>
      </c>
      <c r="B21" s="1368">
        <f ca="1">'预评函-2'!D7</f>
        <v>13982</v>
      </c>
    </row>
    <row r="22" spans="1:2" s="1369" customFormat="1">
      <c r="A22" s="1367" t="s">
        <v>1203</v>
      </c>
      <c r="B22" s="1368" t="str">
        <f ca="1">'预评函-2'!D6</f>
        <v>壹亿贰仟零捌拾壹万元整</v>
      </c>
    </row>
    <row r="23" spans="1:2" s="1369" customFormat="1">
      <c r="A23" s="1367" t="s">
        <v>1254</v>
      </c>
      <c r="B23" s="1368" t="str">
        <f>'预评函-2'!B8</f>
        <v>2.估价师知悉的法定优先受偿款</v>
      </c>
    </row>
    <row r="24" spans="1:2" s="1369" customFormat="1">
      <c r="A24" s="1367" t="s">
        <v>1260</v>
      </c>
      <c r="B24" s="1368">
        <f>'预评函-2'!D8</f>
        <v>0</v>
      </c>
    </row>
    <row r="25" spans="1:2" s="1369" customFormat="1">
      <c r="A25" s="1367" t="s">
        <v>1204</v>
      </c>
      <c r="B25" s="1368" t="str">
        <f>'预评函-2'!D9</f>
        <v>零元整</v>
      </c>
    </row>
    <row r="26" spans="1:2" s="1369" customFormat="1">
      <c r="A26" s="1367" t="s">
        <v>1205</v>
      </c>
      <c r="B26" s="1368">
        <f>'预评函-2'!D10</f>
        <v>7500</v>
      </c>
    </row>
    <row r="27" spans="1:2" s="1369" customFormat="1">
      <c r="A27" s="1367" t="s">
        <v>1206</v>
      </c>
      <c r="B27" s="1368">
        <f>'预评函-2'!D11</f>
        <v>0</v>
      </c>
    </row>
    <row r="28" spans="1:2" s="1369" customFormat="1">
      <c r="A28" s="1367" t="s">
        <v>1207</v>
      </c>
      <c r="B28" s="1368">
        <f>'预评函-2'!D12</f>
        <v>0</v>
      </c>
    </row>
    <row r="29" spans="1:2" s="1369" customFormat="1">
      <c r="A29" s="1367" t="s">
        <v>1258</v>
      </c>
      <c r="B29" s="1368" t="str">
        <f>'预评函-2'!B13</f>
        <v>——</v>
      </c>
    </row>
    <row r="30" spans="1:2" s="1369" customFormat="1">
      <c r="A30" s="1367" t="s">
        <v>1259</v>
      </c>
      <c r="B30" s="1368" t="str">
        <f>'预评函-2'!D13</f>
        <v>——</v>
      </c>
    </row>
    <row r="31" spans="1:2" s="1369" customFormat="1">
      <c r="A31" s="1367" t="s">
        <v>1241</v>
      </c>
      <c r="B31" s="1368" t="e">
        <f>'预评函-2'!D15</f>
        <v>#VALUE!</v>
      </c>
    </row>
    <row r="32" spans="1:2" s="1369" customFormat="1">
      <c r="A32" s="1367" t="s">
        <v>1208</v>
      </c>
      <c r="B32" s="1368" t="e">
        <f>'预评函-2'!D14</f>
        <v>#VALUE!</v>
      </c>
    </row>
    <row r="33" spans="1:2" s="1369" customFormat="1">
      <c r="A33" s="1367" t="s">
        <v>1243</v>
      </c>
      <c r="B33" s="1368" t="str">
        <f>'预评函-2'!B16</f>
        <v>3.抵押担保权已注销时的房地产抵押价值</v>
      </c>
    </row>
    <row r="34" spans="1:2" s="1369" customFormat="1">
      <c r="A34" s="1367" t="s">
        <v>1261</v>
      </c>
      <c r="B34" s="1368">
        <f ca="1">'预评函-2'!D16</f>
        <v>12081</v>
      </c>
    </row>
    <row r="35" spans="1:2" s="1369" customFormat="1">
      <c r="A35" s="1367" t="s">
        <v>1242</v>
      </c>
      <c r="B35" s="1368">
        <f ca="1">'预评函-2'!D18</f>
        <v>13982</v>
      </c>
    </row>
    <row r="36" spans="1:2" s="1369" customFormat="1">
      <c r="A36" s="1367" t="s">
        <v>1209</v>
      </c>
      <c r="B36" s="1368" t="str">
        <f ca="1">'预评函-2'!D17</f>
        <v>壹亿贰仟零捌拾壹万元整</v>
      </c>
    </row>
    <row r="37" spans="1:2" s="1369" customFormat="1">
      <c r="A37" s="1367" t="s">
        <v>1244</v>
      </c>
      <c r="B37" s="1368" t="str">
        <f>'预评函-2'!B19</f>
        <v>——</v>
      </c>
    </row>
    <row r="38" spans="1:2" s="1369" customFormat="1">
      <c r="A38" s="1367" t="s">
        <v>1262</v>
      </c>
      <c r="B38" s="1368" t="str">
        <f>'预评函-2'!D19</f>
        <v>——</v>
      </c>
    </row>
    <row r="39" spans="1:2" s="1369" customFormat="1">
      <c r="A39" s="1367" t="s">
        <v>1210</v>
      </c>
      <c r="B39" s="1368" t="str">
        <f>'预评函-2'!D21</f>
        <v>——</v>
      </c>
    </row>
    <row r="40" spans="1:2" s="1369" customFormat="1">
      <c r="A40" s="1367" t="s">
        <v>1211</v>
      </c>
      <c r="B40" s="1368" t="e">
        <f>'预评函-2'!D20</f>
        <v>#VALUE!</v>
      </c>
    </row>
    <row r="41" spans="1:2" s="1369" customFormat="1">
      <c r="A41" s="1367" t="s">
        <v>1257</v>
      </c>
      <c r="B41" s="1368" t="str">
        <f>'预评函-3'!A4</f>
        <v>北京市北京经济技术开发区东环北路1号工业用房房地产</v>
      </c>
    </row>
    <row r="42" spans="1:2" s="1369" customFormat="1" ht="31.2">
      <c r="A42" s="1367" t="s">
        <v>1255</v>
      </c>
      <c r="B42" s="1368" t="str">
        <f>'预评函-3'!B2</f>
        <v>建筑面积</v>
      </c>
    </row>
    <row r="43" spans="1:2" s="1369" customFormat="1">
      <c r="A43" s="1367" t="s">
        <v>1256</v>
      </c>
      <c r="B43" s="1368">
        <f>'预评函-3'!B4</f>
        <v>8640.14</v>
      </c>
    </row>
    <row r="44" spans="1:2" s="1369" customFormat="1" ht="31.2">
      <c r="A44" s="1367" t="s">
        <v>1240</v>
      </c>
      <c r="B44" s="1368" t="str">
        <f>'预评函-3'!C2</f>
        <v>(分摊)土地面积</v>
      </c>
    </row>
    <row r="45" spans="1:2" s="1369" customFormat="1">
      <c r="A45" s="1367" t="s">
        <v>1212</v>
      </c>
      <c r="B45" s="1368">
        <f>'预评函-3'!C4</f>
        <v>15462.6</v>
      </c>
    </row>
    <row r="46" spans="1:2" s="1369" customFormat="1">
      <c r="A46" s="1367" t="s">
        <v>1238</v>
      </c>
      <c r="B46" s="1368" t="str">
        <f>'预评函-3'!D2</f>
        <v>出让国有建设用地使用权价值</v>
      </c>
    </row>
    <row r="47" spans="1:2" s="1369" customFormat="1">
      <c r="A47" s="1367" t="s">
        <v>1213</v>
      </c>
      <c r="B47" s="1368">
        <f ca="1">'预评函-3'!D4</f>
        <v>6669</v>
      </c>
    </row>
    <row r="48" spans="1:2" s="1369" customFormat="1">
      <c r="A48" s="1367" t="s">
        <v>1214</v>
      </c>
      <c r="B48" s="1368">
        <f ca="1">'预评函-3'!E4</f>
        <v>7718</v>
      </c>
    </row>
    <row r="49" spans="1:2" s="1369" customFormat="1">
      <c r="A49" s="1367" t="s">
        <v>1215</v>
      </c>
      <c r="B49" s="1368" t="str">
        <f ca="1">'预评函-3'!D5</f>
        <v>陆仟陆佰陆拾玖万元整</v>
      </c>
    </row>
    <row r="50" spans="1:2" s="1369" customFormat="1">
      <c r="A50" s="1367" t="s">
        <v>1239</v>
      </c>
      <c r="B50" s="1368" t="str">
        <f>'预评函-3'!F2</f>
        <v>在建建筑物价值</v>
      </c>
    </row>
    <row r="51" spans="1:2" s="1369" customFormat="1">
      <c r="A51" s="1367" t="s">
        <v>1216</v>
      </c>
      <c r="B51" s="1368">
        <f ca="1">'预评函-3'!F4</f>
        <v>5412</v>
      </c>
    </row>
    <row r="52" spans="1:2" s="1369" customFormat="1">
      <c r="A52" s="1367" t="s">
        <v>1217</v>
      </c>
      <c r="B52" s="1368">
        <f ca="1">'预评函-3'!G4</f>
        <v>6264</v>
      </c>
    </row>
    <row r="53" spans="1:2" s="1369" customFormat="1">
      <c r="A53" s="1367" t="s">
        <v>1245</v>
      </c>
      <c r="B53" s="1368" t="str">
        <f ca="1">'预评函-3'!F5</f>
        <v>伍仟肆佰壹拾贰万元整</v>
      </c>
    </row>
    <row r="54" spans="1:2" s="1369" customFormat="1">
      <c r="A54" s="1367" t="s">
        <v>1263</v>
      </c>
      <c r="B54" s="1368" t="str">
        <f>'预评函-3'!A8</f>
        <v/>
      </c>
    </row>
    <row r="55" spans="1:2" s="1369" customFormat="1">
      <c r="A55" s="1367" t="s">
        <v>1246</v>
      </c>
      <c r="B55" s="1368" t="str">
        <f>'预评函-3'!A10</f>
        <v>抵押担保权已注销时的房地产抵押价值</v>
      </c>
    </row>
    <row r="56" spans="1:2" s="1369" customFormat="1">
      <c r="A56" s="1367" t="s">
        <v>1247</v>
      </c>
      <c r="B56" s="1368" t="str">
        <f>'预评函-3'!A12</f>
        <v/>
      </c>
    </row>
    <row r="57" spans="1:2" s="1363" customFormat="1" ht="16.2" thickBot="1">
      <c r="A57" s="1370" t="s">
        <v>1264</v>
      </c>
      <c r="B57" s="1371" t="str">
        <f>'预评函-3'!A6</f>
        <v>估价师知悉的法定优先受偿款</v>
      </c>
    </row>
    <row r="58" spans="1:2" s="1366" customFormat="1" ht="16.2" thickTop="1">
      <c r="A58" s="1364" t="s">
        <v>1218</v>
      </c>
      <c r="B58" s="1365" t="str">
        <f>'预评函-4'!A12</f>
        <v>2.本《评估意见函》仅供金融机构进行内部审核使用，不做其他目的之用。</v>
      </c>
    </row>
    <row r="59" spans="1:2" s="1369" customFormat="1">
      <c r="A59" s="1367" t="s">
        <v>1219</v>
      </c>
      <c r="B59" s="1368" t="str">
        <f>'预评函-4'!A13</f>
        <v>3.抵押双方在办理抵押登记手续时，应使用本公司出具的正式《房地产评估报告》，特提醒报告使用者注意。</v>
      </c>
    </row>
    <row r="60" spans="1:2" s="1369" customFormat="1">
      <c r="A60" s="1367" t="s">
        <v>1220</v>
      </c>
      <c r="B60" s="1368" t="str">
        <f>'预评函-4'!A14</f>
        <v>4.本次评估估价师所知悉的法定优先受偿款情况说明如下：</v>
      </c>
    </row>
    <row r="61" spans="1:2" s="1369" customFormat="1">
      <c r="A61" s="1367" t="s">
        <v>1221</v>
      </c>
      <c r="B61" s="136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369" customFormat="1">
      <c r="A62" s="1367" t="s">
        <v>1222</v>
      </c>
      <c r="B62" s="1368" t="str">
        <f>'预评函-4'!A16</f>
        <v>（2）根据《工程款支付情况说明》，截至价值时点，估价对象不存在应付未付工程款项。（只要没有施工方盖章的，均“设定”进行表述）</v>
      </c>
    </row>
    <row r="63" spans="1:2" s="1369" customFormat="1">
      <c r="A63" s="1367" t="s">
        <v>1223</v>
      </c>
      <c r="B63" s="13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9" customFormat="1">
      <c r="A64" s="1367" t="s">
        <v>1235</v>
      </c>
      <c r="B64" s="1368" t="str">
        <f>'预评函-4'!A18</f>
        <v>故，本次评估不存在估价师知悉的法定优先受偿款</v>
      </c>
    </row>
    <row r="65" spans="1:2" s="1369" customFormat="1">
      <c r="A65" s="1367" t="s">
        <v>1224</v>
      </c>
      <c r="B65" s="13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9" customFormat="1">
      <c r="A66" s="1367" t="s">
        <v>1225</v>
      </c>
      <c r="B66" s="1368" t="str">
        <f>'预评函-4'!A20</f>
        <v>——</v>
      </c>
    </row>
    <row r="67" spans="1:2" s="1369" customFormat="1">
      <c r="A67" s="1367" t="s">
        <v>1236</v>
      </c>
      <c r="B67" s="1368" t="str">
        <f>'预评函-4'!A21</f>
        <v>——</v>
      </c>
    </row>
    <row r="68" spans="1:2" s="1369" customFormat="1">
      <c r="A68" s="1367" t="s">
        <v>1237</v>
      </c>
      <c r="B68" s="1368" t="str">
        <f>'预评函-4'!A22</f>
        <v>8.其他需特殊说明事项：无（注意调整序号）</v>
      </c>
    </row>
    <row r="69" spans="1:2" s="1363" customFormat="1" ht="16.2" thickBot="1">
      <c r="A69" s="1370" t="s">
        <v>1226</v>
      </c>
      <c r="B69" s="1372">
        <f>'预评函-4'!C31</f>
        <v>42551</v>
      </c>
    </row>
    <row r="70" spans="1:2" ht="16.2" thickTop="1">
      <c r="A70" s="1373" t="s">
        <v>1227</v>
      </c>
      <c r="B70" s="1374" t="str">
        <f>'预评函-4'!A4</f>
        <v>崔锴</v>
      </c>
    </row>
    <row r="71" spans="1:2">
      <c r="A71" s="1367" t="s">
        <v>1228</v>
      </c>
      <c r="B71" s="1368">
        <f ca="1">'预评函-4'!B4</f>
        <v>1120100036</v>
      </c>
    </row>
    <row r="72" spans="1:2">
      <c r="A72" s="1367" t="s">
        <v>1229</v>
      </c>
      <c r="B72" s="1376" t="str">
        <f>'预评函-4'!A5</f>
        <v>郑燚</v>
      </c>
    </row>
    <row r="73" spans="1:2" s="1363" customFormat="1" ht="16.2" thickBot="1">
      <c r="A73" s="1370" t="s">
        <v>1230</v>
      </c>
      <c r="B73" s="1371">
        <f ca="1">'预评函-4'!B5</f>
        <v>1120070131</v>
      </c>
    </row>
    <row r="74" spans="1:2" ht="16.2" thickTop="1">
      <c r="A74" s="1360" t="s">
        <v>1266</v>
      </c>
      <c r="B74" s="1377"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E28" sqref="E28"/>
    </sheetView>
  </sheetViews>
  <sheetFormatPr defaultColWidth="9" defaultRowHeight="14.4"/>
  <cols>
    <col min="1" max="1" width="13.44140625" style="1747" customWidth="1"/>
    <col min="2" max="2" width="23.21875" style="1698" customWidth="1"/>
    <col min="3" max="3" width="13" style="1742" customWidth="1"/>
    <col min="4" max="4" width="5.77734375" style="1739" customWidth="1"/>
    <col min="5" max="5" width="7.109375" style="1739" customWidth="1"/>
    <col min="6" max="6" width="10.6640625" style="1739" customWidth="1"/>
    <col min="7" max="7" width="7.44140625" style="1739" customWidth="1"/>
    <col min="8" max="8" width="9" style="1742" customWidth="1"/>
    <col min="9" max="9" width="11.6640625" style="1742" customWidth="1"/>
    <col min="10" max="10" width="9" style="1742" customWidth="1"/>
    <col min="11" max="19" width="9" style="1739" customWidth="1"/>
    <col min="20" max="23" width="9" style="1742" customWidth="1"/>
    <col min="24" max="24" width="21.109375" style="1698" customWidth="1"/>
    <col min="25" max="16384" width="9" style="1698"/>
  </cols>
  <sheetData>
    <row r="1" spans="1:23" s="1736" customFormat="1" ht="28.8">
      <c r="A1" s="1730" t="s">
        <v>71</v>
      </c>
      <c r="B1" s="1731" t="s">
        <v>1655</v>
      </c>
      <c r="C1" s="1732" t="s">
        <v>759</v>
      </c>
      <c r="D1" s="1733" t="s">
        <v>1656</v>
      </c>
      <c r="E1" s="1733" t="s">
        <v>1657</v>
      </c>
      <c r="F1" s="1733" t="s">
        <v>1658</v>
      </c>
      <c r="G1" s="1733" t="s">
        <v>1659</v>
      </c>
      <c r="H1" s="1733" t="s">
        <v>1660</v>
      </c>
      <c r="I1" s="1733" t="s">
        <v>1661</v>
      </c>
      <c r="J1" s="1733" t="s">
        <v>1662</v>
      </c>
      <c r="K1" s="1733" t="s">
        <v>1663</v>
      </c>
      <c r="L1" s="1733" t="s">
        <v>1664</v>
      </c>
      <c r="M1" s="1733" t="s">
        <v>1665</v>
      </c>
      <c r="N1" s="1733" t="s">
        <v>1666</v>
      </c>
      <c r="O1" s="1733" t="s">
        <v>1667</v>
      </c>
      <c r="P1" s="1734" t="s">
        <v>753</v>
      </c>
      <c r="Q1" s="1734" t="s">
        <v>1112</v>
      </c>
      <c r="R1" s="1733" t="s">
        <v>1106</v>
      </c>
      <c r="S1" s="1733" t="s">
        <v>1668</v>
      </c>
      <c r="T1" s="1735" t="s">
        <v>1669</v>
      </c>
      <c r="U1" s="1733" t="s">
        <v>1670</v>
      </c>
      <c r="V1" s="1733" t="s">
        <v>1671</v>
      </c>
      <c r="W1" s="1733" t="s">
        <v>755</v>
      </c>
    </row>
    <row r="2" spans="1:23">
      <c r="A2" s="1737" t="s">
        <v>22</v>
      </c>
      <c r="B2" s="1737" t="s">
        <v>1672</v>
      </c>
      <c r="C2" s="1738" t="s">
        <v>760</v>
      </c>
      <c r="D2" s="1739" t="s">
        <v>1673</v>
      </c>
      <c r="E2" s="1739" t="s">
        <v>1674</v>
      </c>
      <c r="F2" s="1739" t="s">
        <v>1675</v>
      </c>
      <c r="G2" s="1739">
        <v>40</v>
      </c>
      <c r="H2" s="1739" t="s">
        <v>1675</v>
      </c>
      <c r="I2" s="1739" t="s">
        <v>1676</v>
      </c>
      <c r="J2" s="1739" t="s">
        <v>1677</v>
      </c>
      <c r="K2" s="1739" t="s">
        <v>1678</v>
      </c>
      <c r="L2" s="1739" t="s">
        <v>1678</v>
      </c>
      <c r="M2" s="1739" t="s">
        <v>1678</v>
      </c>
      <c r="N2" s="1739" t="s">
        <v>1678</v>
      </c>
      <c r="O2" s="1739" t="s">
        <v>1678</v>
      </c>
      <c r="P2" s="1739" t="s">
        <v>1678</v>
      </c>
      <c r="Q2" s="1739" t="s">
        <v>1678</v>
      </c>
      <c r="R2" s="1739" t="s">
        <v>1108</v>
      </c>
      <c r="S2" s="1739" t="s">
        <v>1678</v>
      </c>
      <c r="T2" s="1739" t="s">
        <v>1679</v>
      </c>
      <c r="U2" s="1739" t="s">
        <v>1678</v>
      </c>
      <c r="V2" s="1739" t="s">
        <v>1680</v>
      </c>
      <c r="W2" s="1739" t="s">
        <v>1678</v>
      </c>
    </row>
    <row r="3" spans="1:23">
      <c r="A3" s="1737" t="s">
        <v>1681</v>
      </c>
      <c r="B3" s="1740" t="s">
        <v>1113</v>
      </c>
      <c r="C3" s="1741" t="s">
        <v>761</v>
      </c>
      <c r="D3" s="1739" t="s">
        <v>1682</v>
      </c>
      <c r="E3" s="1739" t="s">
        <v>16</v>
      </c>
      <c r="F3" s="1739" t="s">
        <v>1683</v>
      </c>
      <c r="G3" s="1739">
        <v>50</v>
      </c>
      <c r="H3" s="1739" t="s">
        <v>1683</v>
      </c>
      <c r="I3" s="1739" t="s">
        <v>1684</v>
      </c>
      <c r="J3" s="1739" t="s">
        <v>1685</v>
      </c>
      <c r="K3" s="1739" t="s">
        <v>1686</v>
      </c>
      <c r="L3" s="1739" t="s">
        <v>1686</v>
      </c>
      <c r="M3" s="1739" t="s">
        <v>1686</v>
      </c>
      <c r="N3" s="1739" t="s">
        <v>1686</v>
      </c>
      <c r="O3" s="1739" t="s">
        <v>1686</v>
      </c>
      <c r="P3" s="1739" t="s">
        <v>1686</v>
      </c>
      <c r="Q3" s="1739" t="s">
        <v>1686</v>
      </c>
      <c r="R3" s="1739" t="s">
        <v>1107</v>
      </c>
      <c r="S3" s="1739" t="s">
        <v>1686</v>
      </c>
      <c r="T3" s="1739" t="s">
        <v>1687</v>
      </c>
      <c r="U3" s="1739" t="s">
        <v>1686</v>
      </c>
      <c r="V3" s="1739" t="s">
        <v>1688</v>
      </c>
      <c r="W3" s="1739" t="s">
        <v>1686</v>
      </c>
    </row>
    <row r="4" spans="1:23">
      <c r="A4" s="1737" t="s">
        <v>1689</v>
      </c>
      <c r="B4" s="1737" t="s">
        <v>1690</v>
      </c>
      <c r="C4" s="1738" t="s">
        <v>762</v>
      </c>
      <c r="D4" s="1739" t="s">
        <v>836</v>
      </c>
      <c r="E4" s="1739" t="s">
        <v>1691</v>
      </c>
      <c r="F4" s="1739" t="s">
        <v>1692</v>
      </c>
      <c r="G4" s="1739">
        <v>70</v>
      </c>
      <c r="H4" s="1739" t="s">
        <v>1692</v>
      </c>
      <c r="I4" s="1739" t="s">
        <v>1693</v>
      </c>
      <c r="K4" s="1739" t="s">
        <v>1694</v>
      </c>
      <c r="L4" s="1739" t="s">
        <v>1694</v>
      </c>
      <c r="M4" s="1739" t="s">
        <v>1694</v>
      </c>
      <c r="N4" s="1739" t="s">
        <v>1694</v>
      </c>
      <c r="O4" s="1739" t="s">
        <v>1694</v>
      </c>
      <c r="P4" s="1739" t="s">
        <v>1694</v>
      </c>
      <c r="Q4" s="1739" t="s">
        <v>1694</v>
      </c>
      <c r="R4" s="1739" t="s">
        <v>1109</v>
      </c>
      <c r="S4" s="1739" t="s">
        <v>1694</v>
      </c>
      <c r="T4" s="1739" t="s">
        <v>1695</v>
      </c>
      <c r="U4" s="1739" t="s">
        <v>1694</v>
      </c>
      <c r="W4" s="1739" t="s">
        <v>1694</v>
      </c>
    </row>
    <row r="5" spans="1:23">
      <c r="A5" s="1737" t="s">
        <v>1696</v>
      </c>
      <c r="B5" s="1737" t="s">
        <v>1697</v>
      </c>
      <c r="C5" s="1738" t="s">
        <v>763</v>
      </c>
      <c r="F5" s="1739" t="s">
        <v>1698</v>
      </c>
      <c r="H5" s="1739" t="s">
        <v>1699</v>
      </c>
      <c r="I5" s="1739" t="s">
        <v>1700</v>
      </c>
      <c r="K5" s="1739" t="s">
        <v>1701</v>
      </c>
      <c r="L5" s="1739" t="s">
        <v>1701</v>
      </c>
      <c r="M5" s="1739" t="s">
        <v>1701</v>
      </c>
      <c r="N5" s="1739" t="s">
        <v>1701</v>
      </c>
      <c r="O5" s="1739" t="s">
        <v>1701</v>
      </c>
      <c r="P5" s="1739" t="s">
        <v>1701</v>
      </c>
      <c r="Q5" s="1739" t="s">
        <v>1701</v>
      </c>
      <c r="R5" s="1739" t="s">
        <v>1110</v>
      </c>
      <c r="S5" s="1739" t="s">
        <v>1701</v>
      </c>
      <c r="T5" s="1739" t="s">
        <v>1702</v>
      </c>
      <c r="U5" s="1739" t="s">
        <v>1701</v>
      </c>
      <c r="W5" s="1739" t="s">
        <v>1701</v>
      </c>
    </row>
    <row r="6" spans="1:23">
      <c r="A6" s="1737" t="s">
        <v>1703</v>
      </c>
      <c r="B6" s="1740" t="s">
        <v>1114</v>
      </c>
      <c r="C6" s="1743" t="s">
        <v>30</v>
      </c>
      <c r="F6" s="1739" t="s">
        <v>1699</v>
      </c>
      <c r="H6" s="1739" t="s">
        <v>1704</v>
      </c>
      <c r="I6" s="1739" t="s">
        <v>1705</v>
      </c>
      <c r="K6" s="1739" t="s">
        <v>1706</v>
      </c>
      <c r="L6" s="1739" t="s">
        <v>1706</v>
      </c>
      <c r="M6" s="1739" t="s">
        <v>1706</v>
      </c>
      <c r="N6" s="1739" t="s">
        <v>1706</v>
      </c>
      <c r="O6" s="1739" t="s">
        <v>1706</v>
      </c>
      <c r="P6" s="1739" t="s">
        <v>1706</v>
      </c>
      <c r="Q6" s="1739" t="s">
        <v>1706</v>
      </c>
      <c r="R6" s="1739" t="s">
        <v>1111</v>
      </c>
      <c r="S6" s="1739" t="s">
        <v>1706</v>
      </c>
      <c r="T6" s="1739"/>
      <c r="U6" s="1739" t="s">
        <v>1706</v>
      </c>
      <c r="W6" s="1739" t="s">
        <v>1706</v>
      </c>
    </row>
    <row r="7" spans="1:23">
      <c r="A7" s="1737" t="s">
        <v>1707</v>
      </c>
      <c r="B7" s="1740" t="s">
        <v>1115</v>
      </c>
      <c r="C7" s="1738" t="s">
        <v>31</v>
      </c>
      <c r="F7" s="1739" t="s">
        <v>1708</v>
      </c>
      <c r="H7" s="1739" t="s">
        <v>1709</v>
      </c>
      <c r="I7" s="1739" t="s">
        <v>1710</v>
      </c>
    </row>
    <row r="8" spans="1:23">
      <c r="A8" s="1737" t="s">
        <v>1711</v>
      </c>
      <c r="B8" s="1737" t="s">
        <v>1712</v>
      </c>
      <c r="C8" s="1738" t="s">
        <v>764</v>
      </c>
      <c r="F8" s="1739" t="s">
        <v>1713</v>
      </c>
      <c r="H8" s="1739"/>
      <c r="I8" s="1739" t="s">
        <v>1714</v>
      </c>
    </row>
    <row r="9" spans="1:23">
      <c r="A9" s="1737" t="s">
        <v>1715</v>
      </c>
      <c r="B9" s="1737" t="s">
        <v>1716</v>
      </c>
      <c r="C9" s="1738" t="s">
        <v>765</v>
      </c>
      <c r="F9" s="1739" t="s">
        <v>1717</v>
      </c>
      <c r="H9" s="1739"/>
    </row>
    <row r="10" spans="1:23">
      <c r="A10" s="1737" t="s">
        <v>1718</v>
      </c>
      <c r="B10" s="1737" t="s">
        <v>1719</v>
      </c>
      <c r="C10" s="1738" t="s">
        <v>766</v>
      </c>
      <c r="F10" s="1739" t="s">
        <v>16</v>
      </c>
    </row>
    <row r="11" spans="1:23">
      <c r="A11" s="1737" t="s">
        <v>1720</v>
      </c>
      <c r="B11" s="1737" t="s">
        <v>1721</v>
      </c>
      <c r="C11" s="1738" t="s">
        <v>767</v>
      </c>
    </row>
    <row r="12" spans="1:23">
      <c r="A12" s="1737" t="s">
        <v>1722</v>
      </c>
      <c r="B12" s="1737" t="s">
        <v>1723</v>
      </c>
      <c r="C12" s="1738" t="s">
        <v>768</v>
      </c>
    </row>
    <row r="13" spans="1:23">
      <c r="A13" s="1737" t="s">
        <v>1724</v>
      </c>
      <c r="B13" s="1737" t="s">
        <v>1725</v>
      </c>
      <c r="C13" s="1738" t="s">
        <v>769</v>
      </c>
    </row>
    <row r="14" spans="1:23">
      <c r="A14" s="1737" t="s">
        <v>1726</v>
      </c>
      <c r="B14" s="1737" t="s">
        <v>1727</v>
      </c>
      <c r="C14" s="1739" t="s">
        <v>16</v>
      </c>
    </row>
    <row r="15" spans="1:23">
      <c r="A15" s="1737" t="s">
        <v>1728</v>
      </c>
      <c r="B15" s="1737" t="s">
        <v>1729</v>
      </c>
      <c r="C15" s="1738"/>
    </row>
    <row r="16" spans="1:23">
      <c r="A16" s="1737" t="s">
        <v>1730</v>
      </c>
      <c r="B16" s="1737" t="s">
        <v>756</v>
      </c>
      <c r="C16" s="1738"/>
    </row>
    <row r="17" spans="1:3">
      <c r="A17" s="1737" t="s">
        <v>1731</v>
      </c>
      <c r="B17" s="1737" t="s">
        <v>3048</v>
      </c>
      <c r="C17" s="1738"/>
    </row>
    <row r="18" spans="1:3">
      <c r="A18" s="1737" t="s">
        <v>1732</v>
      </c>
      <c r="B18" s="1737" t="s">
        <v>757</v>
      </c>
      <c r="C18" s="1738"/>
    </row>
    <row r="19" spans="1:3">
      <c r="A19" s="1737" t="s">
        <v>1733</v>
      </c>
      <c r="B19" s="1737" t="s">
        <v>757</v>
      </c>
      <c r="C19" s="1738"/>
    </row>
    <row r="20" spans="1:3">
      <c r="A20" s="1737" t="s">
        <v>1734</v>
      </c>
      <c r="B20" s="1737" t="s">
        <v>757</v>
      </c>
      <c r="C20" s="1738"/>
    </row>
    <row r="21" spans="1:3">
      <c r="A21" s="1737" t="s">
        <v>1735</v>
      </c>
      <c r="B21" s="1737" t="s">
        <v>757</v>
      </c>
      <c r="C21" s="1738"/>
    </row>
    <row r="22" spans="1:3">
      <c r="A22" s="1737" t="s">
        <v>1736</v>
      </c>
      <c r="B22" s="1737" t="s">
        <v>757</v>
      </c>
      <c r="C22" s="1738"/>
    </row>
    <row r="23" spans="1:3">
      <c r="A23" s="1737" t="s">
        <v>1737</v>
      </c>
      <c r="B23" s="1737" t="s">
        <v>757</v>
      </c>
      <c r="C23" s="1738"/>
    </row>
    <row r="24" spans="1:3">
      <c r="A24" s="1737" t="s">
        <v>1738</v>
      </c>
      <c r="B24" s="1737" t="s">
        <v>757</v>
      </c>
      <c r="C24" s="1738"/>
    </row>
    <row r="25" spans="1:3">
      <c r="A25" s="1737" t="s">
        <v>1739</v>
      </c>
      <c r="B25" s="1737" t="s">
        <v>757</v>
      </c>
      <c r="C25" s="1738"/>
    </row>
    <row r="26" spans="1:3">
      <c r="A26" s="1737" t="s">
        <v>1740</v>
      </c>
      <c r="B26" s="1737" t="s">
        <v>757</v>
      </c>
      <c r="C26" s="1738"/>
    </row>
    <row r="27" spans="1:3">
      <c r="A27" s="1737" t="s">
        <v>757</v>
      </c>
      <c r="B27" s="1737" t="s">
        <v>757</v>
      </c>
      <c r="C27" s="1738"/>
    </row>
    <row r="28" spans="1:3">
      <c r="A28" s="1737" t="s">
        <v>757</v>
      </c>
      <c r="B28" s="1737" t="s">
        <v>757</v>
      </c>
      <c r="C28" s="1738"/>
    </row>
    <row r="29" spans="1:3">
      <c r="A29" s="1737" t="s">
        <v>757</v>
      </c>
      <c r="B29" s="1737" t="s">
        <v>757</v>
      </c>
      <c r="C29" s="1738"/>
    </row>
    <row r="30" spans="1:3">
      <c r="A30" s="1737" t="s">
        <v>757</v>
      </c>
      <c r="B30" s="1737" t="s">
        <v>757</v>
      </c>
      <c r="C30" s="1738"/>
    </row>
    <row r="31" spans="1:3">
      <c r="A31" s="1737" t="s">
        <v>757</v>
      </c>
      <c r="B31" s="1737" t="s">
        <v>757</v>
      </c>
      <c r="C31" s="1738"/>
    </row>
    <row r="32" spans="1:3">
      <c r="A32" s="1737" t="s">
        <v>757</v>
      </c>
      <c r="B32" s="1737" t="s">
        <v>757</v>
      </c>
      <c r="C32" s="1738"/>
    </row>
    <row r="33" spans="1:3">
      <c r="A33" s="1737" t="s">
        <v>757</v>
      </c>
      <c r="B33" s="1737" t="s">
        <v>757</v>
      </c>
      <c r="C33" s="1738"/>
    </row>
    <row r="34" spans="1:3">
      <c r="A34" s="1737" t="s">
        <v>757</v>
      </c>
      <c r="B34" s="1737" t="s">
        <v>757</v>
      </c>
      <c r="C34" s="1738"/>
    </row>
    <row r="35" spans="1:3">
      <c r="A35" s="1737" t="s">
        <v>757</v>
      </c>
      <c r="B35" s="1737" t="s">
        <v>757</v>
      </c>
      <c r="C35" s="1738"/>
    </row>
    <row r="36" spans="1:3">
      <c r="A36" s="1737" t="s">
        <v>757</v>
      </c>
      <c r="B36" s="1737" t="s">
        <v>757</v>
      </c>
      <c r="C36" s="1738"/>
    </row>
    <row r="37" spans="1:3">
      <c r="A37" s="1737" t="s">
        <v>757</v>
      </c>
      <c r="B37" s="1737" t="s">
        <v>757</v>
      </c>
      <c r="C37" s="1738"/>
    </row>
    <row r="38" spans="1:3">
      <c r="A38" s="1737" t="s">
        <v>757</v>
      </c>
      <c r="B38" s="1737" t="s">
        <v>757</v>
      </c>
      <c r="C38" s="1738"/>
    </row>
    <row r="39" spans="1:3">
      <c r="A39" s="1737" t="s">
        <v>757</v>
      </c>
      <c r="B39" s="1737" t="s">
        <v>757</v>
      </c>
      <c r="C39" s="1738"/>
    </row>
    <row r="40" spans="1:3">
      <c r="A40" s="1737" t="s">
        <v>757</v>
      </c>
      <c r="B40" s="1737" t="s">
        <v>757</v>
      </c>
      <c r="C40" s="1738"/>
    </row>
    <row r="41" spans="1:3">
      <c r="A41" s="1737" t="s">
        <v>757</v>
      </c>
      <c r="B41" s="1737" t="s">
        <v>757</v>
      </c>
      <c r="C41" s="1738"/>
    </row>
    <row r="42" spans="1:3">
      <c r="A42" s="1737" t="s">
        <v>757</v>
      </c>
      <c r="B42" s="1737" t="s">
        <v>757</v>
      </c>
      <c r="C42" s="1738"/>
    </row>
    <row r="43" spans="1:3">
      <c r="A43" s="1737" t="s">
        <v>757</v>
      </c>
      <c r="B43" s="1737" t="s">
        <v>757</v>
      </c>
      <c r="C43" s="1738"/>
    </row>
    <row r="44" spans="1:3">
      <c r="A44" s="1737" t="s">
        <v>757</v>
      </c>
      <c r="B44" s="1737" t="s">
        <v>757</v>
      </c>
      <c r="C44" s="1738"/>
    </row>
    <row r="45" spans="1:3">
      <c r="A45" s="1737" t="s">
        <v>757</v>
      </c>
      <c r="B45" s="1737" t="s">
        <v>757</v>
      </c>
      <c r="C45" s="1738"/>
    </row>
    <row r="46" spans="1:3">
      <c r="A46" s="1737" t="s">
        <v>757</v>
      </c>
      <c r="B46" s="1737" t="s">
        <v>757</v>
      </c>
      <c r="C46" s="1738"/>
    </row>
    <row r="47" spans="1:3">
      <c r="A47" s="1737" t="s">
        <v>757</v>
      </c>
      <c r="B47" s="1737" t="s">
        <v>757</v>
      </c>
      <c r="C47" s="1738"/>
    </row>
    <row r="48" spans="1:3">
      <c r="A48" s="1737" t="s">
        <v>757</v>
      </c>
      <c r="B48" s="1737" t="s">
        <v>757</v>
      </c>
      <c r="C48" s="1738"/>
    </row>
    <row r="49" spans="1:4">
      <c r="A49" s="1737" t="s">
        <v>757</v>
      </c>
      <c r="B49" s="1737" t="s">
        <v>757</v>
      </c>
      <c r="C49" s="1738"/>
    </row>
    <row r="50" spans="1:4">
      <c r="A50" s="1737" t="s">
        <v>757</v>
      </c>
      <c r="B50" s="1737" t="s">
        <v>757</v>
      </c>
      <c r="C50" s="1738"/>
    </row>
    <row r="51" spans="1:4">
      <c r="A51" s="1744" t="s">
        <v>825</v>
      </c>
      <c r="B51" s="1745" t="str">
        <f>"为估价委托人在向"&amp;项目基本情况!B6&amp;"办理贷款手续过程中，确定房地产抵押贷款额度提供参考依据而评估房地产抵押价值。"</f>
        <v>为估价委托人在向上海浦东发展银行股份有限公司北京望京支行办理贷款手续过程中，确定房地产抵押贷款额度提供参考依据而评估房地产抵押价值。</v>
      </c>
      <c r="C51" s="17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东环北路1号工业用房房地产作为抵押担保物，向上海浦东发展银行股份有限公司北京望京支行办理贷款手续。上海浦东发展银行股份有限公司北京望京支行特委托北京康正宏基房地产评估有限公司对上述抵押物进行评估。本次评估为确定房地产抵押贷款额度提供参考依据而评估房地产抵押价值。</v>
      </c>
      <c r="D51" s="1745" t="s">
        <v>1251</v>
      </c>
    </row>
    <row r="52" spans="1:4">
      <c r="A52" s="1744" t="s">
        <v>826</v>
      </c>
      <c r="B52" s="1744" t="s">
        <v>827</v>
      </c>
      <c r="C52" s="1742" t="s">
        <v>828</v>
      </c>
      <c r="D52" s="1742" t="s">
        <v>829</v>
      </c>
    </row>
    <row r="53" spans="1:4">
      <c r="A53" s="3159" t="s">
        <v>830</v>
      </c>
      <c r="B53" s="1745" t="s">
        <v>831</v>
      </c>
      <c r="C53" s="17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9"/>
      <c r="B54" s="1745" t="s">
        <v>832</v>
      </c>
      <c r="C54" s="1742" t="s">
        <v>1248</v>
      </c>
    </row>
    <row r="55" spans="1:4">
      <c r="A55" s="3159"/>
      <c r="B55" s="1745" t="s">
        <v>833</v>
      </c>
      <c r="C55" s="1742" t="s">
        <v>1249</v>
      </c>
    </row>
    <row r="56" spans="1:4">
      <c r="A56" s="3159"/>
      <c r="B56" s="1745" t="s">
        <v>834</v>
      </c>
      <c r="C56" s="1742" t="s">
        <v>1253</v>
      </c>
    </row>
    <row r="57" spans="1:4">
      <c r="A57" s="3159"/>
      <c r="B57" s="1745" t="s">
        <v>835</v>
      </c>
      <c r="C57" s="1742" t="s">
        <v>1250</v>
      </c>
    </row>
    <row r="58" spans="1:4">
      <c r="A58" s="1746"/>
      <c r="B58" s="1742"/>
    </row>
    <row r="59" spans="1:4">
      <c r="A59" s="1746"/>
      <c r="B59" s="1742"/>
    </row>
    <row r="60" spans="1:4">
      <c r="A60" s="1746"/>
      <c r="B60" s="1742"/>
    </row>
    <row r="61" spans="1:4">
      <c r="A61" s="1746"/>
      <c r="B61" s="1742"/>
    </row>
    <row r="62" spans="1:4">
      <c r="A62" s="1746"/>
      <c r="B62" s="1742"/>
    </row>
    <row r="63" spans="1:4">
      <c r="A63" s="1746"/>
      <c r="B63" s="1742"/>
    </row>
    <row r="64" spans="1:4">
      <c r="A64" s="1746"/>
      <c r="B64" s="1742"/>
    </row>
    <row r="65" spans="1:2">
      <c r="A65" s="1746"/>
      <c r="B65" s="1742"/>
    </row>
    <row r="66" spans="1:2">
      <c r="A66" s="1746"/>
      <c r="B66" s="1742"/>
    </row>
    <row r="67" spans="1:2">
      <c r="A67" s="1746"/>
      <c r="B67" s="1742"/>
    </row>
    <row r="68" spans="1:2">
      <c r="A68" s="1746"/>
      <c r="B68" s="1742"/>
    </row>
    <row r="69" spans="1:2">
      <c r="A69" s="1746"/>
      <c r="B69" s="1742"/>
    </row>
    <row r="70" spans="1:2">
      <c r="A70" s="1746"/>
      <c r="B70" s="1742"/>
    </row>
    <row r="71" spans="1:2">
      <c r="A71" s="1746"/>
      <c r="B71" s="1742"/>
    </row>
    <row r="72" spans="1:2">
      <c r="A72" s="1746"/>
      <c r="B72" s="1742"/>
    </row>
    <row r="73" spans="1:2">
      <c r="A73" s="1746"/>
      <c r="B73" s="1742"/>
    </row>
    <row r="74" spans="1:2">
      <c r="A74" s="1746"/>
      <c r="B74" s="1742"/>
    </row>
    <row r="75" spans="1:2">
      <c r="A75" s="1746"/>
      <c r="B75" s="1742"/>
    </row>
    <row r="76" spans="1:2">
      <c r="A76" s="1746"/>
      <c r="B76" s="1742"/>
    </row>
    <row r="77" spans="1:2">
      <c r="A77" s="1746"/>
      <c r="B77" s="1742"/>
    </row>
    <row r="78" spans="1:2">
      <c r="A78" s="1746"/>
      <c r="B78" s="1742"/>
    </row>
    <row r="79" spans="1:2">
      <c r="A79" s="1746"/>
      <c r="B79" s="1742"/>
    </row>
    <row r="80" spans="1:2">
      <c r="A80" s="1746"/>
      <c r="B80" s="1742"/>
    </row>
    <row r="81" spans="1:2">
      <c r="A81" s="1746"/>
      <c r="B81" s="1742"/>
    </row>
    <row r="82" spans="1:2">
      <c r="A82" s="1746"/>
      <c r="B82" s="1742"/>
    </row>
    <row r="83" spans="1:2">
      <c r="A83" s="1746"/>
      <c r="B83" s="1742"/>
    </row>
    <row r="84" spans="1:2">
      <c r="A84" s="1746"/>
      <c r="B84" s="1742"/>
    </row>
    <row r="85" spans="1:2">
      <c r="A85" s="1746"/>
      <c r="B85" s="1742"/>
    </row>
    <row r="86" spans="1:2">
      <c r="A86" s="1746"/>
      <c r="B86" s="1742"/>
    </row>
    <row r="87" spans="1:2">
      <c r="A87" s="1746"/>
      <c r="B87" s="1742"/>
    </row>
    <row r="88" spans="1:2">
      <c r="A88" s="1746"/>
      <c r="B88" s="1742"/>
    </row>
    <row r="89" spans="1:2">
      <c r="A89" s="1746"/>
      <c r="B89" s="1742"/>
    </row>
    <row r="90" spans="1:2">
      <c r="A90" s="1746"/>
      <c r="B90" s="1742"/>
    </row>
    <row r="91" spans="1:2">
      <c r="A91" s="1746"/>
      <c r="B91" s="1742"/>
    </row>
    <row r="92" spans="1:2">
      <c r="A92" s="1746"/>
      <c r="B92" s="1742"/>
    </row>
    <row r="93" spans="1:2">
      <c r="A93" s="1746"/>
      <c r="B93" s="1742"/>
    </row>
    <row r="94" spans="1:2">
      <c r="A94" s="1746"/>
      <c r="B94" s="1742"/>
    </row>
    <row r="95" spans="1:2">
      <c r="A95" s="1746"/>
      <c r="B95" s="1742"/>
    </row>
    <row r="96" spans="1:2">
      <c r="A96" s="1746"/>
      <c r="B96" s="1742"/>
    </row>
    <row r="97" spans="1:2">
      <c r="A97" s="1746"/>
      <c r="B97" s="1742"/>
    </row>
    <row r="98" spans="1:2">
      <c r="A98" s="1746"/>
      <c r="B98" s="1742"/>
    </row>
    <row r="99" spans="1:2">
      <c r="A99" s="1746"/>
      <c r="B99" s="1742"/>
    </row>
    <row r="100" spans="1:2">
      <c r="A100" s="1746"/>
      <c r="B100" s="1742"/>
    </row>
    <row r="101" spans="1:2">
      <c r="A101" s="1746"/>
      <c r="B101" s="1742"/>
    </row>
    <row r="102" spans="1:2">
      <c r="A102" s="1746"/>
      <c r="B102" s="1742"/>
    </row>
    <row r="103" spans="1:2">
      <c r="A103" s="1746"/>
      <c r="B103" s="1742"/>
    </row>
    <row r="104" spans="1:2">
      <c r="A104" s="1746"/>
      <c r="B104" s="1742"/>
    </row>
    <row r="105" spans="1:2">
      <c r="A105" s="1746"/>
      <c r="B105" s="1742"/>
    </row>
    <row r="106" spans="1:2">
      <c r="A106" s="1746"/>
      <c r="B106" s="1742"/>
    </row>
    <row r="107" spans="1:2">
      <c r="A107" s="1746"/>
      <c r="B107" s="1742"/>
    </row>
    <row r="108" spans="1:2">
      <c r="A108" s="1746"/>
      <c r="B108" s="1742"/>
    </row>
    <row r="109" spans="1:2">
      <c r="A109" s="1746"/>
      <c r="B109" s="1742"/>
    </row>
    <row r="110" spans="1:2">
      <c r="A110" s="1746"/>
      <c r="B110" s="1742"/>
    </row>
    <row r="111" spans="1:2">
      <c r="A111" s="1746"/>
      <c r="B111" s="1742"/>
    </row>
    <row r="112" spans="1:2">
      <c r="A112" s="1746"/>
      <c r="B112" s="1742"/>
    </row>
    <row r="113" spans="1:2">
      <c r="A113" s="1746"/>
      <c r="B113" s="1742"/>
    </row>
    <row r="114" spans="1:2">
      <c r="A114" s="1746"/>
      <c r="B114" s="1742"/>
    </row>
    <row r="115" spans="1:2">
      <c r="A115" s="1746"/>
      <c r="B115" s="1742"/>
    </row>
    <row r="116" spans="1:2">
      <c r="A116" s="1746"/>
      <c r="B116" s="1742"/>
    </row>
    <row r="117" spans="1:2">
      <c r="A117" s="1746"/>
      <c r="B117" s="1742"/>
    </row>
    <row r="118" spans="1:2">
      <c r="A118" s="1746"/>
      <c r="B118" s="1742"/>
    </row>
    <row r="119" spans="1:2">
      <c r="A119" s="1746"/>
      <c r="B119" s="1742"/>
    </row>
    <row r="120" spans="1:2">
      <c r="A120" s="1746"/>
      <c r="B120" s="1742"/>
    </row>
    <row r="121" spans="1:2">
      <c r="A121" s="1746"/>
      <c r="B121" s="1742"/>
    </row>
    <row r="122" spans="1:2">
      <c r="A122" s="1746"/>
      <c r="B122" s="1742"/>
    </row>
    <row r="123" spans="1:2">
      <c r="A123" s="1746"/>
      <c r="B123" s="1742"/>
    </row>
    <row r="124" spans="1:2">
      <c r="A124" s="1746"/>
      <c r="B124" s="1742"/>
    </row>
    <row r="125" spans="1:2">
      <c r="A125" s="1746"/>
      <c r="B125" s="1742"/>
    </row>
    <row r="126" spans="1:2">
      <c r="A126" s="1746"/>
      <c r="B126" s="1742"/>
    </row>
    <row r="127" spans="1:2">
      <c r="A127" s="1746"/>
      <c r="B127" s="17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8" sqref="E8"/>
    </sheetView>
  </sheetViews>
  <sheetFormatPr defaultColWidth="10" defaultRowHeight="13.2"/>
  <cols>
    <col min="1" max="1" width="16.88671875" style="1937" customWidth="1"/>
    <col min="2" max="2" width="10" style="1937" customWidth="1"/>
    <col min="3" max="3" width="11.44140625" style="1937" customWidth="1"/>
    <col min="4" max="4" width="10" style="1937" customWidth="1"/>
    <col min="5" max="5" width="12.6640625" style="1937" customWidth="1"/>
    <col min="6" max="6" width="10" style="1937" customWidth="1"/>
    <col min="7" max="7" width="10.77734375" style="1937" customWidth="1"/>
    <col min="8" max="8" width="10" style="1937" customWidth="1"/>
    <col min="9" max="9" width="11.109375" style="1770" customWidth="1"/>
    <col min="10" max="10" width="10" style="1935" customWidth="1"/>
    <col min="11" max="11" width="10" style="2856" customWidth="1"/>
    <col min="12" max="13" width="10" style="2857" customWidth="1"/>
    <col min="14" max="14" width="10" style="1935" customWidth="1"/>
    <col min="15" max="15" width="10" style="12" customWidth="1"/>
    <col min="16" max="17" width="10" style="1935"/>
    <col min="18" max="18" width="10" style="1935" customWidth="1"/>
    <col min="19" max="30" width="10" style="1935"/>
    <col min="31" max="16384" width="10" style="1937"/>
  </cols>
  <sheetData>
    <row r="1" spans="1:28" ht="13.8" thickBot="1">
      <c r="A1" s="2596" t="s">
        <v>2925</v>
      </c>
      <c r="B1" s="3160" t="str">
        <f>IF(B10="北京市","北京市",C10)&amp;F10&amp;IF(结果表!G1="在建","出让国有建设用地使用权及在建建筑物",IF(结果表!G1="土地","出让国有建设用地使用权",))&amp;B9&amp;"预评估"</f>
        <v>北京市北京经济技术开发区东环北路1号工业用房房地产抵押价值预评估</v>
      </c>
      <c r="C1" s="3161"/>
      <c r="D1" s="3161"/>
      <c r="E1" s="3161"/>
      <c r="F1" s="3161"/>
      <c r="G1" s="3161"/>
      <c r="H1" s="3161"/>
      <c r="I1" s="3162"/>
      <c r="J1" s="2700"/>
      <c r="K1" s="2598"/>
      <c r="L1" s="2599"/>
      <c r="M1" s="2599"/>
      <c r="N1" s="2600"/>
      <c r="O1" s="1767"/>
      <c r="P1" s="2600"/>
      <c r="Q1" s="2600"/>
      <c r="R1" s="2600"/>
      <c r="S1" s="1874" t="str">
        <f>IF(B10="北京市","北京市",C10)&amp;F10&amp;IF(结果表!G1="在建","出让国有建设用地使用权及在建建筑物房地产抵押价值",IF(结果表!G1="土地","出让国有建设用地使用权抵押价值",B9))</f>
        <v>北京市北京经济技术开发区东环北路1号工业用房房地产抵押价值</v>
      </c>
      <c r="T1" s="1937"/>
      <c r="U1" s="1937"/>
      <c r="V1" s="1937"/>
      <c r="W1" s="1937"/>
      <c r="X1" s="1937"/>
      <c r="Y1" s="1937"/>
      <c r="Z1" s="1937"/>
      <c r="AA1" s="1937"/>
      <c r="AB1" s="1937"/>
    </row>
    <row r="2" spans="1:28">
      <c r="A2" s="2597" t="s">
        <v>2926</v>
      </c>
      <c r="B2" s="2601"/>
      <c r="C2" s="2602"/>
      <c r="D2" s="2899"/>
      <c r="E2" s="2890"/>
      <c r="F2" s="2890"/>
      <c r="G2" s="2891"/>
      <c r="H2" s="2891"/>
      <c r="I2" s="2891"/>
      <c r="J2" s="2700"/>
      <c r="K2" s="2598"/>
      <c r="L2" s="2599"/>
      <c r="M2" s="2599"/>
      <c r="N2" s="2600"/>
      <c r="O2" s="1767"/>
      <c r="P2" s="2600"/>
      <c r="Q2" s="2600"/>
      <c r="R2" s="2600"/>
      <c r="S2" s="1874" t="str">
        <f>IF(B10="北京市","北京市",C10)&amp;F10&amp;IF(结果表!G1="在建","出让国有建设用地使用权及在建建筑物房地产",IF(结果表!G1="土地","出让国有建设用地使用权","房地产"))</f>
        <v>北京市北京经济技术开发区东环北路1号工业用房房地产</v>
      </c>
      <c r="T2" s="1937"/>
      <c r="U2" s="1937"/>
      <c r="V2" s="1937"/>
      <c r="W2" s="1937"/>
      <c r="X2" s="1937"/>
      <c r="Y2" s="1937"/>
      <c r="Z2" s="1937"/>
      <c r="AA2" s="1937"/>
      <c r="AB2" s="1937"/>
    </row>
    <row r="3" spans="1:28">
      <c r="A3" s="312" t="s">
        <v>2927</v>
      </c>
      <c r="B3" s="2603">
        <v>44063</v>
      </c>
      <c r="C3" s="2604" t="s">
        <v>2928</v>
      </c>
      <c r="D3" s="2603">
        <f>B3</f>
        <v>44063</v>
      </c>
      <c r="E3" s="2891"/>
      <c r="F3" s="2891"/>
      <c r="G3" s="2891"/>
      <c r="H3" s="2891"/>
      <c r="I3" s="2891"/>
      <c r="J3" s="2700"/>
      <c r="K3" s="2598"/>
      <c r="L3" s="2599"/>
      <c r="M3" s="2599"/>
      <c r="N3" s="2600"/>
      <c r="O3" s="1767"/>
      <c r="P3" s="2600"/>
      <c r="Q3" s="2600"/>
      <c r="R3" s="2600"/>
      <c r="S3" s="1874"/>
      <c r="T3" s="1937"/>
      <c r="U3" s="1937"/>
      <c r="V3" s="1937"/>
      <c r="W3" s="1937"/>
      <c r="X3" s="1937"/>
      <c r="Y3" s="1937"/>
      <c r="Z3" s="1937"/>
      <c r="AA3" s="1937"/>
      <c r="AB3" s="1937"/>
    </row>
    <row r="4" spans="1:28" ht="13.8" thickBot="1">
      <c r="A4" s="1254" t="s">
        <v>2929</v>
      </c>
      <c r="B4" s="2605" t="s">
        <v>3134</v>
      </c>
      <c r="C4" s="2606">
        <f ca="1">SUMIF(注册房地产估价师,B4,估价师及机构信息!B3:B24)</f>
        <v>1120100036</v>
      </c>
      <c r="D4" s="2605" t="s">
        <v>3135</v>
      </c>
      <c r="E4" s="2607">
        <f ca="1">SUMIF(注册房地产估价师,D4,估价师及机构信息!B3:B24)</f>
        <v>1120070131</v>
      </c>
      <c r="F4" s="2605"/>
      <c r="G4" s="2607">
        <f>SUMIF(注册房地产估价师,F4,估价师及机构信息!B3:B24)</f>
        <v>0</v>
      </c>
      <c r="H4" s="2605"/>
      <c r="I4" s="2607">
        <f>SUMIF(注册房地产估价师,H4,估价师及机构信息!B3:B24)</f>
        <v>0</v>
      </c>
      <c r="J4" s="2669"/>
      <c r="K4" s="2608" t="str">
        <f ca="1">CONCATENATE(B4,"（注册号：",C4,")、",D4,"（注册号：",E4,")")</f>
        <v>崔锴（注册号：1120100036)、郑燚（注册号：1120070131)</v>
      </c>
      <c r="L4" s="2599"/>
      <c r="M4" s="2599"/>
      <c r="N4" s="2600"/>
      <c r="O4" s="1767"/>
      <c r="P4" s="2600"/>
      <c r="Q4" s="2600"/>
      <c r="R4" s="2600"/>
      <c r="S4" s="1874"/>
      <c r="T4" s="1937"/>
      <c r="U4" s="1937"/>
      <c r="V4" s="1937"/>
      <c r="W4" s="1937"/>
      <c r="X4" s="1937"/>
      <c r="Y4" s="1937"/>
      <c r="Z4" s="1937"/>
      <c r="AA4" s="1937"/>
      <c r="AB4" s="1937"/>
    </row>
    <row r="5" spans="1:28" ht="14.4" thickTop="1" thickBot="1">
      <c r="A5" s="2609" t="s">
        <v>2930</v>
      </c>
      <c r="B5" s="3031" t="s">
        <v>3136</v>
      </c>
      <c r="C5" s="2610"/>
      <c r="D5" s="2611"/>
      <c r="E5" s="2892"/>
      <c r="F5" s="2892"/>
      <c r="G5" s="2892"/>
      <c r="H5" s="2892"/>
      <c r="I5" s="2892"/>
      <c r="J5" s="2669"/>
      <c r="K5" s="2608" t="str">
        <f>IF(F4="——","",IF(H4="——",F4&amp;"（注册号："&amp;G4&amp;")",CONCATENATE(F4,"（注册号：",G4,")、",H4,"（注册号：",I4,")")))</f>
        <v>（注册号：0)、（注册号：0)</v>
      </c>
      <c r="L5" s="2599"/>
      <c r="M5" s="2599"/>
      <c r="N5" s="2600"/>
      <c r="O5" s="1767"/>
      <c r="P5" s="2600"/>
      <c r="Q5" s="2600"/>
      <c r="R5" s="2600"/>
      <c r="S5" s="1937"/>
      <c r="T5" s="1937"/>
      <c r="U5" s="1937"/>
      <c r="V5" s="1937"/>
      <c r="W5" s="1937"/>
      <c r="X5" s="1937"/>
      <c r="Y5" s="1937"/>
      <c r="Z5" s="1937"/>
      <c r="AA5" s="1937"/>
      <c r="AB5" s="1937"/>
    </row>
    <row r="6" spans="1:28" ht="13.8" thickTop="1">
      <c r="A6" s="2612" t="s">
        <v>2931</v>
      </c>
      <c r="B6" s="3031" t="s">
        <v>3140</v>
      </c>
      <c r="C6" s="2613"/>
      <c r="D6" s="2614"/>
      <c r="E6" s="2890"/>
      <c r="F6" s="2892"/>
      <c r="G6" s="2892"/>
      <c r="H6" s="2892"/>
      <c r="I6" s="2892"/>
      <c r="J6" s="2669"/>
      <c r="K6" s="2842" t="str">
        <f>IF(COUNTIF(B6,"*上海银行*"),"上海银行","")</f>
        <v/>
      </c>
      <c r="L6" s="2840"/>
      <c r="M6" s="2840"/>
      <c r="N6" s="2669"/>
      <c r="O6" s="2680"/>
      <c r="P6" s="2669"/>
      <c r="Q6" s="2669"/>
      <c r="R6" s="2669"/>
    </row>
    <row r="7" spans="1:28">
      <c r="A7" s="2612" t="s">
        <v>2932</v>
      </c>
      <c r="B7" s="2615"/>
      <c r="C7" s="2613"/>
      <c r="D7" s="2614"/>
      <c r="E7" s="2890"/>
      <c r="F7" s="2892"/>
      <c r="G7" s="2892"/>
      <c r="H7" s="2892"/>
      <c r="I7" s="2892"/>
      <c r="J7" s="2669"/>
      <c r="K7" s="2843"/>
      <c r="L7" s="2840"/>
      <c r="M7" s="2840"/>
      <c r="N7" s="2669"/>
      <c r="O7" s="2680"/>
      <c r="P7" s="2669"/>
      <c r="Q7" s="2669"/>
      <c r="R7" s="2669"/>
    </row>
    <row r="8" spans="1:28">
      <c r="A8" s="2616" t="s">
        <v>2933</v>
      </c>
      <c r="B8" s="2617" t="s">
        <v>3137</v>
      </c>
      <c r="C8" s="2618"/>
      <c r="D8" s="3163" t="s">
        <v>2934</v>
      </c>
      <c r="E8" s="2619" t="s">
        <v>4414</v>
      </c>
      <c r="F8" s="2620"/>
      <c r="G8" s="2891"/>
      <c r="H8" s="2891"/>
      <c r="I8" s="2891"/>
      <c r="J8" s="2669"/>
      <c r="K8" s="2841"/>
      <c r="L8" s="2840"/>
      <c r="M8" s="2840"/>
      <c r="N8" s="2669"/>
      <c r="O8" s="2680"/>
      <c r="P8" s="2669"/>
      <c r="Q8" s="2669"/>
      <c r="R8" s="2669"/>
    </row>
    <row r="9" spans="1:28" ht="13.8" thickBot="1">
      <c r="A9" s="2621" t="s">
        <v>2935</v>
      </c>
      <c r="B9" s="2622" t="s">
        <v>3138</v>
      </c>
      <c r="C9" s="2623"/>
      <c r="D9" s="3164"/>
      <c r="E9" s="2622"/>
      <c r="F9" s="2624"/>
      <c r="G9" s="2893"/>
      <c r="H9" s="2893"/>
      <c r="I9" s="2893"/>
      <c r="J9" s="2669"/>
      <c r="K9" s="2843"/>
      <c r="L9" s="2840"/>
      <c r="M9" s="2840"/>
      <c r="N9" s="2669"/>
      <c r="O9" s="2680"/>
      <c r="P9" s="2669"/>
      <c r="Q9" s="2669"/>
      <c r="R9" s="2669"/>
    </row>
    <row r="10" spans="1:28" ht="16.2" thickTop="1">
      <c r="A10" s="2625" t="s">
        <v>2936</v>
      </c>
      <c r="B10" s="2626" t="s">
        <v>3111</v>
      </c>
      <c r="C10" s="2627"/>
      <c r="D10" s="2611"/>
      <c r="E10" s="2628" t="s">
        <v>2937</v>
      </c>
      <c r="F10" s="3032" t="s">
        <v>4378</v>
      </c>
      <c r="G10" s="2894"/>
      <c r="H10" s="2895"/>
      <c r="I10" s="2896"/>
      <c r="J10" s="2669"/>
      <c r="K10" s="2843"/>
      <c r="L10" s="2840"/>
      <c r="M10" s="2840"/>
      <c r="N10" s="2669"/>
      <c r="O10" s="2680"/>
      <c r="P10" s="2669"/>
      <c r="Q10" s="2669"/>
      <c r="R10" s="2669"/>
    </row>
    <row r="11" spans="1:28" ht="52.8">
      <c r="A11" s="2629" t="s">
        <v>2938</v>
      </c>
      <c r="B11" s="2630" t="s">
        <v>3139</v>
      </c>
      <c r="C11" s="2631" t="str">
        <f>B5</f>
        <v>北京百得利汽车进出口集团有限公司</v>
      </c>
      <c r="D11" s="2632"/>
      <c r="E11" s="2600"/>
      <c r="F11" s="2600"/>
      <c r="G11" s="2600"/>
      <c r="H11" s="2600"/>
      <c r="I11" s="2600"/>
      <c r="J11" s="2669"/>
      <c r="K11" s="2843"/>
      <c r="L11" s="2840"/>
      <c r="M11" s="2840"/>
      <c r="N11" s="2669"/>
      <c r="O11" s="2680"/>
      <c r="P11" s="2669"/>
      <c r="Q11" s="2669"/>
      <c r="R11" s="2669"/>
    </row>
    <row r="12" spans="1:28">
      <c r="A12" s="2633" t="s">
        <v>2939</v>
      </c>
      <c r="B12" s="2630" t="s">
        <v>3141</v>
      </c>
      <c r="C12" s="333" t="s">
        <v>2940</v>
      </c>
      <c r="D12" s="2634" t="s">
        <v>2941</v>
      </c>
      <c r="E12" s="2634" t="s">
        <v>2942</v>
      </c>
      <c r="F12" s="2634" t="s">
        <v>2943</v>
      </c>
      <c r="G12" s="2634" t="s">
        <v>2944</v>
      </c>
      <c r="H12" s="2634" t="s">
        <v>2945</v>
      </c>
      <c r="I12" s="2634" t="s">
        <v>2946</v>
      </c>
      <c r="J12" s="2669"/>
      <c r="K12" s="2843"/>
      <c r="L12" s="2840"/>
      <c r="M12" s="2840"/>
      <c r="N12" s="2669"/>
      <c r="O12" s="2680"/>
      <c r="P12" s="2669"/>
      <c r="Q12" s="2669"/>
      <c r="R12" s="2669"/>
    </row>
    <row r="13" spans="1:28">
      <c r="A13" s="1245"/>
      <c r="B13" s="2635"/>
      <c r="C13" s="2636" t="s">
        <v>2947</v>
      </c>
      <c r="D13" s="969"/>
      <c r="E13" s="969"/>
      <c r="F13" s="969"/>
      <c r="G13" s="969"/>
      <c r="H13" s="969"/>
      <c r="I13" s="969">
        <v>55359</v>
      </c>
      <c r="J13" s="2669"/>
      <c r="K13" s="2843"/>
      <c r="L13" s="2840"/>
      <c r="M13" s="2840"/>
      <c r="N13" s="2669"/>
      <c r="O13" s="2680"/>
      <c r="P13" s="2669"/>
      <c r="Q13" s="2669"/>
      <c r="R13" s="2669"/>
    </row>
    <row r="14" spans="1:28">
      <c r="A14" s="1245"/>
      <c r="B14" s="2635"/>
      <c r="C14" s="2636" t="s">
        <v>2948</v>
      </c>
      <c r="D14" s="2637"/>
      <c r="E14" s="2637"/>
      <c r="F14" s="2637"/>
      <c r="G14" s="2637"/>
      <c r="H14" s="2637"/>
      <c r="I14" s="2637">
        <v>50</v>
      </c>
      <c r="J14" s="2669"/>
      <c r="K14" s="2844"/>
      <c r="L14" s="2840"/>
      <c r="M14" s="2840"/>
      <c r="N14" s="2669"/>
      <c r="O14" s="2680"/>
      <c r="P14" s="2669"/>
      <c r="Q14" s="2669"/>
      <c r="R14" s="2669"/>
    </row>
    <row r="15" spans="1:28">
      <c r="A15" s="330"/>
      <c r="B15" s="2638"/>
      <c r="C15" s="2639" t="s">
        <v>2949</v>
      </c>
      <c r="D15" s="2640" t="str">
        <f>IF(B12="出让",IF(D13="","",ROUNDDOWN(MIN((D13-$D$3)/365,D14),2)),D14)</f>
        <v/>
      </c>
      <c r="E15" s="2640" t="str">
        <f>IF(B12="出让",IF(E13="","",ROUNDDOWN(MIN((E13-$D$3)/365,E14),2)),E14)</f>
        <v/>
      </c>
      <c r="F15" s="2640" t="str">
        <f>IF(B12="出让",IF(F13="","",ROUNDDOWN(MIN((F13-$D$3)/365,F14),2)),F14)</f>
        <v/>
      </c>
      <c r="G15" s="2640" t="str">
        <f>IF(B12="出让",IF(G13="","",ROUNDDOWN(MIN((G13-$D$3)/365,G14),2)),G14)</f>
        <v/>
      </c>
      <c r="H15" s="2640" t="str">
        <f>IF(B12="出让",IF(H13="","",ROUNDDOWN(MIN((H13-$D$3)/365,H14),2)),H14)</f>
        <v/>
      </c>
      <c r="I15" s="2640">
        <f>IF(B12="出让",IF(I13="","",ROUNDDOWN(MIN((I13-$D$3)/365,I14),2)),I14)</f>
        <v>30.94</v>
      </c>
      <c r="J15" s="2669"/>
      <c r="K15" s="2845"/>
      <c r="L15" s="2681"/>
      <c r="M15" s="2681"/>
      <c r="N15" s="2736"/>
      <c r="O15" s="2681"/>
      <c r="P15" s="2736"/>
      <c r="Q15" s="2669"/>
      <c r="R15" s="2669"/>
    </row>
    <row r="16" spans="1:28">
      <c r="A16" s="2628" t="s">
        <v>2950</v>
      </c>
      <c r="B16" s="3170"/>
      <c r="C16" s="3171"/>
      <c r="D16" s="3172"/>
      <c r="E16" s="2643" t="s">
        <v>2951</v>
      </c>
      <c r="F16" s="3173"/>
      <c r="G16" s="3174"/>
      <c r="H16" s="3174"/>
      <c r="I16" s="3175"/>
      <c r="J16" s="2669"/>
      <c r="K16" s="2845"/>
      <c r="L16" s="2681"/>
      <c r="M16" s="2681"/>
      <c r="N16" s="2736"/>
      <c r="O16" s="2681"/>
      <c r="P16" s="2736"/>
      <c r="Q16" s="2669"/>
      <c r="R16" s="2669"/>
    </row>
    <row r="17" spans="1:28">
      <c r="A17" s="323" t="s">
        <v>2952</v>
      </c>
      <c r="B17" s="312" t="s">
        <v>2953</v>
      </c>
      <c r="C17" s="11">
        <f>'数据-汇总表'!E3</f>
        <v>8640.14</v>
      </c>
      <c r="D17" s="2551" t="s">
        <v>2954</v>
      </c>
      <c r="E17" s="3176" t="s">
        <v>2955</v>
      </c>
      <c r="F17" s="3177"/>
      <c r="G17" s="3177"/>
      <c r="H17" s="3177"/>
      <c r="I17" s="3178"/>
      <c r="J17" s="2669"/>
      <c r="K17" s="2846"/>
      <c r="L17" s="2681"/>
      <c r="M17" s="2681"/>
      <c r="N17" s="2736"/>
      <c r="O17" s="2681"/>
      <c r="P17" s="2736"/>
      <c r="Q17" s="2669"/>
      <c r="R17" s="2669"/>
      <c r="S17" s="2669"/>
      <c r="T17" s="2669"/>
      <c r="U17" s="2669"/>
      <c r="V17" s="2669"/>
    </row>
    <row r="18" spans="1:28" ht="24.6" thickBot="1">
      <c r="A18" s="2644" t="s">
        <v>2956</v>
      </c>
      <c r="B18" s="1254" t="s">
        <v>2957</v>
      </c>
      <c r="C18" s="2645">
        <f>'数据-汇总表'!D3</f>
        <v>15462.6</v>
      </c>
      <c r="D18" s="1256" t="s">
        <v>2958</v>
      </c>
      <c r="E18" s="3179" t="s">
        <v>2959</v>
      </c>
      <c r="F18" s="3180"/>
      <c r="G18" s="3180"/>
      <c r="H18" s="3180"/>
      <c r="I18" s="3181"/>
      <c r="J18" s="2669"/>
      <c r="K18" s="2846"/>
      <c r="L18" s="2681"/>
      <c r="M18" s="2681"/>
      <c r="N18" s="2736"/>
      <c r="O18" s="2681"/>
      <c r="P18" s="2736"/>
      <c r="Q18" s="2669"/>
      <c r="R18" s="2669"/>
      <c r="S18" s="2669"/>
      <c r="T18" s="2669"/>
      <c r="U18" s="2669"/>
      <c r="V18" s="2669"/>
    </row>
    <row r="19" spans="1:28" ht="37.200000000000003" thickTop="1" thickBot="1">
      <c r="A19" s="337" t="s">
        <v>1741</v>
      </c>
      <c r="B19" s="317" t="s">
        <v>2960</v>
      </c>
      <c r="C19" s="1754"/>
      <c r="D19" s="1755" t="s">
        <v>2961</v>
      </c>
      <c r="E19" s="1756"/>
      <c r="F19" s="1757" t="str">
        <f>IF(AND(C19="是",E19="否"),"是否提供他项权证或相关说明","")</f>
        <v/>
      </c>
      <c r="G19" s="1758"/>
      <c r="H19" s="2892"/>
      <c r="I19" s="2892"/>
      <c r="J19" s="2669"/>
      <c r="K19" s="2843"/>
      <c r="L19" s="2840"/>
      <c r="M19" s="2840"/>
      <c r="N19" s="2736"/>
      <c r="O19" s="2681"/>
      <c r="P19" s="2736"/>
      <c r="Q19" s="2669"/>
      <c r="R19" s="2669"/>
      <c r="S19" s="2669"/>
      <c r="T19" s="2669"/>
      <c r="U19" s="2669"/>
      <c r="V19" s="2669"/>
    </row>
    <row r="20" spans="1:28">
      <c r="A20" s="2860" t="s">
        <v>2962</v>
      </c>
      <c r="B20" s="3166" t="s">
        <v>2963</v>
      </c>
      <c r="C20" s="3167"/>
      <c r="D20" s="3168" t="s">
        <v>2964</v>
      </c>
      <c r="E20" s="3169"/>
      <c r="F20" s="2875" t="s">
        <v>1742</v>
      </c>
      <c r="G20" s="2892"/>
      <c r="H20" s="2892"/>
      <c r="I20" s="2892"/>
      <c r="J20" s="2669"/>
      <c r="K20" s="3165" t="s">
        <v>2965</v>
      </c>
      <c r="L20" s="69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99"/>
      <c r="N20" s="2642"/>
      <c r="O20" s="2641"/>
      <c r="P20" s="2642"/>
      <c r="Q20" s="2600"/>
      <c r="R20" s="2600"/>
      <c r="S20" s="2600"/>
      <c r="T20" s="2600"/>
      <c r="U20" s="2600"/>
      <c r="V20" s="2600"/>
      <c r="W20" s="1937"/>
      <c r="X20" s="1937"/>
      <c r="Y20" s="1937"/>
      <c r="Z20" s="1937"/>
      <c r="AA20" s="1937"/>
      <c r="AB20" s="1937"/>
    </row>
    <row r="21" spans="1:28" ht="36.6" thickBot="1">
      <c r="A21" s="2860"/>
      <c r="B21" s="2861" t="s">
        <v>2966</v>
      </c>
      <c r="C21" s="2862" t="s">
        <v>3142</v>
      </c>
      <c r="D21" s="1759" t="s">
        <v>2967</v>
      </c>
      <c r="E21" s="2863" t="s">
        <v>1743</v>
      </c>
      <c r="F21" s="2876"/>
      <c r="G21" s="2892"/>
      <c r="H21" s="2892"/>
      <c r="I21" s="2892"/>
      <c r="J21" s="2669"/>
      <c r="K21" s="3165"/>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9"/>
      <c r="N21" s="2642"/>
      <c r="O21" s="2641"/>
      <c r="P21" s="2642"/>
      <c r="Q21" s="2600"/>
      <c r="R21" s="2600"/>
      <c r="S21" s="2600"/>
      <c r="T21" s="2600"/>
      <c r="U21" s="2600"/>
      <c r="V21" s="2600"/>
      <c r="W21" s="1937"/>
      <c r="X21" s="1937"/>
      <c r="Y21" s="1937"/>
      <c r="Z21" s="1937"/>
      <c r="AA21" s="1937"/>
      <c r="AB21" s="1937"/>
    </row>
    <row r="22" spans="1:28" ht="36.6" thickBot="1">
      <c r="A22" s="2860"/>
      <c r="B22" s="2864" t="s">
        <v>2968</v>
      </c>
      <c r="C22" s="2862" t="s">
        <v>1744</v>
      </c>
      <c r="D22" s="2891"/>
      <c r="E22" s="2891"/>
      <c r="F22" s="2891"/>
      <c r="G22" s="2892"/>
      <c r="H22" s="2892"/>
      <c r="I22" s="2892"/>
      <c r="J22" s="2669"/>
      <c r="K22" s="3165"/>
      <c r="L22" s="6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599"/>
      <c r="N22" s="2642"/>
      <c r="O22" s="2641"/>
      <c r="P22" s="2642"/>
      <c r="Q22" s="2600"/>
      <c r="R22" s="2600"/>
      <c r="S22" s="2600"/>
      <c r="T22" s="2600"/>
      <c r="U22" s="2600"/>
      <c r="V22" s="2600"/>
      <c r="W22" s="1937"/>
      <c r="X22" s="1937"/>
      <c r="Y22" s="1937"/>
      <c r="Z22" s="1937"/>
      <c r="AA22" s="1937"/>
      <c r="AB22" s="1937"/>
    </row>
    <row r="23" spans="1:28">
      <c r="A23" s="2865" t="s">
        <v>2969</v>
      </c>
      <c r="B23" s="2730" t="s">
        <v>2970</v>
      </c>
      <c r="C23" s="2866"/>
      <c r="D23" s="2867" t="s">
        <v>2970</v>
      </c>
      <c r="E23" s="2868"/>
      <c r="F23" s="2891"/>
      <c r="G23" s="2892"/>
      <c r="H23" s="2892"/>
      <c r="I23" s="2892"/>
      <c r="J23" s="2669"/>
      <c r="K23" s="2847"/>
      <c r="L23" s="2703"/>
      <c r="M23" s="2840"/>
      <c r="N23" s="2736"/>
      <c r="O23" s="2681"/>
      <c r="P23" s="2736"/>
      <c r="Q23" s="2669"/>
      <c r="R23" s="2669"/>
      <c r="S23" s="2669"/>
      <c r="T23" s="2669"/>
      <c r="U23" s="2669"/>
      <c r="V23" s="2669"/>
    </row>
    <row r="24" spans="1:28">
      <c r="A24" s="2865"/>
      <c r="B24" s="2730" t="s">
        <v>1745</v>
      </c>
      <c r="C24" s="2869"/>
      <c r="D24" s="2865" t="s">
        <v>1745</v>
      </c>
      <c r="E24" s="2870"/>
      <c r="F24" s="2891"/>
      <c r="G24" s="2892"/>
      <c r="H24" s="2892"/>
      <c r="I24" s="2892"/>
      <c r="J24" s="2669"/>
      <c r="K24" s="2847"/>
      <c r="L24" s="2703"/>
      <c r="M24" s="2840"/>
      <c r="N24" s="2736"/>
      <c r="O24" s="2681"/>
      <c r="P24" s="2736"/>
      <c r="Q24" s="2669"/>
      <c r="R24" s="2669"/>
      <c r="S24" s="2669"/>
      <c r="T24" s="2669"/>
      <c r="U24" s="2669"/>
      <c r="V24" s="2669"/>
    </row>
    <row r="25" spans="1:28">
      <c r="A25" s="2865"/>
      <c r="B25" s="2730" t="s">
        <v>1746</v>
      </c>
      <c r="C25" s="2869"/>
      <c r="D25" s="2865" t="s">
        <v>1746</v>
      </c>
      <c r="E25" s="2870"/>
      <c r="F25" s="2891"/>
      <c r="G25" s="2892"/>
      <c r="H25" s="2892"/>
      <c r="I25" s="2892"/>
      <c r="J25" s="2669"/>
      <c r="K25" s="2843"/>
      <c r="L25" s="2840"/>
      <c r="M25" s="2840"/>
      <c r="N25" s="2736"/>
      <c r="O25" s="2681"/>
      <c r="P25" s="2736"/>
      <c r="Q25" s="2669"/>
      <c r="R25" s="2669"/>
      <c r="S25" s="2669"/>
      <c r="T25" s="2669"/>
      <c r="U25" s="2669"/>
      <c r="V25" s="2669"/>
    </row>
    <row r="26" spans="1:28" ht="13.8" thickBot="1">
      <c r="A26" s="2871"/>
      <c r="B26" s="2872" t="s">
        <v>1747</v>
      </c>
      <c r="C26" s="2873"/>
      <c r="D26" s="2871" t="s">
        <v>1747</v>
      </c>
      <c r="E26" s="2874"/>
      <c r="F26" s="2893"/>
      <c r="G26" s="2893"/>
      <c r="H26" s="2893"/>
      <c r="I26" s="2893"/>
      <c r="J26" s="2669"/>
      <c r="K26" s="2843"/>
      <c r="L26" s="2840"/>
      <c r="M26" s="2840"/>
      <c r="N26" s="2736"/>
      <c r="O26" s="2681"/>
      <c r="P26" s="2736"/>
      <c r="Q26" s="2669"/>
      <c r="R26" s="2669"/>
      <c r="S26" s="2669"/>
      <c r="T26" s="2669"/>
      <c r="U26" s="2669"/>
      <c r="V26" s="2669"/>
    </row>
    <row r="27" spans="1:28" ht="13.8" thickTop="1">
      <c r="A27" s="3183" t="s">
        <v>2971</v>
      </c>
      <c r="B27" s="330" t="s">
        <v>2972</v>
      </c>
      <c r="C27" s="2646"/>
      <c r="D27" s="2647"/>
      <c r="E27" s="2892"/>
      <c r="F27" s="2892"/>
      <c r="G27" s="2892"/>
      <c r="H27" s="2892"/>
      <c r="I27" s="2892"/>
      <c r="J27" s="2669"/>
      <c r="K27" s="2845"/>
      <c r="L27" s="2681"/>
      <c r="M27" s="2681"/>
      <c r="N27" s="2736"/>
      <c r="O27" s="2681"/>
      <c r="P27" s="2736"/>
      <c r="Q27" s="2669"/>
      <c r="R27" s="2669"/>
      <c r="S27" s="2669"/>
      <c r="T27" s="2669"/>
      <c r="U27" s="2669"/>
      <c r="V27" s="2669"/>
    </row>
    <row r="28" spans="1:28">
      <c r="A28" s="3183"/>
      <c r="B28" s="312" t="s">
        <v>2973</v>
      </c>
      <c r="C28" s="2648"/>
      <c r="D28" s="2649"/>
      <c r="E28" s="2892"/>
      <c r="F28" s="2892"/>
      <c r="G28" s="2892"/>
      <c r="H28" s="2892"/>
      <c r="I28" s="2892"/>
      <c r="J28" s="2669"/>
      <c r="K28" s="2843"/>
      <c r="L28" s="2840"/>
      <c r="M28" s="2840"/>
      <c r="N28" s="2669"/>
      <c r="O28" s="2680"/>
      <c r="P28" s="2669"/>
      <c r="Q28" s="2669"/>
      <c r="R28" s="2669"/>
      <c r="S28" s="2669"/>
      <c r="T28" s="2669"/>
      <c r="U28" s="2669"/>
      <c r="V28" s="2669"/>
    </row>
    <row r="29" spans="1:28">
      <c r="A29" s="3183"/>
      <c r="B29" s="312" t="s">
        <v>2974</v>
      </c>
      <c r="C29" s="2650"/>
      <c r="D29" s="2651"/>
      <c r="E29" s="2892"/>
      <c r="F29" s="2892"/>
      <c r="G29" s="2892"/>
      <c r="H29" s="2892"/>
      <c r="I29" s="2892"/>
      <c r="J29" s="2669"/>
      <c r="K29" s="2843"/>
      <c r="L29" s="2840"/>
      <c r="M29" s="2840"/>
      <c r="N29" s="2669"/>
      <c r="O29" s="2680"/>
      <c r="P29" s="2669"/>
      <c r="Q29" s="2669"/>
      <c r="R29" s="2669"/>
      <c r="S29" s="2669"/>
      <c r="T29" s="2669"/>
      <c r="U29" s="2669"/>
      <c r="V29" s="2669"/>
    </row>
    <row r="30" spans="1:28">
      <c r="A30" s="3184"/>
      <c r="B30" s="312" t="s">
        <v>2975</v>
      </c>
      <c r="C30" s="3185"/>
      <c r="D30" s="3186"/>
      <c r="E30" s="2892"/>
      <c r="F30" s="2892"/>
      <c r="G30" s="2892"/>
      <c r="H30" s="2892"/>
      <c r="I30" s="2892"/>
      <c r="J30" s="2669"/>
      <c r="K30" s="2843"/>
      <c r="L30" s="2840"/>
      <c r="M30" s="2840"/>
      <c r="N30" s="2669"/>
      <c r="O30" s="2680"/>
      <c r="P30" s="2669"/>
      <c r="Q30" s="2669"/>
      <c r="R30" s="2669"/>
      <c r="S30" s="2669"/>
      <c r="T30" s="2669"/>
      <c r="U30" s="2669"/>
      <c r="V30" s="2669"/>
    </row>
    <row r="31" spans="1:28">
      <c r="A31" s="3187" t="s">
        <v>2976</v>
      </c>
      <c r="B31" s="2652"/>
      <c r="C31" s="2552" t="str">
        <f>IF(B31="现房","成新及维护状况正常否",IF(B31="在建","工程状态是否正常",IF(B31="土地","是否闲置","-")))</f>
        <v>-</v>
      </c>
      <c r="D31" s="1563"/>
      <c r="E31" s="2653"/>
      <c r="F31" s="2892"/>
      <c r="G31" s="2892"/>
      <c r="H31" s="2892"/>
      <c r="I31" s="2892"/>
      <c r="J31" s="2669"/>
      <c r="K31" s="2842"/>
      <c r="L31" s="2840"/>
      <c r="M31" s="2840"/>
      <c r="N31" s="2669"/>
      <c r="O31" s="2680"/>
      <c r="P31" s="2669"/>
      <c r="Q31" s="2669"/>
      <c r="R31" s="2669"/>
      <c r="S31" s="2669"/>
      <c r="T31" s="2669"/>
      <c r="U31" s="2669"/>
      <c r="V31" s="2669"/>
    </row>
    <row r="32" spans="1:28">
      <c r="A32" s="3188"/>
      <c r="B32" s="2652"/>
      <c r="C32" s="2552" t="str">
        <f>IF(B32="现房","成新及维护状况是否正常",IF(B32="在建","工程状态是否正常",IF(B32="土地","是否闲置","-")))</f>
        <v>-</v>
      </c>
      <c r="D32" s="1563"/>
      <c r="E32" s="2653"/>
      <c r="F32" s="2892"/>
      <c r="G32" s="2892"/>
      <c r="H32" s="2892"/>
      <c r="I32" s="2892"/>
      <c r="J32" s="2669"/>
      <c r="K32" s="2843"/>
      <c r="L32" s="2840"/>
      <c r="M32" s="2840"/>
      <c r="N32" s="2669"/>
      <c r="O32" s="2680"/>
      <c r="P32" s="2669"/>
      <c r="Q32" s="2669"/>
      <c r="R32" s="2669"/>
      <c r="S32" s="2669"/>
      <c r="T32" s="2669"/>
      <c r="U32" s="2669"/>
      <c r="V32" s="2669"/>
    </row>
    <row r="33" spans="1:30">
      <c r="A33" s="3188"/>
      <c r="B33" s="2655"/>
      <c r="C33" s="1781" t="str">
        <f>IF(B33="现房","成新及维护状况是否正常",IF(B33="在建","工程状态是否正常",IF(B33="土地","是否闲置","-")))</f>
        <v>-</v>
      </c>
      <c r="D33" s="1555"/>
      <c r="E33" s="2656"/>
      <c r="F33" s="2892"/>
      <c r="G33" s="2892"/>
      <c r="H33" s="2892"/>
      <c r="I33" s="2892"/>
      <c r="J33" s="2669"/>
      <c r="K33" s="2843"/>
      <c r="L33" s="2840"/>
      <c r="M33" s="2840"/>
      <c r="N33" s="2669"/>
      <c r="O33" s="2680"/>
      <c r="P33" s="2669"/>
      <c r="Q33" s="2669"/>
      <c r="R33" s="2669"/>
      <c r="S33" s="2669"/>
      <c r="T33" s="2669"/>
      <c r="U33" s="2669"/>
      <c r="V33" s="2669"/>
    </row>
    <row r="34" spans="1:30" ht="15.6">
      <c r="A34" s="312" t="s">
        <v>2977</v>
      </c>
      <c r="B34" s="3033" t="s">
        <v>3143</v>
      </c>
      <c r="C34" s="3033" t="s">
        <v>3144</v>
      </c>
      <c r="D34" s="3033" t="s">
        <v>3145</v>
      </c>
      <c r="E34" s="3033" t="s">
        <v>3146</v>
      </c>
      <c r="F34" s="3033" t="s">
        <v>3147</v>
      </c>
      <c r="G34" s="2220"/>
      <c r="H34" s="2220"/>
      <c r="I34" s="2892"/>
      <c r="J34" s="2669"/>
      <c r="K34" s="2657">
        <f>COUNTIF(B34:H34,"——")</f>
        <v>0</v>
      </c>
      <c r="L34" s="333" t="s">
        <v>2978</v>
      </c>
      <c r="M34" s="333" t="s">
        <v>2979</v>
      </c>
      <c r="N34" s="333" t="s">
        <v>2980</v>
      </c>
      <c r="O34" s="333" t="s">
        <v>2981</v>
      </c>
      <c r="P34" s="333" t="s">
        <v>2982</v>
      </c>
      <c r="Q34" s="333" t="s">
        <v>2983</v>
      </c>
      <c r="R34" s="333" t="s">
        <v>2984</v>
      </c>
      <c r="S34" s="3182" t="s">
        <v>2985</v>
      </c>
      <c r="T34" s="2658" t="str">
        <f>NUMBERSTRING(7-K34,1)&amp;"通"</f>
        <v>七通</v>
      </c>
      <c r="U34" s="2669"/>
      <c r="V34" s="2669"/>
    </row>
    <row r="35" spans="1:30">
      <c r="A35" s="2659"/>
      <c r="B35" s="3189" t="s">
        <v>2986</v>
      </c>
      <c r="C35" s="3189"/>
      <c r="D35" s="3189"/>
      <c r="E35" s="3189"/>
      <c r="F35" s="677">
        <f>C10</f>
        <v>0</v>
      </c>
      <c r="G35" s="2892"/>
      <c r="H35" s="2892"/>
      <c r="I35" s="2892"/>
      <c r="J35" s="2669"/>
      <c r="K35" s="333"/>
      <c r="L35" s="333" t="str">
        <f>B34</f>
        <v>通路</v>
      </c>
      <c r="M35" s="339" t="str">
        <f>B34&amp;"、"&amp;C34</f>
        <v>通路、通电</v>
      </c>
      <c r="N35" s="339" t="str">
        <f>B34&amp;"、"&amp;C34&amp;"、"&amp;D34</f>
        <v>通路、通电、通上水</v>
      </c>
      <c r="O35" s="339" t="str">
        <f>B34&amp;"、"&amp;C34&amp;"、"&amp;D34&amp;"、"&amp;E34</f>
        <v>通路、通电、通上水、通下水</v>
      </c>
      <c r="P35" s="339" t="str">
        <f>B34&amp;"、"&amp;C34&amp;"、"&amp;D34&amp;"、"&amp;E34&amp;"、"&amp;F34</f>
        <v>通路、通电、通上水、通下水、通讯</v>
      </c>
      <c r="Q35" s="339" t="str">
        <f>B34&amp;"、"&amp;C34&amp;"、"&amp;D34&amp;"、"&amp;E34&amp;"、"&amp;F34&amp;"、"&amp;G34</f>
        <v>通路、通电、通上水、通下水、通讯、</v>
      </c>
      <c r="R35" s="339" t="str">
        <f>B34&amp;"、"&amp;C34&amp;"、"&amp;D34&amp;"、"&amp;E34&amp;"、"&amp;F34&amp;"、"&amp;G34&amp;"、"&amp;H34</f>
        <v>通路、通电、通上水、通下水、通讯、、</v>
      </c>
      <c r="S35" s="3182"/>
      <c r="T35" s="339" t="str">
        <f>IF(T34="一通",L35,IF(T34="二通",M35,IF(T34="三通",N35,IF(T34="四通",O35,IF(T34="五通",P35,IF(T34="六通",Q35,R35))))))</f>
        <v>通路、通电、通上水、通下水、通讯、、</v>
      </c>
      <c r="U35" s="2669"/>
      <c r="V35" s="2669"/>
    </row>
    <row r="36" spans="1:30">
      <c r="A36" s="2660"/>
      <c r="B36" s="677" t="s">
        <v>2942</v>
      </c>
      <c r="C36" s="677" t="s">
        <v>2943</v>
      </c>
      <c r="D36" s="677" t="s">
        <v>2941</v>
      </c>
      <c r="E36" s="677" t="s">
        <v>2946</v>
      </c>
      <c r="F36" s="2897"/>
      <c r="G36" s="2892"/>
      <c r="H36" s="2892"/>
      <c r="I36" s="2892"/>
      <c r="J36" s="2669"/>
      <c r="K36" s="2843"/>
      <c r="L36" s="2840"/>
      <c r="M36" s="2840"/>
      <c r="N36" s="2669"/>
      <c r="O36" s="2680"/>
      <c r="P36" s="2669"/>
      <c r="Q36" s="2669"/>
      <c r="R36" s="2669"/>
      <c r="S36" s="2669"/>
      <c r="T36" s="2669"/>
      <c r="U36" s="2669"/>
      <c r="V36" s="2669"/>
    </row>
    <row r="37" spans="1:30">
      <c r="A37" s="2858" t="s">
        <v>2987</v>
      </c>
      <c r="B37" s="2661"/>
      <c r="C37" s="2661"/>
      <c r="D37" s="2661"/>
      <c r="E37" s="2661" t="s">
        <v>526</v>
      </c>
      <c r="F37" s="2897"/>
      <c r="G37" s="2892"/>
      <c r="H37" s="2892"/>
      <c r="I37" s="2892"/>
      <c r="J37" s="2669"/>
      <c r="K37" s="2843"/>
      <c r="L37" s="2840"/>
      <c r="M37" s="2840"/>
      <c r="N37" s="2669"/>
      <c r="O37" s="2680"/>
      <c r="P37" s="2669"/>
      <c r="Q37" s="2669"/>
      <c r="R37" s="2669"/>
      <c r="S37" s="2669"/>
      <c r="T37" s="2669"/>
      <c r="U37" s="2669"/>
      <c r="V37" s="2669"/>
    </row>
    <row r="38" spans="1:30" ht="13.8" thickBot="1">
      <c r="A38" s="2859" t="s">
        <v>2988</v>
      </c>
      <c r="B38" s="2662"/>
      <c r="C38" s="2662"/>
      <c r="D38" s="2662"/>
      <c r="E38" s="2662" t="s">
        <v>4403</v>
      </c>
      <c r="F38" s="2898"/>
      <c r="G38" s="2893"/>
      <c r="H38" s="2893"/>
      <c r="I38" s="2893"/>
      <c r="J38" s="2669"/>
      <c r="K38" s="2843"/>
      <c r="L38" s="2840"/>
      <c r="M38" s="2840"/>
      <c r="N38" s="2669"/>
      <c r="O38" s="2680"/>
      <c r="P38" s="2669"/>
      <c r="Q38" s="2669"/>
      <c r="R38" s="2669"/>
      <c r="S38" s="2669"/>
      <c r="T38" s="2669"/>
      <c r="U38" s="2669"/>
      <c r="V38" s="2669"/>
    </row>
    <row r="39" spans="1:30" s="2665" customFormat="1" ht="14.4" thickTop="1" thickBot="1">
      <c r="A39" s="2663" t="s">
        <v>2989</v>
      </c>
      <c r="B39" s="2664"/>
      <c r="C39" s="2664"/>
      <c r="D39" s="2664"/>
      <c r="E39" s="2664"/>
      <c r="F39" s="2664"/>
      <c r="G39" s="2664"/>
      <c r="H39" s="2664"/>
      <c r="I39" s="2664"/>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600"/>
      <c r="B40" s="2600"/>
      <c r="C40" s="2600"/>
      <c r="D40" s="2600"/>
      <c r="E40" s="2600"/>
      <c r="F40" s="2600"/>
      <c r="G40" s="2600"/>
      <c r="H40" s="2600"/>
      <c r="I40" s="1769"/>
      <c r="J40" s="2736"/>
      <c r="K40" s="2842"/>
      <c r="L40" s="2681"/>
      <c r="M40" s="2681"/>
      <c r="N40" s="2736"/>
      <c r="O40" s="2681"/>
      <c r="P40" s="2669"/>
      <c r="Q40" s="2669"/>
      <c r="R40" s="2669"/>
      <c r="S40" s="2669"/>
      <c r="T40" s="2669"/>
      <c r="U40" s="2669"/>
      <c r="V40" s="2669"/>
    </row>
    <row r="41" spans="1:30">
      <c r="A41" s="2666" t="s">
        <v>2990</v>
      </c>
      <c r="B41" s="1949"/>
      <c r="C41" s="1563"/>
      <c r="D41" s="2600"/>
      <c r="E41" s="2600"/>
      <c r="F41" s="2600"/>
      <c r="G41" s="2600"/>
      <c r="H41" s="2600"/>
      <c r="I41" s="1767"/>
      <c r="J41" s="2669"/>
      <c r="K41" s="2843"/>
      <c r="L41" s="2840"/>
      <c r="M41" s="2840"/>
      <c r="N41" s="2669"/>
      <c r="O41" s="2680"/>
      <c r="P41" s="2669"/>
      <c r="Q41" s="2669"/>
      <c r="R41" s="2669"/>
      <c r="S41" s="2669"/>
      <c r="T41" s="2669"/>
      <c r="U41" s="2669"/>
      <c r="V41" s="2669"/>
    </row>
    <row r="42" spans="1:30" ht="25.2">
      <c r="A42" s="333" t="s">
        <v>2991</v>
      </c>
      <c r="B42" s="11" t="s">
        <v>2992</v>
      </c>
      <c r="C42" s="11" t="s">
        <v>2993</v>
      </c>
      <c r="D42" s="11" t="s">
        <v>2994</v>
      </c>
      <c r="E42" s="11" t="s">
        <v>2995</v>
      </c>
      <c r="F42" s="11" t="s">
        <v>2996</v>
      </c>
      <c r="G42" s="11" t="s">
        <v>2997</v>
      </c>
      <c r="H42" s="11" t="s">
        <v>2998</v>
      </c>
      <c r="I42" s="11" t="s">
        <v>2999</v>
      </c>
      <c r="J42" s="2854" t="s">
        <v>3000</v>
      </c>
      <c r="K42" s="2855" t="s">
        <v>3001</v>
      </c>
      <c r="L42" s="2855" t="s">
        <v>3002</v>
      </c>
      <c r="M42" s="2855" t="s">
        <v>3003</v>
      </c>
      <c r="N42" s="2848" t="s">
        <v>3004</v>
      </c>
      <c r="O42" s="2848" t="s">
        <v>3005</v>
      </c>
      <c r="P42" s="2848" t="s">
        <v>3006</v>
      </c>
      <c r="Q42" s="2849" t="s">
        <v>3007</v>
      </c>
      <c r="R42" s="2849" t="s">
        <v>3008</v>
      </c>
      <c r="S42" s="2669"/>
      <c r="T42" s="2669"/>
      <c r="U42" s="2669"/>
      <c r="V42" s="2669"/>
    </row>
    <row r="43" spans="1:30" s="1935" customFormat="1">
      <c r="A43" s="1761"/>
      <c r="B43" s="1186"/>
      <c r="C43" s="1186"/>
      <c r="D43" s="1186"/>
      <c r="E43" s="1186"/>
      <c r="F43" s="1186"/>
      <c r="G43" s="1186"/>
      <c r="H43" s="1186"/>
      <c r="I43" s="1186"/>
      <c r="J43" s="2667"/>
      <c r="K43" s="2668"/>
      <c r="L43" s="2668"/>
      <c r="M43" s="1186"/>
      <c r="N43" s="1186"/>
      <c r="O43" s="1186"/>
      <c r="P43" s="1186"/>
      <c r="Q43" s="1186"/>
      <c r="R43" s="1186"/>
      <c r="S43" s="2669"/>
      <c r="T43" s="2669"/>
      <c r="U43" s="2669"/>
      <c r="V43" s="2669"/>
    </row>
    <row r="44" spans="1:30" s="1935" customFormat="1">
      <c r="A44" s="1761"/>
      <c r="B44" s="1761"/>
      <c r="C44" s="1186"/>
      <c r="D44" s="1186"/>
      <c r="E44" s="1186"/>
      <c r="F44" s="1186"/>
      <c r="G44" s="1186"/>
      <c r="H44" s="1186"/>
      <c r="I44" s="1186"/>
      <c r="J44" s="2667"/>
      <c r="K44" s="2668"/>
      <c r="L44" s="2668"/>
      <c r="M44" s="1186"/>
      <c r="N44" s="1186"/>
      <c r="O44" s="1186"/>
      <c r="P44" s="1186"/>
      <c r="Q44" s="1186"/>
      <c r="R44" s="1186"/>
      <c r="S44" s="2669"/>
      <c r="T44" s="2669"/>
      <c r="U44" s="2669"/>
      <c r="V44" s="2669"/>
    </row>
    <row r="45" spans="1:30" s="1935" customFormat="1">
      <c r="A45" s="1761"/>
      <c r="B45" s="1761"/>
      <c r="C45" s="1186"/>
      <c r="D45" s="1186"/>
      <c r="E45" s="1186"/>
      <c r="F45" s="1186"/>
      <c r="G45" s="1186"/>
      <c r="H45" s="1186"/>
      <c r="I45" s="1186"/>
      <c r="J45" s="2667"/>
      <c r="K45" s="2668"/>
      <c r="L45" s="2668"/>
      <c r="M45" s="1186"/>
      <c r="N45" s="1186"/>
      <c r="O45" s="1186"/>
      <c r="P45" s="1186"/>
      <c r="Q45" s="1186"/>
      <c r="R45" s="1186"/>
      <c r="S45" s="2669"/>
      <c r="T45" s="2669"/>
      <c r="U45" s="2669"/>
      <c r="V45" s="2669"/>
    </row>
    <row r="46" spans="1:30" s="1935" customFormat="1">
      <c r="A46" s="1761"/>
      <c r="B46" s="1761"/>
      <c r="C46" s="1186"/>
      <c r="D46" s="1186"/>
      <c r="E46" s="1186"/>
      <c r="F46" s="1186"/>
      <c r="G46" s="1186"/>
      <c r="H46" s="1186"/>
      <c r="I46" s="1186"/>
      <c r="J46" s="2667"/>
      <c r="K46" s="2668"/>
      <c r="L46" s="2668"/>
      <c r="M46" s="1186"/>
      <c r="N46" s="1186"/>
      <c r="O46" s="1186"/>
      <c r="P46" s="1186"/>
      <c r="Q46" s="1186"/>
      <c r="R46" s="1186"/>
      <c r="S46" s="2669"/>
      <c r="T46" s="2669"/>
      <c r="U46" s="2669"/>
      <c r="V46" s="2669"/>
    </row>
    <row r="47" spans="1:30" s="1935" customFormat="1">
      <c r="A47" s="1761"/>
      <c r="B47" s="1761"/>
      <c r="C47" s="1186"/>
      <c r="D47" s="1186"/>
      <c r="E47" s="1186"/>
      <c r="F47" s="1186"/>
      <c r="G47" s="1186"/>
      <c r="H47" s="1186"/>
      <c r="I47" s="1186"/>
      <c r="J47" s="2667"/>
      <c r="K47" s="2668"/>
      <c r="L47" s="2668"/>
      <c r="M47" s="1186"/>
      <c r="N47" s="1186"/>
      <c r="O47" s="1186"/>
      <c r="P47" s="1186"/>
      <c r="Q47" s="1186"/>
      <c r="R47" s="1186"/>
      <c r="S47" s="2669"/>
      <c r="T47" s="2669"/>
      <c r="U47" s="2669"/>
      <c r="V47" s="2669"/>
    </row>
    <row r="48" spans="1:30" s="1935" customFormat="1">
      <c r="A48" s="1761"/>
      <c r="B48" s="1761"/>
      <c r="C48" s="1186"/>
      <c r="D48" s="1186"/>
      <c r="E48" s="1186"/>
      <c r="F48" s="1186"/>
      <c r="G48" s="1186"/>
      <c r="H48" s="1186"/>
      <c r="I48" s="1186"/>
      <c r="J48" s="2667"/>
      <c r="K48" s="2668"/>
      <c r="L48" s="2668"/>
      <c r="M48" s="1186"/>
      <c r="N48" s="1186"/>
      <c r="O48" s="1186"/>
      <c r="P48" s="1186"/>
      <c r="Q48" s="1186"/>
      <c r="R48" s="1186"/>
      <c r="S48" s="2669"/>
      <c r="T48" s="2669"/>
      <c r="U48" s="2669"/>
      <c r="V48" s="2669"/>
    </row>
    <row r="49" spans="1:22" s="1935" customFormat="1">
      <c r="A49" s="1761"/>
      <c r="B49" s="1761"/>
      <c r="C49" s="1186"/>
      <c r="D49" s="1186"/>
      <c r="E49" s="1186"/>
      <c r="F49" s="1186"/>
      <c r="G49" s="1186"/>
      <c r="H49" s="1186"/>
      <c r="I49" s="1186"/>
      <c r="J49" s="2667"/>
      <c r="K49" s="2668"/>
      <c r="L49" s="2668"/>
      <c r="M49" s="1186"/>
      <c r="N49" s="1186"/>
      <c r="O49" s="1186"/>
      <c r="P49" s="1186"/>
      <c r="Q49" s="1186"/>
      <c r="R49" s="1186"/>
      <c r="S49" s="2669"/>
      <c r="T49" s="2669"/>
      <c r="U49" s="2669"/>
      <c r="V49" s="2669"/>
    </row>
    <row r="50" spans="1:22" s="1935" customFormat="1">
      <c r="A50" s="1761"/>
      <c r="B50" s="1761"/>
      <c r="C50" s="1186"/>
      <c r="D50" s="1186"/>
      <c r="E50" s="1186"/>
      <c r="F50" s="1186"/>
      <c r="G50" s="1186"/>
      <c r="H50" s="1186"/>
      <c r="I50" s="1186"/>
      <c r="J50" s="2667"/>
      <c r="K50" s="2668"/>
      <c r="L50" s="2668"/>
      <c r="M50" s="1186"/>
      <c r="N50" s="1186"/>
      <c r="O50" s="1186"/>
      <c r="P50" s="1186"/>
      <c r="Q50" s="1186"/>
      <c r="R50" s="1186"/>
      <c r="S50" s="2669"/>
      <c r="T50" s="2669"/>
      <c r="U50" s="2669"/>
      <c r="V50" s="2669"/>
    </row>
    <row r="51" spans="1:22" s="1935" customFormat="1">
      <c r="A51" s="1761"/>
      <c r="B51" s="1761"/>
      <c r="C51" s="1186"/>
      <c r="D51" s="1186"/>
      <c r="E51" s="1186"/>
      <c r="F51" s="1186"/>
      <c r="G51" s="1186"/>
      <c r="H51" s="1186"/>
      <c r="I51" s="1186"/>
      <c r="J51" s="2667"/>
      <c r="K51" s="2668"/>
      <c r="L51" s="2668"/>
      <c r="M51" s="1186"/>
      <c r="N51" s="1186"/>
      <c r="O51" s="1186"/>
      <c r="P51" s="1186"/>
      <c r="Q51" s="1186"/>
      <c r="R51" s="1186"/>
    </row>
    <row r="52" spans="1:22" s="1935" customFormat="1">
      <c r="A52" s="1761"/>
      <c r="B52" s="1761"/>
      <c r="C52" s="1761"/>
      <c r="D52" s="1761"/>
      <c r="E52" s="1761"/>
      <c r="F52" s="1186"/>
      <c r="G52" s="1761"/>
      <c r="H52" s="1761"/>
      <c r="I52" s="1761"/>
      <c r="J52" s="2670"/>
      <c r="K52" s="2668"/>
      <c r="L52" s="2668"/>
      <c r="M52" s="2668"/>
      <c r="N52" s="1761"/>
      <c r="O52" s="1761"/>
      <c r="P52" s="1761"/>
      <c r="Q52" s="1761"/>
      <c r="R52" s="1761"/>
    </row>
    <row r="53" spans="1:22" s="1935" customFormat="1">
      <c r="A53" s="1761"/>
      <c r="B53" s="1761"/>
      <c r="C53" s="1761"/>
      <c r="D53" s="1761"/>
      <c r="E53" s="1761"/>
      <c r="F53" s="1186"/>
      <c r="G53" s="1761"/>
      <c r="H53" s="1761"/>
      <c r="I53" s="1761"/>
      <c r="J53" s="2670"/>
      <c r="K53" s="2668"/>
      <c r="L53" s="2668"/>
      <c r="M53" s="2668"/>
      <c r="N53" s="1761"/>
      <c r="O53" s="1761"/>
      <c r="P53" s="1761"/>
      <c r="Q53" s="1761"/>
      <c r="R53" s="1761"/>
    </row>
    <row r="54" spans="1:22" s="1935" customFormat="1">
      <c r="A54" s="1761"/>
      <c r="B54" s="1761"/>
      <c r="C54" s="1761"/>
      <c r="D54" s="1761"/>
      <c r="E54" s="1761"/>
      <c r="F54" s="1186"/>
      <c r="G54" s="1761"/>
      <c r="H54" s="1761"/>
      <c r="I54" s="1761"/>
      <c r="J54" s="2670"/>
      <c r="K54" s="2668"/>
      <c r="L54" s="2668"/>
      <c r="M54" s="2668"/>
      <c r="N54" s="1761"/>
      <c r="O54" s="1761"/>
      <c r="P54" s="1761"/>
      <c r="Q54" s="1761"/>
      <c r="R54" s="1761"/>
    </row>
    <row r="55" spans="1:22" s="1935" customFormat="1">
      <c r="A55" s="1761"/>
      <c r="B55" s="1761"/>
      <c r="C55" s="1761"/>
      <c r="D55" s="1761"/>
      <c r="E55" s="1761"/>
      <c r="F55" s="1186"/>
      <c r="G55" s="1761"/>
      <c r="H55" s="1761"/>
      <c r="I55" s="1761"/>
      <c r="J55" s="2670"/>
      <c r="K55" s="2668"/>
      <c r="L55" s="2668"/>
      <c r="M55" s="2668"/>
      <c r="N55" s="1761"/>
      <c r="O55" s="1761"/>
      <c r="P55" s="1761"/>
      <c r="Q55" s="1761"/>
      <c r="R55" s="1761"/>
    </row>
    <row r="56" spans="1:22" s="1935" customFormat="1">
      <c r="A56" s="1761"/>
      <c r="B56" s="1761"/>
      <c r="C56" s="1761"/>
      <c r="D56" s="1761"/>
      <c r="E56" s="1761"/>
      <c r="F56" s="1186"/>
      <c r="G56" s="1761"/>
      <c r="H56" s="1761"/>
      <c r="I56" s="1761"/>
      <c r="J56" s="2670"/>
      <c r="K56" s="2668"/>
      <c r="L56" s="2668"/>
      <c r="M56" s="2668"/>
      <c r="N56" s="1761"/>
      <c r="O56" s="1761"/>
      <c r="P56" s="1761"/>
      <c r="Q56" s="1761"/>
      <c r="R56" s="17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4" sqref="I24"/>
    </sheetView>
  </sheetViews>
  <sheetFormatPr defaultColWidth="8.88671875" defaultRowHeight="13.8"/>
  <cols>
    <col min="1" max="1" width="10.6640625" style="1764" customWidth="1"/>
    <col min="2" max="2" width="11" style="1764" customWidth="1"/>
    <col min="3" max="3" width="10.33203125" style="1764" customWidth="1"/>
    <col min="4" max="4" width="9.109375" style="1764" customWidth="1"/>
    <col min="5" max="6" width="10" style="1825" customWidth="1"/>
    <col min="7" max="8" width="10" style="1764" customWidth="1"/>
    <col min="9" max="9" width="10.6640625" style="1764" customWidth="1"/>
    <col min="10" max="10" width="9.44140625" style="1764" customWidth="1"/>
    <col min="11" max="11" width="11" style="1764" customWidth="1"/>
    <col min="12" max="12" width="9.44140625" style="1764" customWidth="1"/>
    <col min="13" max="14" width="9.44140625" style="1764" hidden="1" customWidth="1"/>
    <col min="15" max="15" width="9.88671875" style="1764" hidden="1" customWidth="1"/>
    <col min="16" max="16" width="9.77734375" style="1764" hidden="1" customWidth="1"/>
    <col min="17" max="17" width="9.33203125" style="1764" hidden="1" customWidth="1"/>
    <col min="18" max="18" width="9.21875" style="1764" hidden="1" customWidth="1"/>
    <col min="19" max="19" width="10.88671875" style="1764" hidden="1" customWidth="1"/>
    <col min="20" max="21" width="10.77734375" style="1764" hidden="1" customWidth="1"/>
    <col min="22" max="22" width="10.88671875" style="1764" hidden="1" customWidth="1"/>
    <col min="23" max="27" width="10.77734375" style="1764" hidden="1" customWidth="1"/>
    <col min="28" max="28" width="10.88671875" style="1764" hidden="1" customWidth="1"/>
    <col min="29" max="29" width="11" style="1764" bestFit="1" customWidth="1"/>
    <col min="30" max="30" width="10" style="1764" bestFit="1" customWidth="1"/>
    <col min="31" max="31" width="9.77734375" style="1764" customWidth="1"/>
    <col min="32" max="46" width="9.44140625" style="1764" customWidth="1"/>
    <col min="47" max="47" width="18.109375" style="1764" customWidth="1"/>
    <col min="48" max="50" width="9.77734375" style="1764" customWidth="1"/>
    <col min="51" max="55" width="10.44140625" style="1764" bestFit="1" customWidth="1"/>
    <col min="56" max="56" width="9.44140625" style="1764" bestFit="1" customWidth="1"/>
    <col min="57" max="63" width="9.109375" style="1764" bestFit="1" customWidth="1"/>
    <col min="64" max="64" width="9.44140625" style="1764" bestFit="1" customWidth="1"/>
    <col min="65" max="65" width="9.109375" style="1764" bestFit="1" customWidth="1"/>
    <col min="66" max="66" width="9.44140625" style="1764" bestFit="1" customWidth="1"/>
    <col min="67" max="69" width="9.109375" style="1764" bestFit="1" customWidth="1"/>
    <col min="70" max="70" width="9.44140625" style="1764" bestFit="1" customWidth="1"/>
    <col min="71" max="71" width="9" style="1764" customWidth="1"/>
    <col min="72" max="72" width="9.109375" style="1764" bestFit="1" customWidth="1"/>
    <col min="73" max="16384" width="8.88671875" style="1764"/>
  </cols>
  <sheetData>
    <row r="1" spans="1:72" ht="21">
      <c r="A1" s="1765" t="s">
        <v>1748</v>
      </c>
      <c r="B1" s="1749"/>
      <c r="C1" s="1749"/>
      <c r="D1" s="1749"/>
      <c r="E1" s="1749"/>
      <c r="F1" s="1749"/>
      <c r="G1" s="1749"/>
      <c r="H1" s="1749"/>
      <c r="I1" s="1749"/>
      <c r="J1" s="1749"/>
      <c r="K1" s="1749"/>
      <c r="L1" s="1749"/>
      <c r="M1" s="1749"/>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c r="AL1" s="1749"/>
      <c r="AM1" s="1749"/>
      <c r="AN1" s="1749"/>
      <c r="AO1" s="1749"/>
      <c r="AP1" s="1749"/>
      <c r="AQ1" s="1749"/>
      <c r="AR1" s="1749"/>
      <c r="AS1" s="1749"/>
      <c r="AT1" s="1749"/>
      <c r="AU1" s="1749"/>
      <c r="AV1" s="1766" t="s">
        <v>1749</v>
      </c>
      <c r="AW1" s="1749"/>
      <c r="AX1" s="1749"/>
      <c r="AY1" s="1749"/>
      <c r="AZ1" s="1749"/>
      <c r="BA1" s="1749"/>
      <c r="BB1" s="1749"/>
      <c r="BC1" s="1749"/>
      <c r="BD1" s="1749"/>
      <c r="BE1" s="1749"/>
      <c r="BF1" s="1749"/>
      <c r="BG1" s="1749"/>
      <c r="BH1" s="1749"/>
      <c r="BI1" s="1749"/>
      <c r="BJ1" s="1749"/>
      <c r="BK1" s="1749"/>
      <c r="BL1" s="1749"/>
      <c r="BM1" s="1749"/>
      <c r="BN1" s="1749"/>
      <c r="BO1" s="1749"/>
      <c r="BP1" s="1749"/>
      <c r="BQ1" s="1749"/>
      <c r="BR1" s="1749"/>
      <c r="BS1" s="1749"/>
      <c r="BT1" s="1749"/>
    </row>
    <row r="2" spans="1:72" s="1770" customFormat="1" ht="24">
      <c r="A2" s="11" t="s">
        <v>1750</v>
      </c>
      <c r="B2" s="11" t="s">
        <v>1751</v>
      </c>
      <c r="C2" s="11" t="s">
        <v>1752</v>
      </c>
      <c r="D2" s="1767"/>
      <c r="E2" s="1768"/>
      <c r="F2" s="1769"/>
      <c r="G2" s="1767"/>
      <c r="H2" s="1767"/>
      <c r="I2" s="1767"/>
      <c r="J2" s="1767"/>
      <c r="K2" s="1767"/>
      <c r="L2" s="1767"/>
      <c r="M2" s="1767"/>
      <c r="N2" s="1767"/>
      <c r="O2" s="1767"/>
      <c r="P2" s="1767"/>
      <c r="Q2" s="1767"/>
      <c r="R2" s="1767"/>
      <c r="S2" s="1767"/>
      <c r="T2" s="1767"/>
      <c r="U2" s="1767"/>
      <c r="V2" s="1767"/>
      <c r="W2" s="1767"/>
      <c r="X2" s="1767"/>
      <c r="Y2" s="1767"/>
      <c r="Z2" s="1767"/>
      <c r="AA2" s="1767"/>
      <c r="AB2" s="1767"/>
      <c r="AC2" s="1767"/>
      <c r="AD2" s="1767"/>
      <c r="AE2" s="1767"/>
      <c r="AF2" s="1767"/>
      <c r="AG2" s="1767"/>
      <c r="AH2" s="1767"/>
      <c r="AI2" s="1767"/>
      <c r="AJ2" s="1767"/>
      <c r="AK2" s="1767"/>
      <c r="AL2" s="1767"/>
      <c r="AM2" s="1767"/>
      <c r="AN2" s="1767"/>
      <c r="AO2" s="1767"/>
      <c r="AP2" s="1767"/>
      <c r="AQ2" s="1767"/>
      <c r="AR2" s="1767"/>
      <c r="AS2" s="1767"/>
      <c r="AT2" s="1767"/>
      <c r="AU2" s="1767"/>
      <c r="AV2" s="1767"/>
      <c r="AW2" s="1767"/>
      <c r="AX2" s="1767"/>
      <c r="AY2" s="1183" t="s">
        <v>1753</v>
      </c>
      <c r="AZ2" s="1184" t="s">
        <v>1754</v>
      </c>
      <c r="BA2" s="11" t="s">
        <v>1755</v>
      </c>
      <c r="BB2" s="1767"/>
      <c r="BC2" s="1767"/>
      <c r="BD2" s="1767"/>
      <c r="BE2" s="1767"/>
      <c r="BF2" s="1767"/>
      <c r="BG2" s="1767"/>
      <c r="BH2" s="1767"/>
      <c r="BI2" s="1767"/>
      <c r="BJ2" s="1767"/>
      <c r="BK2" s="1767"/>
      <c r="BL2" s="1767"/>
      <c r="BM2" s="1767"/>
      <c r="BN2" s="1767"/>
      <c r="BO2" s="1767"/>
      <c r="BP2" s="1767"/>
      <c r="BQ2" s="1767"/>
      <c r="BR2" s="1767"/>
      <c r="BS2" s="1767"/>
      <c r="BT2" s="1767"/>
    </row>
    <row r="3" spans="1:72" s="1770" customFormat="1" ht="13.2">
      <c r="A3" s="13">
        <v>15462.6</v>
      </c>
      <c r="B3" s="14">
        <f>IF(C3="否",G5-AT5,G5)</f>
        <v>8640.14</v>
      </c>
      <c r="C3" s="1771" t="s">
        <v>1756</v>
      </c>
      <c r="D3" s="1767"/>
      <c r="E3" s="1767"/>
      <c r="F3" s="1767"/>
      <c r="G3" s="1767"/>
      <c r="H3" s="1767"/>
      <c r="I3" s="1767"/>
      <c r="J3" s="1767"/>
      <c r="K3" s="1767"/>
      <c r="L3" s="1767"/>
      <c r="M3" s="1767"/>
      <c r="N3" s="1767"/>
      <c r="O3" s="1767"/>
      <c r="P3" s="1767"/>
      <c r="Q3" s="1767"/>
      <c r="R3" s="1767"/>
      <c r="S3" s="1767"/>
      <c r="T3" s="1767"/>
      <c r="U3" s="1767"/>
      <c r="V3" s="1767"/>
      <c r="W3" s="1767"/>
      <c r="X3" s="1767"/>
      <c r="Y3" s="1767"/>
      <c r="Z3" s="1767"/>
      <c r="AA3" s="1767"/>
      <c r="AB3" s="1767"/>
      <c r="AC3" s="1767"/>
      <c r="AD3" s="1767"/>
      <c r="AE3" s="1767"/>
      <c r="AF3" s="1767"/>
      <c r="AG3" s="1767"/>
      <c r="AH3" s="1767"/>
      <c r="AI3" s="1767"/>
      <c r="AJ3" s="1767"/>
      <c r="AK3" s="1767"/>
      <c r="AL3" s="1767"/>
      <c r="AM3" s="1767"/>
      <c r="AN3" s="1767"/>
      <c r="AO3" s="1767"/>
      <c r="AP3" s="1767"/>
      <c r="AQ3" s="1767"/>
      <c r="AR3" s="1767"/>
      <c r="AS3" s="1767"/>
      <c r="AT3" s="1767"/>
      <c r="AU3" s="1767"/>
      <c r="AV3" s="1767"/>
      <c r="AW3" s="1767"/>
      <c r="AX3" s="1767"/>
      <c r="AY3" s="1185"/>
      <c r="AZ3" s="1186"/>
      <c r="BA3" s="1187"/>
      <c r="BB3" s="1767"/>
      <c r="BC3" s="1767"/>
      <c r="BD3" s="1767"/>
      <c r="BE3" s="1767"/>
      <c r="BF3" s="1767"/>
      <c r="BG3" s="1767"/>
      <c r="BH3" s="1767"/>
      <c r="BI3" s="1767"/>
      <c r="BJ3" s="1767"/>
      <c r="BK3" s="1767"/>
      <c r="BL3" s="1767"/>
      <c r="BM3" s="1767"/>
      <c r="BN3" s="1767"/>
      <c r="BO3" s="1767"/>
      <c r="BP3" s="1767"/>
      <c r="BQ3" s="1767"/>
      <c r="BR3" s="1767"/>
      <c r="BS3" s="1767"/>
      <c r="BT3" s="1767"/>
    </row>
    <row r="4" spans="1:72" s="1776" customFormat="1" thickBot="1">
      <c r="A4" s="1772"/>
      <c r="B4" s="1773"/>
      <c r="C4" s="1774"/>
      <c r="D4" s="1767"/>
      <c r="E4" s="1767"/>
      <c r="F4" s="1767"/>
      <c r="G4" s="1767"/>
      <c r="H4" s="1767"/>
      <c r="I4" s="1767"/>
      <c r="J4" s="1767"/>
      <c r="K4" s="1767"/>
      <c r="L4" s="1767"/>
      <c r="M4" s="1767"/>
      <c r="N4" s="1767"/>
      <c r="O4" s="1767"/>
      <c r="P4" s="1767"/>
      <c r="Q4" s="1767"/>
      <c r="R4" s="1767"/>
      <c r="S4" s="1767"/>
      <c r="T4" s="1767"/>
      <c r="U4" s="1767"/>
      <c r="V4" s="1767"/>
      <c r="W4" s="1767"/>
      <c r="X4" s="1767"/>
      <c r="Y4" s="1767"/>
      <c r="Z4" s="1767"/>
      <c r="AA4" s="1767"/>
      <c r="AB4" s="1767"/>
      <c r="AC4" s="1767"/>
      <c r="AD4" s="1767"/>
      <c r="AE4" s="1767"/>
      <c r="AF4" s="1767"/>
      <c r="AG4" s="1767"/>
      <c r="AH4" s="1767"/>
      <c r="AI4" s="1767"/>
      <c r="AJ4" s="1767"/>
      <c r="AK4" s="1767"/>
      <c r="AL4" s="1767"/>
      <c r="AM4" s="1767"/>
      <c r="AN4" s="1767"/>
      <c r="AO4" s="1767"/>
      <c r="AP4" s="1767"/>
      <c r="AQ4" s="1767"/>
      <c r="AR4" s="1767"/>
      <c r="AS4" s="1767"/>
      <c r="AT4" s="1767"/>
      <c r="AU4" s="1767"/>
      <c r="AV4" s="1767"/>
      <c r="AW4" s="1767"/>
      <c r="AX4" s="1767"/>
      <c r="AY4" s="1767"/>
      <c r="AZ4" s="1767"/>
      <c r="BA4" s="1775"/>
      <c r="BB4" s="1767"/>
      <c r="BC4" s="1767"/>
      <c r="BD4" s="1767"/>
      <c r="BE4" s="1767"/>
      <c r="BF4" s="1767"/>
      <c r="BG4" s="1767"/>
      <c r="BH4" s="1767"/>
      <c r="BI4" s="1767"/>
      <c r="BJ4" s="1767"/>
      <c r="BK4" s="1767"/>
      <c r="BL4" s="1767"/>
      <c r="BM4" s="1767"/>
      <c r="BN4" s="1767"/>
      <c r="BO4" s="1767"/>
      <c r="BP4" s="1767"/>
      <c r="BQ4" s="1767"/>
      <c r="BR4" s="1767"/>
      <c r="BS4" s="1767"/>
      <c r="BT4" s="1767"/>
    </row>
    <row r="5" spans="1:72" s="1770" customFormat="1" ht="13.2">
      <c r="A5" s="15" t="s">
        <v>1757</v>
      </c>
      <c r="B5" s="1537"/>
      <c r="C5" s="1537"/>
      <c r="D5" s="1539"/>
      <c r="E5" s="16" t="s">
        <v>1</v>
      </c>
      <c r="F5" s="16">
        <f>SUM(F13:F587)</f>
        <v>0</v>
      </c>
      <c r="G5" s="16">
        <f>SUM(G13:G587)</f>
        <v>8640.14</v>
      </c>
      <c r="H5" s="16">
        <f t="shared" ref="H5:AT5" si="0">SUM(H13:H656)</f>
        <v>8640.14</v>
      </c>
      <c r="I5" s="16">
        <f t="shared" si="0"/>
        <v>8640.14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6"/>
      <c r="AV5" s="15" t="s">
        <v>1757</v>
      </c>
      <c r="AW5" s="1537"/>
      <c r="AX5" s="1537"/>
      <c r="AY5" s="17" t="s">
        <v>3</v>
      </c>
      <c r="AZ5" s="18">
        <f t="shared" ref="AZ5:BT5" si="1">SUM(AZ13:AZ656)</f>
        <v>8640.14</v>
      </c>
      <c r="BA5" s="18">
        <f t="shared" si="1"/>
        <v>8640.14</v>
      </c>
      <c r="BB5" s="18">
        <f t="shared" si="1"/>
        <v>8640.14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80" customFormat="1" ht="13.2">
      <c r="A6" s="15" t="s">
        <v>1758</v>
      </c>
      <c r="B6" s="1777"/>
      <c r="C6" s="1777"/>
      <c r="D6" s="1778"/>
      <c r="E6" s="16">
        <f>H6+AC6+AT6</f>
        <v>15462.6</v>
      </c>
      <c r="F6" s="16" t="s">
        <v>1</v>
      </c>
      <c r="G6" s="16" t="s">
        <v>2</v>
      </c>
      <c r="H6" s="20">
        <f>SUMIF(I$12:AB$12,"总值",I6:AB6)</f>
        <v>15462.6</v>
      </c>
      <c r="I6" s="16">
        <f t="shared" ref="I6:AB6" si="2">ROUND($A$3*I5/$B$3,2)</f>
        <v>15462.6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9"/>
      <c r="AV6" s="15" t="s">
        <v>1758</v>
      </c>
      <c r="AW6" s="1777"/>
      <c r="AX6" s="1777"/>
      <c r="AY6" s="21">
        <f>IF(AY3&gt;0,AY3,ROUND($A$3*AZ5/$B$3,2))</f>
        <v>15462.6</v>
      </c>
      <c r="AZ6" s="16" t="s">
        <v>3</v>
      </c>
      <c r="BA6" s="16">
        <f>ROUND($AY$6*BA5/$AZ$5,2)</f>
        <v>15462.6</v>
      </c>
      <c r="BB6" s="16">
        <f>ROUND($AY$6*BB5/$AZ$5,2)</f>
        <v>15462.6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70" customFormat="1" ht="25.2">
      <c r="A7" s="1760" t="s">
        <v>1759</v>
      </c>
      <c r="B7" s="1760" t="s">
        <v>1760</v>
      </c>
      <c r="C7" s="1760" t="s">
        <v>1761</v>
      </c>
      <c r="D7" s="1760" t="s">
        <v>1762</v>
      </c>
      <c r="E7" s="1760" t="s">
        <v>1763</v>
      </c>
      <c r="F7" s="1760" t="s">
        <v>1764</v>
      </c>
      <c r="G7" s="1781" t="s">
        <v>1765</v>
      </c>
      <c r="H7" s="1782"/>
      <c r="I7" s="1782"/>
      <c r="J7" s="1782"/>
      <c r="K7" s="1782"/>
      <c r="L7" s="1782"/>
      <c r="M7" s="1782"/>
      <c r="N7" s="1782"/>
      <c r="O7" s="1782"/>
      <c r="P7" s="1782"/>
      <c r="Q7" s="1782"/>
      <c r="R7" s="1782"/>
      <c r="S7" s="1782"/>
      <c r="T7" s="1782"/>
      <c r="U7" s="1782"/>
      <c r="V7" s="1782"/>
      <c r="W7" s="1782"/>
      <c r="X7" s="1782"/>
      <c r="Y7" s="1782"/>
      <c r="Z7" s="1782"/>
      <c r="AA7" s="1782"/>
      <c r="AB7" s="1782"/>
      <c r="AC7" s="1782"/>
      <c r="AD7" s="1782"/>
      <c r="AE7" s="1782"/>
      <c r="AF7" s="1782"/>
      <c r="AG7" s="1782"/>
      <c r="AH7" s="1782"/>
      <c r="AI7" s="1782"/>
      <c r="AJ7" s="1782"/>
      <c r="AK7" s="1782"/>
      <c r="AL7" s="1782"/>
      <c r="AM7" s="1782"/>
      <c r="AN7" s="1782"/>
      <c r="AO7" s="1782"/>
      <c r="AP7" s="1782"/>
      <c r="AQ7" s="1782"/>
      <c r="AR7" s="1782"/>
      <c r="AS7" s="1782"/>
      <c r="AT7" s="1539"/>
      <c r="AU7" s="1782" t="s">
        <v>1766</v>
      </c>
      <c r="AV7" s="23" t="s">
        <v>1767</v>
      </c>
      <c r="AW7" s="1769" t="s">
        <v>1768</v>
      </c>
      <c r="AX7" s="23" t="s">
        <v>1761</v>
      </c>
      <c r="AY7" s="1537" t="s">
        <v>1769</v>
      </c>
      <c r="AZ7" s="1783"/>
      <c r="BA7" s="1782"/>
      <c r="BB7" s="1782"/>
      <c r="BC7" s="1782"/>
      <c r="BD7" s="1782"/>
      <c r="BE7" s="1782"/>
      <c r="BF7" s="1782"/>
      <c r="BG7" s="1782"/>
      <c r="BH7" s="1782"/>
      <c r="BI7" s="1782"/>
      <c r="BJ7" s="1782"/>
      <c r="BK7" s="1782"/>
      <c r="BL7" s="1782"/>
      <c r="BM7" s="1782"/>
      <c r="BN7" s="1782"/>
      <c r="BO7" s="1782"/>
      <c r="BP7" s="1782"/>
      <c r="BQ7" s="1782"/>
      <c r="BR7" s="1782"/>
      <c r="BS7" s="1782"/>
      <c r="BT7" s="1784"/>
    </row>
    <row r="8" spans="1:72" s="1792" customFormat="1" ht="24">
      <c r="A8" s="1785"/>
      <c r="B8" s="1785"/>
      <c r="C8" s="1785"/>
      <c r="D8" s="1785"/>
      <c r="E8" s="1785"/>
      <c r="F8" s="1785"/>
      <c r="G8" s="1786" t="s">
        <v>1770</v>
      </c>
      <c r="H8" s="1787" t="s">
        <v>1771</v>
      </c>
      <c r="I8" s="1788"/>
      <c r="J8" s="1550"/>
      <c r="K8" s="1550"/>
      <c r="L8" s="1550"/>
      <c r="M8" s="1550"/>
      <c r="N8" s="1550"/>
      <c r="O8" s="1550"/>
      <c r="P8" s="1550"/>
      <c r="Q8" s="1550"/>
      <c r="R8" s="1550"/>
      <c r="S8" s="1550"/>
      <c r="T8" s="1550"/>
      <c r="U8" s="1550"/>
      <c r="V8" s="1789"/>
      <c r="W8" s="1550"/>
      <c r="X8" s="1550"/>
      <c r="Y8" s="1550"/>
      <c r="Z8" s="1550"/>
      <c r="AA8" s="1789"/>
      <c r="AB8" s="1790"/>
      <c r="AC8" s="922" t="s">
        <v>1772</v>
      </c>
      <c r="AD8" s="1791"/>
      <c r="AE8" s="1783"/>
      <c r="AF8" s="1550"/>
      <c r="AG8" s="1550"/>
      <c r="AH8" s="1550"/>
      <c r="AI8" s="1550"/>
      <c r="AJ8" s="1550"/>
      <c r="AK8" s="1550"/>
      <c r="AL8" s="1550"/>
      <c r="AM8" s="1550"/>
      <c r="AN8" s="1550"/>
      <c r="AO8" s="1550"/>
      <c r="AP8" s="1550"/>
      <c r="AQ8" s="1550"/>
      <c r="AR8" s="1550"/>
      <c r="AS8" s="1550"/>
      <c r="AT8" s="1206" t="s">
        <v>1773</v>
      </c>
      <c r="AU8" s="1785" t="s">
        <v>1774</v>
      </c>
      <c r="AV8" s="1206"/>
      <c r="AW8" s="1768"/>
      <c r="AX8" s="1206"/>
      <c r="AY8" s="1769" t="s">
        <v>1775</v>
      </c>
      <c r="AZ8" s="1549" t="s">
        <v>1776</v>
      </c>
      <c r="BA8" s="1550"/>
      <c r="BB8" s="1550"/>
      <c r="BC8" s="1550"/>
      <c r="BD8" s="1550"/>
      <c r="BE8" s="1550"/>
      <c r="BF8" s="1550"/>
      <c r="BG8" s="1550"/>
      <c r="BH8" s="1550"/>
      <c r="BI8" s="1550"/>
      <c r="BJ8" s="1550"/>
      <c r="BK8" s="1550"/>
      <c r="BL8" s="1550"/>
      <c r="BM8" s="1550"/>
      <c r="BN8" s="1550"/>
      <c r="BO8" s="1550"/>
      <c r="BP8" s="1550"/>
      <c r="BQ8" s="1550"/>
      <c r="BR8" s="1550"/>
      <c r="BS8" s="1550"/>
      <c r="BT8" s="26"/>
    </row>
    <row r="9" spans="1:72" s="1792" customFormat="1" ht="13.2">
      <c r="A9" s="1785"/>
      <c r="B9" s="1785"/>
      <c r="C9" s="1785"/>
      <c r="D9" s="1785"/>
      <c r="E9" s="1785"/>
      <c r="F9" s="1785"/>
      <c r="G9" s="1206"/>
      <c r="H9" s="1793" t="s">
        <v>1777</v>
      </c>
      <c r="I9" s="1794" t="s">
        <v>3152</v>
      </c>
      <c r="J9" s="922"/>
      <c r="K9" s="1794"/>
      <c r="L9" s="922"/>
      <c r="M9" s="1794"/>
      <c r="N9" s="922"/>
      <c r="O9" s="1794"/>
      <c r="P9" s="922"/>
      <c r="Q9" s="1794"/>
      <c r="R9" s="922"/>
      <c r="S9" s="1794"/>
      <c r="T9" s="922"/>
      <c r="U9" s="1794"/>
      <c r="V9" s="922"/>
      <c r="W9" s="1794"/>
      <c r="X9" s="1795"/>
      <c r="Y9" s="1794"/>
      <c r="Z9" s="922"/>
      <c r="AA9" s="1794"/>
      <c r="AB9" s="922"/>
      <c r="AC9" s="1786" t="s">
        <v>1777</v>
      </c>
      <c r="AD9" s="15" t="s">
        <v>1778</v>
      </c>
      <c r="AE9" s="1212"/>
      <c r="AF9" s="15" t="s">
        <v>1779</v>
      </c>
      <c r="AG9" s="1212"/>
      <c r="AH9" s="15" t="s">
        <v>1778</v>
      </c>
      <c r="AI9" s="1212"/>
      <c r="AJ9" s="15" t="s">
        <v>1779</v>
      </c>
      <c r="AK9" s="1212"/>
      <c r="AL9" s="15" t="s">
        <v>1778</v>
      </c>
      <c r="AM9" s="1212"/>
      <c r="AN9" s="15" t="s">
        <v>1779</v>
      </c>
      <c r="AO9" s="1212"/>
      <c r="AP9" s="15" t="s">
        <v>1778</v>
      </c>
      <c r="AQ9" s="1212"/>
      <c r="AR9" s="15" t="s">
        <v>1779</v>
      </c>
      <c r="AS9" s="1796"/>
      <c r="AT9" s="1785"/>
      <c r="AU9" s="1785" t="s">
        <v>1780</v>
      </c>
      <c r="AV9" s="1206"/>
      <c r="AW9" s="1768"/>
      <c r="AX9" s="1206"/>
      <c r="AY9" s="28"/>
      <c r="AZ9" s="28" t="s">
        <v>1770</v>
      </c>
      <c r="BA9" s="1797" t="s">
        <v>1781</v>
      </c>
      <c r="BB9" s="1798"/>
      <c r="BC9" s="1252"/>
      <c r="BD9" s="1252"/>
      <c r="BE9" s="1252"/>
      <c r="BF9" s="1252"/>
      <c r="BG9" s="1252"/>
      <c r="BH9" s="1252"/>
      <c r="BI9" s="1252"/>
      <c r="BJ9" s="1252"/>
      <c r="BK9" s="1799"/>
      <c r="BL9" s="15" t="s">
        <v>1782</v>
      </c>
      <c r="BM9" s="1550"/>
      <c r="BN9" s="1788"/>
      <c r="BO9" s="1550"/>
      <c r="BP9" s="1550"/>
      <c r="BQ9" s="1550"/>
      <c r="BR9" s="1550"/>
      <c r="BS9" s="1550"/>
      <c r="BT9" s="26"/>
    </row>
    <row r="10" spans="1:72" s="1792" customFormat="1" ht="13.2">
      <c r="A10" s="1785"/>
      <c r="B10" s="1785"/>
      <c r="C10" s="1785"/>
      <c r="D10" s="1785"/>
      <c r="E10" s="1785"/>
      <c r="F10" s="1785"/>
      <c r="G10" s="1206"/>
      <c r="H10" s="28"/>
      <c r="I10" s="1794" t="s">
        <v>6</v>
      </c>
      <c r="J10" s="922"/>
      <c r="K10" s="1800"/>
      <c r="L10" s="922"/>
      <c r="M10" s="1800"/>
      <c r="N10" s="922"/>
      <c r="O10" s="1800"/>
      <c r="P10" s="922"/>
      <c r="Q10" s="1800"/>
      <c r="R10" s="922"/>
      <c r="S10" s="1800"/>
      <c r="T10" s="922"/>
      <c r="U10" s="1800"/>
      <c r="V10" s="922"/>
      <c r="W10" s="1800"/>
      <c r="X10" s="922"/>
      <c r="Y10" s="1800"/>
      <c r="Z10" s="922"/>
      <c r="AA10" s="1800"/>
      <c r="AB10" s="922"/>
      <c r="AC10" s="1206"/>
      <c r="AD10" s="15" t="s">
        <v>1783</v>
      </c>
      <c r="AE10" s="1801"/>
      <c r="AF10" s="15" t="s">
        <v>1783</v>
      </c>
      <c r="AG10" s="1801"/>
      <c r="AH10" s="15" t="s">
        <v>1784</v>
      </c>
      <c r="AI10" s="1801"/>
      <c r="AJ10" s="15" t="s">
        <v>1784</v>
      </c>
      <c r="AK10" s="1801"/>
      <c r="AL10" s="15" t="s">
        <v>1785</v>
      </c>
      <c r="AM10" s="1212"/>
      <c r="AN10" s="15" t="s">
        <v>1785</v>
      </c>
      <c r="AO10" s="1212"/>
      <c r="AP10" s="15" t="s">
        <v>1786</v>
      </c>
      <c r="AQ10" s="1212"/>
      <c r="AR10" s="15" t="s">
        <v>1786</v>
      </c>
      <c r="AS10" s="1212"/>
      <c r="AT10" s="1785"/>
      <c r="AU10" s="1785"/>
      <c r="AV10" s="1206"/>
      <c r="AW10" s="1768"/>
      <c r="AX10" s="1206"/>
      <c r="AY10" s="28"/>
      <c r="AZ10" s="28"/>
      <c r="BA10" s="1802" t="s">
        <v>1777</v>
      </c>
      <c r="BB10" s="1803" t="str">
        <f>I9</f>
        <v>地上</v>
      </c>
      <c r="BC10" s="29">
        <f>K9</f>
        <v>0</v>
      </c>
      <c r="BD10" s="29">
        <f>M9</f>
        <v>0</v>
      </c>
      <c r="BE10" s="29">
        <f>O9</f>
        <v>0</v>
      </c>
      <c r="BF10" s="29">
        <f>Q9</f>
        <v>0</v>
      </c>
      <c r="BG10" s="29">
        <f>S9</f>
        <v>0</v>
      </c>
      <c r="BH10" s="29">
        <f>U9</f>
        <v>0</v>
      </c>
      <c r="BI10" s="29">
        <f>W9</f>
        <v>0</v>
      </c>
      <c r="BJ10" s="29">
        <f>Y9</f>
        <v>0</v>
      </c>
      <c r="BK10" s="29">
        <f>AA9</f>
        <v>0</v>
      </c>
      <c r="BL10" s="25" t="s">
        <v>1777</v>
      </c>
      <c r="BM10" s="1549" t="str">
        <f>AD9</f>
        <v>地上</v>
      </c>
      <c r="BN10" s="29" t="str">
        <f>AF9</f>
        <v>地下</v>
      </c>
      <c r="BO10" s="1549" t="str">
        <f>AH9</f>
        <v>地上</v>
      </c>
      <c r="BP10" s="29" t="str">
        <f>AJ9</f>
        <v>地下</v>
      </c>
      <c r="BQ10" s="1549" t="str">
        <f>AL9</f>
        <v>地上</v>
      </c>
      <c r="BR10" s="29" t="str">
        <f>AN9</f>
        <v>地下</v>
      </c>
      <c r="BS10" s="1549" t="str">
        <f>AP9</f>
        <v>地上</v>
      </c>
      <c r="BT10" s="1804" t="str">
        <f>AR9</f>
        <v>地下</v>
      </c>
    </row>
    <row r="11" spans="1:72" s="1792" customFormat="1" ht="13.2">
      <c r="A11" s="1785"/>
      <c r="B11" s="1785"/>
      <c r="C11" s="1785"/>
      <c r="D11" s="1785"/>
      <c r="E11" s="1785"/>
      <c r="F11" s="1785"/>
      <c r="G11" s="1206"/>
      <c r="H11" s="1802"/>
      <c r="I11" s="1805" t="s">
        <v>3153</v>
      </c>
      <c r="J11" s="1806"/>
      <c r="K11" s="1805"/>
      <c r="L11" s="1806"/>
      <c r="M11" s="1805"/>
      <c r="N11" s="1806"/>
      <c r="O11" s="1805"/>
      <c r="P11" s="1806"/>
      <c r="Q11" s="1805"/>
      <c r="R11" s="1806"/>
      <c r="S11" s="1805"/>
      <c r="T11" s="1806"/>
      <c r="U11" s="1805"/>
      <c r="V11" s="1806"/>
      <c r="W11" s="1805"/>
      <c r="X11" s="1806"/>
      <c r="Y11" s="1805"/>
      <c r="Z11" s="1806"/>
      <c r="AA11" s="1805"/>
      <c r="AB11" s="1806"/>
      <c r="AC11" s="1206"/>
      <c r="AD11" s="1807" t="s">
        <v>1787</v>
      </c>
      <c r="AE11" s="1551"/>
      <c r="AF11" s="1807" t="s">
        <v>1787</v>
      </c>
      <c r="AG11" s="1551"/>
      <c r="AH11" s="1807" t="s">
        <v>1788</v>
      </c>
      <c r="AI11" s="1808"/>
      <c r="AJ11" s="1807" t="s">
        <v>1788</v>
      </c>
      <c r="AK11" s="1551"/>
      <c r="AL11" s="1549"/>
      <c r="AM11" s="1551"/>
      <c r="AN11" s="1549"/>
      <c r="AO11" s="1551"/>
      <c r="AP11" s="1549"/>
      <c r="AQ11" s="1551"/>
      <c r="AR11" s="1549"/>
      <c r="AS11" s="1551"/>
      <c r="AT11" s="1768"/>
      <c r="AU11" s="1785"/>
      <c r="AV11" s="1206"/>
      <c r="AW11" s="1768"/>
      <c r="AX11" s="1206"/>
      <c r="AY11" s="28"/>
      <c r="AZ11" s="28"/>
      <c r="BA11" s="28"/>
      <c r="BB11" s="1790" t="str">
        <f>I10</f>
        <v>工业</v>
      </c>
      <c r="BC11" s="1790">
        <f>K10</f>
        <v>0</v>
      </c>
      <c r="BD11" s="1790">
        <f>M10</f>
        <v>0</v>
      </c>
      <c r="BE11" s="1790">
        <f>O10</f>
        <v>0</v>
      </c>
      <c r="BF11" s="1790">
        <f>Q10</f>
        <v>0</v>
      </c>
      <c r="BG11" s="1790">
        <f>S10</f>
        <v>0</v>
      </c>
      <c r="BH11" s="1790">
        <f>U10</f>
        <v>0</v>
      </c>
      <c r="BI11" s="1790">
        <f>W10</f>
        <v>0</v>
      </c>
      <c r="BJ11" s="1790">
        <f>Y10</f>
        <v>0</v>
      </c>
      <c r="BK11" s="1790">
        <f>AA10</f>
        <v>0</v>
      </c>
      <c r="BL11" s="1206"/>
      <c r="BM11" s="1549" t="str">
        <f>AD10</f>
        <v>公共配套设施</v>
      </c>
      <c r="BN11" s="1549" t="str">
        <f>AF10</f>
        <v>公共配套设施</v>
      </c>
      <c r="BO11" s="24" t="str">
        <f>AH10</f>
        <v>物业管理用房</v>
      </c>
      <c r="BP11" s="24" t="str">
        <f>AJ10</f>
        <v>物业管理用房</v>
      </c>
      <c r="BQ11" s="24" t="str">
        <f>AL10</f>
        <v>设备及其他</v>
      </c>
      <c r="BR11" s="24" t="str">
        <f>AN10</f>
        <v>设备及其他</v>
      </c>
      <c r="BS11" s="25" t="str">
        <f>AP10</f>
        <v>未注明</v>
      </c>
      <c r="BT11" s="1809" t="str">
        <f>AR10</f>
        <v>未注明</v>
      </c>
    </row>
    <row r="12" spans="1:72" s="1770" customFormat="1" ht="13.2">
      <c r="A12" s="1810"/>
      <c r="B12" s="1810"/>
      <c r="C12" s="1810"/>
      <c r="D12" s="1810"/>
      <c r="E12" s="1810"/>
      <c r="F12" s="1810"/>
      <c r="G12" s="30"/>
      <c r="H12" s="1811"/>
      <c r="I12" s="1539"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6" t="s">
        <v>1790</v>
      </c>
      <c r="W12" s="11" t="s">
        <v>1789</v>
      </c>
      <c r="X12" s="11" t="s">
        <v>1790</v>
      </c>
      <c r="Y12" s="11" t="s">
        <v>1789</v>
      </c>
      <c r="Z12" s="11" t="s">
        <v>1790</v>
      </c>
      <c r="AA12" s="11" t="s">
        <v>1789</v>
      </c>
      <c r="AB12" s="11" t="s">
        <v>1790</v>
      </c>
      <c r="AC12" s="1812"/>
      <c r="AD12" s="1539"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10" t="s">
        <v>1790</v>
      </c>
      <c r="AT12" s="1813"/>
      <c r="AU12" s="1810"/>
      <c r="AV12" s="31"/>
      <c r="AW12" s="1769"/>
      <c r="AX12" s="31"/>
      <c r="AY12" s="1814"/>
      <c r="AZ12" s="28"/>
      <c r="BA12" s="1802"/>
      <c r="BB12" s="24" t="str">
        <f>I11</f>
        <v>标准厂房</v>
      </c>
      <c r="BC12" s="1815">
        <f>K11</f>
        <v>0</v>
      </c>
      <c r="BD12" s="1815">
        <f>M11</f>
        <v>0</v>
      </c>
      <c r="BE12" s="1790">
        <f>O11</f>
        <v>0</v>
      </c>
      <c r="BF12" s="1790">
        <f>Q11</f>
        <v>0</v>
      </c>
      <c r="BG12" s="1790">
        <f>S11</f>
        <v>0</v>
      </c>
      <c r="BH12" s="1790">
        <f>U11</f>
        <v>0</v>
      </c>
      <c r="BI12" s="1790">
        <f>W11</f>
        <v>0</v>
      </c>
      <c r="BJ12" s="1790">
        <f>Y11</f>
        <v>0</v>
      </c>
      <c r="BK12" s="1790">
        <f>AA11</f>
        <v>0</v>
      </c>
      <c r="BL12" s="1206"/>
      <c r="BM12" s="1549" t="str">
        <f>AD11</f>
        <v>（住宅）</v>
      </c>
      <c r="BN12" s="1549" t="str">
        <f>AF11</f>
        <v>（住宅）</v>
      </c>
      <c r="BO12" s="24" t="str">
        <f>AH11</f>
        <v>（住宅、计出让金）</v>
      </c>
      <c r="BP12" s="24" t="str">
        <f>AJ11</f>
        <v>（住宅、计出让金）</v>
      </c>
      <c r="BQ12" s="24">
        <f>AL11</f>
        <v>0</v>
      </c>
      <c r="BR12" s="24">
        <f>AN11</f>
        <v>0</v>
      </c>
      <c r="BS12" s="25">
        <f>AP11</f>
        <v>0</v>
      </c>
      <c r="BT12" s="1809">
        <f>AR11</f>
        <v>0</v>
      </c>
    </row>
    <row r="13" spans="1:72" s="1770" customFormat="1" ht="13.2">
      <c r="A13" s="1186"/>
      <c r="B13" s="1186"/>
      <c r="C13" s="1186" t="s">
        <v>3148</v>
      </c>
      <c r="D13" s="1816" t="s">
        <v>3149</v>
      </c>
      <c r="E13" s="16">
        <f>IF($C$3="是",ROUND($A$3*G13/$B$3,2),ROUND($A$3*(G13-AT13)/$B$3,2))</f>
        <v>9744.81</v>
      </c>
      <c r="F13" s="32"/>
      <c r="G13" s="33">
        <f>H13+AC13+AT13</f>
        <v>5445.17</v>
      </c>
      <c r="H13" s="20">
        <f>SUMIF(I$12:AB$12,"总值",I13:AB13)</f>
        <v>5445.17</v>
      </c>
      <c r="I13" s="1817">
        <v>5445.17</v>
      </c>
      <c r="J13" s="1817"/>
      <c r="K13" s="1817"/>
      <c r="L13" s="1817"/>
      <c r="M13" s="1817"/>
      <c r="N13" s="1817"/>
      <c r="O13" s="1817"/>
      <c r="P13" s="1817"/>
      <c r="Q13" s="1817"/>
      <c r="R13" s="1817"/>
      <c r="S13" s="1817"/>
      <c r="T13" s="1817"/>
      <c r="U13" s="1817"/>
      <c r="V13" s="1817"/>
      <c r="W13" s="1817"/>
      <c r="X13" s="1817"/>
      <c r="Y13" s="1817"/>
      <c r="Z13" s="1817"/>
      <c r="AA13" s="1817"/>
      <c r="AB13" s="1817"/>
      <c r="AC13" s="16">
        <f>SUMIF(AD$12:AS$12,"总值",AD13:AS13)</f>
        <v>0</v>
      </c>
      <c r="AD13" s="1818"/>
      <c r="AE13" s="1818"/>
      <c r="AF13" s="1818"/>
      <c r="AG13" s="1818"/>
      <c r="AH13" s="1818"/>
      <c r="AI13" s="1818"/>
      <c r="AJ13" s="1818"/>
      <c r="AK13" s="1818"/>
      <c r="AL13" s="1818"/>
      <c r="AM13" s="1818"/>
      <c r="AN13" s="1818"/>
      <c r="AO13" s="1818"/>
      <c r="AP13" s="1818"/>
      <c r="AQ13" s="1818"/>
      <c r="AR13" s="1818"/>
      <c r="AS13" s="1818"/>
      <c r="AT13" s="1819"/>
      <c r="AU13" s="1820"/>
      <c r="AV13" s="11">
        <f t="shared" ref="AV13:AX17" si="6">A13</f>
        <v>0</v>
      </c>
      <c r="AW13" s="11">
        <f t="shared" si="6"/>
        <v>0</v>
      </c>
      <c r="AX13" s="11" t="str">
        <f t="shared" si="6"/>
        <v>1幢</v>
      </c>
      <c r="AY13" s="1539">
        <f>ROUND($AY$6*AZ13/$AZ$5,2)</f>
        <v>9744.81</v>
      </c>
      <c r="AZ13" s="16">
        <f>BA13+BL13</f>
        <v>5445.17</v>
      </c>
      <c r="BA13" s="16">
        <f>SUM(BB13:BK13)</f>
        <v>5445.17</v>
      </c>
      <c r="BB13" s="16">
        <f>IF($D13="是",I13-J13,0)</f>
        <v>5445.17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70" customFormat="1" ht="13.2">
      <c r="A14" s="1186"/>
      <c r="B14" s="1186"/>
      <c r="C14" s="1186" t="s">
        <v>3150</v>
      </c>
      <c r="D14" s="1816" t="s">
        <v>3149</v>
      </c>
      <c r="E14" s="16">
        <f>IF($C$3="是",ROUND($A$3*G14/$B$3,2),ROUND($A$3*(G14-AT14)/$B$3,2))</f>
        <v>1546.47</v>
      </c>
      <c r="F14" s="32"/>
      <c r="G14" s="33">
        <f>H14+AC14+AT14</f>
        <v>864.13</v>
      </c>
      <c r="H14" s="20">
        <f>SUMIF(I$12:AB$12,"总值",I14:AB14)</f>
        <v>864.13</v>
      </c>
      <c r="I14" s="1817">
        <v>864.13</v>
      </c>
      <c r="J14" s="1817"/>
      <c r="K14" s="1817"/>
      <c r="L14" s="1817"/>
      <c r="M14" s="1817"/>
      <c r="N14" s="1817"/>
      <c r="O14" s="1817"/>
      <c r="P14" s="1817"/>
      <c r="Q14" s="1817"/>
      <c r="R14" s="1817"/>
      <c r="S14" s="1817"/>
      <c r="T14" s="1817"/>
      <c r="U14" s="1817"/>
      <c r="V14" s="1817"/>
      <c r="W14" s="1817"/>
      <c r="X14" s="1817"/>
      <c r="Y14" s="1817"/>
      <c r="Z14" s="1817"/>
      <c r="AA14" s="1817"/>
      <c r="AB14" s="1817"/>
      <c r="AC14" s="16">
        <f>SUMIF(AD$12:AS$12,"总值",AD14:AS14)</f>
        <v>0</v>
      </c>
      <c r="AD14" s="1818"/>
      <c r="AE14" s="1818"/>
      <c r="AF14" s="1818"/>
      <c r="AG14" s="1818"/>
      <c r="AH14" s="1818"/>
      <c r="AI14" s="1818"/>
      <c r="AJ14" s="1818"/>
      <c r="AK14" s="1818"/>
      <c r="AL14" s="1818"/>
      <c r="AM14" s="1818"/>
      <c r="AN14" s="1818"/>
      <c r="AO14" s="1818"/>
      <c r="AP14" s="1818"/>
      <c r="AQ14" s="1818"/>
      <c r="AR14" s="1818"/>
      <c r="AS14" s="1818"/>
      <c r="AT14" s="1819"/>
      <c r="AU14" s="1820"/>
      <c r="AV14" s="11">
        <f t="shared" si="6"/>
        <v>0</v>
      </c>
      <c r="AW14" s="11">
        <f t="shared" si="6"/>
        <v>0</v>
      </c>
      <c r="AX14" s="11" t="str">
        <f t="shared" si="6"/>
        <v>2幢</v>
      </c>
      <c r="AY14" s="1539">
        <f>ROUND($AY$6*AZ14/$AZ$5,2)</f>
        <v>1546.47</v>
      </c>
      <c r="AZ14" s="16">
        <f>BA14+BL14</f>
        <v>864.13</v>
      </c>
      <c r="BA14" s="16">
        <f>SUM(BB14:BK14)</f>
        <v>864.13</v>
      </c>
      <c r="BB14" s="16">
        <f>IF($D14="是",I14-J14,0)</f>
        <v>864.13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70" customFormat="1" ht="13.2">
      <c r="A15" s="1186"/>
      <c r="B15" s="1186"/>
      <c r="C15" s="1186" t="s">
        <v>3151</v>
      </c>
      <c r="D15" s="1816" t="s">
        <v>3149</v>
      </c>
      <c r="E15" s="16">
        <f>IF($C$3="是",ROUND($A$3*G15/$B$3,2),ROUND($A$3*(G15-AT15)/$B$3,2))</f>
        <v>4171.33</v>
      </c>
      <c r="F15" s="32"/>
      <c r="G15" s="33">
        <f>H15+AC15+AT15</f>
        <v>2330.84</v>
      </c>
      <c r="H15" s="20">
        <f>SUMIF(I$12:AB$12,"总值",I15:AB15)</f>
        <v>2330.84</v>
      </c>
      <c r="I15" s="1817">
        <v>2330.84</v>
      </c>
      <c r="J15" s="1817"/>
      <c r="K15" s="1817"/>
      <c r="L15" s="1817"/>
      <c r="M15" s="1817"/>
      <c r="N15" s="1817"/>
      <c r="O15" s="1817"/>
      <c r="P15" s="1817"/>
      <c r="Q15" s="1817"/>
      <c r="R15" s="1817"/>
      <c r="S15" s="1817"/>
      <c r="T15" s="1817"/>
      <c r="U15" s="1817"/>
      <c r="V15" s="1817"/>
      <c r="W15" s="1817"/>
      <c r="X15" s="1817"/>
      <c r="Y15" s="1817"/>
      <c r="Z15" s="1817"/>
      <c r="AA15" s="1817"/>
      <c r="AB15" s="1817"/>
      <c r="AC15" s="16">
        <f>SUMIF(AD$12:AS$12,"总值",AD15:AS15)</f>
        <v>0</v>
      </c>
      <c r="AD15" s="1818"/>
      <c r="AE15" s="1818"/>
      <c r="AF15" s="1818"/>
      <c r="AG15" s="1818"/>
      <c r="AH15" s="1818"/>
      <c r="AI15" s="1818"/>
      <c r="AJ15" s="1818"/>
      <c r="AK15" s="1818"/>
      <c r="AL15" s="1818"/>
      <c r="AM15" s="1818"/>
      <c r="AN15" s="1818"/>
      <c r="AO15" s="1818"/>
      <c r="AP15" s="1818"/>
      <c r="AQ15" s="1818"/>
      <c r="AR15" s="1818"/>
      <c r="AS15" s="1818"/>
      <c r="AT15" s="1819"/>
      <c r="AU15" s="1820"/>
      <c r="AV15" s="11">
        <f t="shared" si="6"/>
        <v>0</v>
      </c>
      <c r="AW15" s="11">
        <f t="shared" si="6"/>
        <v>0</v>
      </c>
      <c r="AX15" s="11" t="str">
        <f t="shared" si="6"/>
        <v>3幢</v>
      </c>
      <c r="AY15" s="1539">
        <f>ROUND($AY$6*AZ15/$AZ$5,2)</f>
        <v>4171.33</v>
      </c>
      <c r="AZ15" s="16">
        <f>BA15+BL15</f>
        <v>2330.84</v>
      </c>
      <c r="BA15" s="16">
        <f>SUM(BB15:BK15)</f>
        <v>2330.84</v>
      </c>
      <c r="BB15" s="16">
        <f>IF($D15="是",I15-J15,0)</f>
        <v>2330.84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70" customFormat="1" ht="13.2">
      <c r="A16" s="1186"/>
      <c r="B16" s="1186"/>
      <c r="C16" s="1761"/>
      <c r="D16" s="1816"/>
      <c r="E16" s="16">
        <f>IF($C$3="是",ROUND($A$3*G16/$B$3,2),ROUND($A$3*(G16-AT16)/$B$3,2))</f>
        <v>0</v>
      </c>
      <c r="F16" s="32"/>
      <c r="G16" s="33">
        <f>H16+AC16+AT16</f>
        <v>0</v>
      </c>
      <c r="H16" s="20">
        <f>SUMIF(I$12:AB$12,"总值",I16:AB16)</f>
        <v>0</v>
      </c>
      <c r="I16" s="1817"/>
      <c r="J16" s="1817"/>
      <c r="K16" s="1817"/>
      <c r="L16" s="1817"/>
      <c r="M16" s="1817"/>
      <c r="N16" s="1817"/>
      <c r="O16" s="1817"/>
      <c r="P16" s="1817"/>
      <c r="Q16" s="1817"/>
      <c r="R16" s="1817"/>
      <c r="S16" s="1817"/>
      <c r="T16" s="1817"/>
      <c r="U16" s="1817"/>
      <c r="V16" s="1817"/>
      <c r="W16" s="1817"/>
      <c r="X16" s="1817"/>
      <c r="Y16" s="1817"/>
      <c r="Z16" s="1817"/>
      <c r="AA16" s="1817"/>
      <c r="AB16" s="1817"/>
      <c r="AC16" s="16">
        <f>SUMIF(AD$12:AS$12,"总值",AD16:AS16)</f>
        <v>0</v>
      </c>
      <c r="AD16" s="1818"/>
      <c r="AE16" s="1818"/>
      <c r="AF16" s="1818"/>
      <c r="AG16" s="1818"/>
      <c r="AH16" s="1818"/>
      <c r="AI16" s="1818"/>
      <c r="AJ16" s="1818"/>
      <c r="AK16" s="1818"/>
      <c r="AL16" s="1818"/>
      <c r="AM16" s="1818"/>
      <c r="AN16" s="1818"/>
      <c r="AO16" s="1818"/>
      <c r="AP16" s="1818"/>
      <c r="AQ16" s="1818"/>
      <c r="AR16" s="1818"/>
      <c r="AS16" s="1818"/>
      <c r="AT16" s="1819"/>
      <c r="AU16" s="1820"/>
      <c r="AV16" s="11">
        <f t="shared" si="6"/>
        <v>0</v>
      </c>
      <c r="AW16" s="11">
        <f t="shared" si="6"/>
        <v>0</v>
      </c>
      <c r="AX16" s="11">
        <f t="shared" si="6"/>
        <v>0</v>
      </c>
      <c r="AY16" s="153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70" customFormat="1" ht="13.2">
      <c r="A17" s="1186"/>
      <c r="B17" s="1186"/>
      <c r="C17" s="1761"/>
      <c r="D17" s="1816"/>
      <c r="E17" s="16">
        <f>IF($C$3="是",ROUND($A$3*G17/$B$3,2),ROUND($A$3*(G17-AT17)/$B$3,2))</f>
        <v>0</v>
      </c>
      <c r="F17" s="32"/>
      <c r="G17" s="33">
        <f>H17+AC17+AT17</f>
        <v>0</v>
      </c>
      <c r="H17" s="20">
        <f>SUMIF(I$12:AB$12,"总值",I17:AB17)</f>
        <v>0</v>
      </c>
      <c r="I17" s="1817"/>
      <c r="J17" s="1817"/>
      <c r="K17" s="1817"/>
      <c r="L17" s="1817"/>
      <c r="M17" s="1817"/>
      <c r="N17" s="1817"/>
      <c r="O17" s="1817"/>
      <c r="P17" s="1817"/>
      <c r="Q17" s="1817"/>
      <c r="R17" s="1817"/>
      <c r="S17" s="1817"/>
      <c r="T17" s="1817"/>
      <c r="U17" s="1817"/>
      <c r="V17" s="1817"/>
      <c r="W17" s="1817"/>
      <c r="X17" s="1817"/>
      <c r="Y17" s="1817"/>
      <c r="Z17" s="1817"/>
      <c r="AA17" s="1817"/>
      <c r="AB17" s="1817"/>
      <c r="AC17" s="16">
        <f>SUMIF(AD$12:AS$12,"总值",AD17:AS17)</f>
        <v>0</v>
      </c>
      <c r="AD17" s="1818"/>
      <c r="AE17" s="1818"/>
      <c r="AF17" s="1818"/>
      <c r="AG17" s="1818"/>
      <c r="AH17" s="1818"/>
      <c r="AI17" s="1818"/>
      <c r="AJ17" s="1818"/>
      <c r="AK17" s="1818"/>
      <c r="AL17" s="1818"/>
      <c r="AM17" s="1818"/>
      <c r="AN17" s="1818"/>
      <c r="AO17" s="1818"/>
      <c r="AP17" s="1818"/>
      <c r="AQ17" s="1818"/>
      <c r="AR17" s="1818"/>
      <c r="AS17" s="1818"/>
      <c r="AT17" s="1819"/>
      <c r="AU17" s="1820"/>
      <c r="AV17" s="11">
        <f t="shared" si="6"/>
        <v>0</v>
      </c>
      <c r="AW17" s="11">
        <f t="shared" si="6"/>
        <v>0</v>
      </c>
      <c r="AX17" s="11">
        <f t="shared" si="6"/>
        <v>0</v>
      </c>
      <c r="AY17" s="153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22"/>
      <c r="AV18" s="1533">
        <f t="shared" ref="AV18:AV112" si="11">A18</f>
        <v>0</v>
      </c>
      <c r="AW18" s="1533">
        <f t="shared" ref="AW18:AW112" si="12">B18</f>
        <v>0</v>
      </c>
      <c r="AX18" s="153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22"/>
      <c r="AV19" s="1533">
        <f t="shared" si="11"/>
        <v>0</v>
      </c>
      <c r="AW19" s="1533">
        <f t="shared" si="12"/>
        <v>0</v>
      </c>
      <c r="AX19" s="153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22"/>
      <c r="AV20" s="1533">
        <f t="shared" si="11"/>
        <v>0</v>
      </c>
      <c r="AW20" s="1533">
        <f t="shared" si="12"/>
        <v>0</v>
      </c>
      <c r="AX20" s="153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22"/>
      <c r="AV21" s="1533">
        <f t="shared" si="11"/>
        <v>0</v>
      </c>
      <c r="AW21" s="1533">
        <f t="shared" si="12"/>
        <v>0</v>
      </c>
      <c r="AX21" s="153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22"/>
      <c r="AV22" s="1533">
        <f t="shared" si="11"/>
        <v>0</v>
      </c>
      <c r="AW22" s="1533">
        <f t="shared" si="12"/>
        <v>0</v>
      </c>
      <c r="AX22" s="153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22"/>
      <c r="AV23" s="1533">
        <f t="shared" si="11"/>
        <v>0</v>
      </c>
      <c r="AW23" s="1533">
        <f t="shared" si="12"/>
        <v>0</v>
      </c>
      <c r="AX23" s="153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22"/>
      <c r="AV24" s="1533">
        <f t="shared" si="11"/>
        <v>0</v>
      </c>
      <c r="AW24" s="1533">
        <f t="shared" si="12"/>
        <v>0</v>
      </c>
      <c r="AX24" s="153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22"/>
      <c r="AV25" s="1533">
        <f t="shared" si="11"/>
        <v>0</v>
      </c>
      <c r="AW25" s="1533">
        <f t="shared" si="12"/>
        <v>0</v>
      </c>
      <c r="AX25" s="153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22"/>
      <c r="AV26" s="1533">
        <f t="shared" si="11"/>
        <v>0</v>
      </c>
      <c r="AW26" s="1533">
        <f t="shared" si="12"/>
        <v>0</v>
      </c>
      <c r="AX26" s="153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22"/>
      <c r="AV27" s="1533">
        <f t="shared" si="11"/>
        <v>0</v>
      </c>
      <c r="AW27" s="1533">
        <f t="shared" si="12"/>
        <v>0</v>
      </c>
      <c r="AX27" s="153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22"/>
      <c r="AV28" s="1533">
        <f t="shared" si="11"/>
        <v>0</v>
      </c>
      <c r="AW28" s="1533">
        <f t="shared" si="12"/>
        <v>0</v>
      </c>
      <c r="AX28" s="153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22"/>
      <c r="AV29" s="1533">
        <f t="shared" si="11"/>
        <v>0</v>
      </c>
      <c r="AW29" s="1533">
        <f t="shared" si="12"/>
        <v>0</v>
      </c>
      <c r="AX29" s="153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22"/>
      <c r="AV30" s="1533">
        <f t="shared" si="11"/>
        <v>0</v>
      </c>
      <c r="AW30" s="1533">
        <f t="shared" si="12"/>
        <v>0</v>
      </c>
      <c r="AX30" s="153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22"/>
      <c r="AV31" s="1533">
        <f t="shared" si="11"/>
        <v>0</v>
      </c>
      <c r="AW31" s="1533">
        <f t="shared" si="12"/>
        <v>0</v>
      </c>
      <c r="AX31" s="153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22"/>
      <c r="AV32" s="1533">
        <f t="shared" si="11"/>
        <v>0</v>
      </c>
      <c r="AW32" s="1533">
        <f t="shared" si="12"/>
        <v>0</v>
      </c>
      <c r="AX32" s="153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22"/>
      <c r="AV33" s="1533">
        <f t="shared" si="11"/>
        <v>0</v>
      </c>
      <c r="AW33" s="1533">
        <f t="shared" si="12"/>
        <v>0</v>
      </c>
      <c r="AX33" s="153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22"/>
      <c r="AV34" s="1533">
        <f t="shared" si="11"/>
        <v>0</v>
      </c>
      <c r="AW34" s="1533">
        <f t="shared" si="12"/>
        <v>0</v>
      </c>
      <c r="AX34" s="153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22"/>
      <c r="AV35" s="1533">
        <f t="shared" si="11"/>
        <v>0</v>
      </c>
      <c r="AW35" s="1533">
        <f t="shared" si="12"/>
        <v>0</v>
      </c>
      <c r="AX35" s="153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22"/>
      <c r="AV36" s="1533">
        <f t="shared" si="11"/>
        <v>0</v>
      </c>
      <c r="AW36" s="1533">
        <f t="shared" si="12"/>
        <v>0</v>
      </c>
      <c r="AX36" s="153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22"/>
      <c r="AV37" s="1533">
        <f t="shared" si="11"/>
        <v>0</v>
      </c>
      <c r="AW37" s="1533">
        <f t="shared" si="12"/>
        <v>0</v>
      </c>
      <c r="AX37" s="153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22"/>
      <c r="AV38" s="1533">
        <f t="shared" si="11"/>
        <v>0</v>
      </c>
      <c r="AW38" s="1533">
        <f t="shared" si="12"/>
        <v>0</v>
      </c>
      <c r="AX38" s="153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22"/>
      <c r="AV39" s="1533">
        <f t="shared" si="11"/>
        <v>0</v>
      </c>
      <c r="AW39" s="1533">
        <f t="shared" si="12"/>
        <v>0</v>
      </c>
      <c r="AX39" s="153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22"/>
      <c r="AV40" s="1533">
        <f t="shared" si="11"/>
        <v>0</v>
      </c>
      <c r="AW40" s="1533">
        <f t="shared" si="12"/>
        <v>0</v>
      </c>
      <c r="AX40" s="153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22"/>
      <c r="AV41" s="1533">
        <f t="shared" si="11"/>
        <v>0</v>
      </c>
      <c r="AW41" s="1533">
        <f t="shared" si="12"/>
        <v>0</v>
      </c>
      <c r="AX41" s="153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22"/>
      <c r="AV42" s="1533">
        <f t="shared" si="11"/>
        <v>0</v>
      </c>
      <c r="AW42" s="1533">
        <f t="shared" si="12"/>
        <v>0</v>
      </c>
      <c r="AX42" s="153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22"/>
      <c r="AV43" s="1533">
        <f t="shared" si="11"/>
        <v>0</v>
      </c>
      <c r="AW43" s="1533">
        <f t="shared" si="12"/>
        <v>0</v>
      </c>
      <c r="AX43" s="153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22"/>
      <c r="AV44" s="1533">
        <f t="shared" si="11"/>
        <v>0</v>
      </c>
      <c r="AW44" s="1533">
        <f t="shared" si="12"/>
        <v>0</v>
      </c>
      <c r="AX44" s="153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22"/>
      <c r="AV45" s="1533">
        <f t="shared" si="11"/>
        <v>0</v>
      </c>
      <c r="AW45" s="1533">
        <f t="shared" si="12"/>
        <v>0</v>
      </c>
      <c r="AX45" s="153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22"/>
      <c r="AV46" s="1533">
        <f t="shared" si="11"/>
        <v>0</v>
      </c>
      <c r="AW46" s="1533">
        <f t="shared" si="12"/>
        <v>0</v>
      </c>
      <c r="AX46" s="153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22"/>
      <c r="AV47" s="1533">
        <f t="shared" si="11"/>
        <v>0</v>
      </c>
      <c r="AW47" s="1533">
        <f t="shared" si="12"/>
        <v>0</v>
      </c>
      <c r="AX47" s="153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22"/>
      <c r="AV48" s="1533">
        <f t="shared" si="11"/>
        <v>0</v>
      </c>
      <c r="AW48" s="1533">
        <f t="shared" si="12"/>
        <v>0</v>
      </c>
      <c r="AX48" s="153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22"/>
      <c r="AV49" s="1533">
        <f t="shared" si="11"/>
        <v>0</v>
      </c>
      <c r="AW49" s="1533">
        <f t="shared" si="12"/>
        <v>0</v>
      </c>
      <c r="AX49" s="153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22"/>
      <c r="AV50" s="1533">
        <f t="shared" si="11"/>
        <v>0</v>
      </c>
      <c r="AW50" s="1533">
        <f t="shared" si="12"/>
        <v>0</v>
      </c>
      <c r="AX50" s="153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22"/>
      <c r="AV51" s="1533">
        <f t="shared" si="11"/>
        <v>0</v>
      </c>
      <c r="AW51" s="1533">
        <f t="shared" si="12"/>
        <v>0</v>
      </c>
      <c r="AX51" s="153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22"/>
      <c r="AV52" s="1533">
        <f t="shared" si="11"/>
        <v>0</v>
      </c>
      <c r="AW52" s="1533">
        <f t="shared" si="12"/>
        <v>0</v>
      </c>
      <c r="AX52" s="153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22"/>
      <c r="AV53" s="1533">
        <f t="shared" si="11"/>
        <v>0</v>
      </c>
      <c r="AW53" s="1533">
        <f t="shared" si="12"/>
        <v>0</v>
      </c>
      <c r="AX53" s="153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22"/>
      <c r="AV54" s="1533">
        <f t="shared" si="11"/>
        <v>0</v>
      </c>
      <c r="AW54" s="1533">
        <f t="shared" si="12"/>
        <v>0</v>
      </c>
      <c r="AX54" s="153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22"/>
      <c r="AV55" s="1533">
        <f t="shared" si="11"/>
        <v>0</v>
      </c>
      <c r="AW55" s="1533">
        <f t="shared" si="12"/>
        <v>0</v>
      </c>
      <c r="AX55" s="153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22"/>
      <c r="AV56" s="1533">
        <f t="shared" si="11"/>
        <v>0</v>
      </c>
      <c r="AW56" s="1533">
        <f t="shared" si="12"/>
        <v>0</v>
      </c>
      <c r="AX56" s="153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22"/>
      <c r="AV57" s="1533">
        <f t="shared" si="11"/>
        <v>0</v>
      </c>
      <c r="AW57" s="1533">
        <f t="shared" si="12"/>
        <v>0</v>
      </c>
      <c r="AX57" s="153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22"/>
      <c r="AV58" s="1533">
        <f t="shared" si="11"/>
        <v>0</v>
      </c>
      <c r="AW58" s="1533">
        <f t="shared" si="12"/>
        <v>0</v>
      </c>
      <c r="AX58" s="153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22"/>
      <c r="AV59" s="1533">
        <f t="shared" si="11"/>
        <v>0</v>
      </c>
      <c r="AW59" s="1533">
        <f t="shared" si="12"/>
        <v>0</v>
      </c>
      <c r="AX59" s="153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22"/>
      <c r="AV60" s="1533">
        <f t="shared" si="11"/>
        <v>0</v>
      </c>
      <c r="AW60" s="1533">
        <f t="shared" si="12"/>
        <v>0</v>
      </c>
      <c r="AX60" s="153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22"/>
      <c r="AV61" s="1533">
        <f t="shared" si="11"/>
        <v>0</v>
      </c>
      <c r="AW61" s="1533">
        <f t="shared" si="12"/>
        <v>0</v>
      </c>
      <c r="AX61" s="153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22"/>
      <c r="AV62" s="1533">
        <f t="shared" si="11"/>
        <v>0</v>
      </c>
      <c r="AW62" s="1533">
        <f t="shared" si="12"/>
        <v>0</v>
      </c>
      <c r="AX62" s="153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22"/>
      <c r="AV63" s="1533">
        <f t="shared" si="11"/>
        <v>0</v>
      </c>
      <c r="AW63" s="1533">
        <f t="shared" si="12"/>
        <v>0</v>
      </c>
      <c r="AX63" s="153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22"/>
      <c r="AV64" s="1533">
        <f t="shared" si="11"/>
        <v>0</v>
      </c>
      <c r="AW64" s="1533">
        <f t="shared" si="12"/>
        <v>0</v>
      </c>
      <c r="AX64" s="153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22"/>
      <c r="AV65" s="1533">
        <f t="shared" si="11"/>
        <v>0</v>
      </c>
      <c r="AW65" s="1533">
        <f t="shared" si="12"/>
        <v>0</v>
      </c>
      <c r="AX65" s="153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22"/>
      <c r="AV66" s="1533">
        <f t="shared" si="11"/>
        <v>0</v>
      </c>
      <c r="AW66" s="1533">
        <f t="shared" si="12"/>
        <v>0</v>
      </c>
      <c r="AX66" s="153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22"/>
      <c r="AV67" s="1533">
        <f t="shared" si="11"/>
        <v>0</v>
      </c>
      <c r="AW67" s="1533">
        <f t="shared" si="12"/>
        <v>0</v>
      </c>
      <c r="AX67" s="153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22"/>
      <c r="AV68" s="1533">
        <f t="shared" si="11"/>
        <v>0</v>
      </c>
      <c r="AW68" s="1533">
        <f t="shared" si="12"/>
        <v>0</v>
      </c>
      <c r="AX68" s="153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22"/>
      <c r="AV69" s="1533">
        <f t="shared" si="11"/>
        <v>0</v>
      </c>
      <c r="AW69" s="1533">
        <f t="shared" si="12"/>
        <v>0</v>
      </c>
      <c r="AX69" s="153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22"/>
      <c r="AV70" s="1533">
        <f t="shared" si="11"/>
        <v>0</v>
      </c>
      <c r="AW70" s="1533">
        <f t="shared" si="12"/>
        <v>0</v>
      </c>
      <c r="AX70" s="153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22"/>
      <c r="AV71" s="1533">
        <f t="shared" si="11"/>
        <v>0</v>
      </c>
      <c r="AW71" s="1533">
        <f t="shared" si="12"/>
        <v>0</v>
      </c>
      <c r="AX71" s="153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22"/>
      <c r="AV72" s="1533">
        <f t="shared" si="11"/>
        <v>0</v>
      </c>
      <c r="AW72" s="1533">
        <f t="shared" si="12"/>
        <v>0</v>
      </c>
      <c r="AX72" s="153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22"/>
      <c r="AV73" s="1533">
        <f t="shared" si="11"/>
        <v>0</v>
      </c>
      <c r="AW73" s="1533">
        <f t="shared" si="12"/>
        <v>0</v>
      </c>
      <c r="AX73" s="153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22"/>
      <c r="AV74" s="1533">
        <f t="shared" si="11"/>
        <v>0</v>
      </c>
      <c r="AW74" s="1533">
        <f t="shared" si="12"/>
        <v>0</v>
      </c>
      <c r="AX74" s="153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22"/>
      <c r="AV75" s="1533">
        <f t="shared" si="11"/>
        <v>0</v>
      </c>
      <c r="AW75" s="1533">
        <f t="shared" si="12"/>
        <v>0</v>
      </c>
      <c r="AX75" s="153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22"/>
      <c r="AV76" s="1533">
        <f t="shared" si="11"/>
        <v>0</v>
      </c>
      <c r="AW76" s="1533">
        <f t="shared" si="12"/>
        <v>0</v>
      </c>
      <c r="AX76" s="153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22"/>
      <c r="AV77" s="1533">
        <f t="shared" si="11"/>
        <v>0</v>
      </c>
      <c r="AW77" s="1533">
        <f t="shared" si="12"/>
        <v>0</v>
      </c>
      <c r="AX77" s="153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22"/>
      <c r="AV78" s="1533">
        <f t="shared" si="11"/>
        <v>0</v>
      </c>
      <c r="AW78" s="1533">
        <f t="shared" si="12"/>
        <v>0</v>
      </c>
      <c r="AX78" s="153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22"/>
      <c r="AV79" s="1533">
        <f t="shared" si="11"/>
        <v>0</v>
      </c>
      <c r="AW79" s="1533">
        <f t="shared" si="12"/>
        <v>0</v>
      </c>
      <c r="AX79" s="153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22"/>
      <c r="AV80" s="1533">
        <f t="shared" si="11"/>
        <v>0</v>
      </c>
      <c r="AW80" s="1533">
        <f t="shared" si="12"/>
        <v>0</v>
      </c>
      <c r="AX80" s="153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22"/>
      <c r="AV81" s="1533">
        <f t="shared" si="11"/>
        <v>0</v>
      </c>
      <c r="AW81" s="1533">
        <f t="shared" si="12"/>
        <v>0</v>
      </c>
      <c r="AX81" s="153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22"/>
      <c r="AV82" s="1533">
        <f t="shared" si="11"/>
        <v>0</v>
      </c>
      <c r="AW82" s="1533">
        <f t="shared" si="12"/>
        <v>0</v>
      </c>
      <c r="AX82" s="153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22"/>
      <c r="AV83" s="1533">
        <f t="shared" si="11"/>
        <v>0</v>
      </c>
      <c r="AW83" s="1533">
        <f t="shared" si="12"/>
        <v>0</v>
      </c>
      <c r="AX83" s="153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22"/>
      <c r="AV84" s="1533">
        <f t="shared" si="11"/>
        <v>0</v>
      </c>
      <c r="AW84" s="1533">
        <f t="shared" si="12"/>
        <v>0</v>
      </c>
      <c r="AX84" s="153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22"/>
      <c r="AV85" s="1533">
        <f t="shared" si="11"/>
        <v>0</v>
      </c>
      <c r="AW85" s="1533">
        <f t="shared" si="12"/>
        <v>0</v>
      </c>
      <c r="AX85" s="153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22"/>
      <c r="AV86" s="1533">
        <f t="shared" si="11"/>
        <v>0</v>
      </c>
      <c r="AW86" s="1533">
        <f t="shared" si="12"/>
        <v>0</v>
      </c>
      <c r="AX86" s="153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22"/>
      <c r="AV87" s="1533">
        <f t="shared" si="11"/>
        <v>0</v>
      </c>
      <c r="AW87" s="1533">
        <f t="shared" si="12"/>
        <v>0</v>
      </c>
      <c r="AX87" s="153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22"/>
      <c r="AV88" s="1533">
        <f t="shared" si="11"/>
        <v>0</v>
      </c>
      <c r="AW88" s="1533">
        <f t="shared" si="12"/>
        <v>0</v>
      </c>
      <c r="AX88" s="153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22"/>
      <c r="AV89" s="1533">
        <f t="shared" si="11"/>
        <v>0</v>
      </c>
      <c r="AW89" s="1533">
        <f t="shared" si="12"/>
        <v>0</v>
      </c>
      <c r="AX89" s="153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22"/>
      <c r="AV90" s="1533">
        <f t="shared" si="11"/>
        <v>0</v>
      </c>
      <c r="AW90" s="1533">
        <f t="shared" si="12"/>
        <v>0</v>
      </c>
      <c r="AX90" s="153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22"/>
      <c r="AV91" s="1533">
        <f t="shared" si="11"/>
        <v>0</v>
      </c>
      <c r="AW91" s="1533">
        <f t="shared" si="12"/>
        <v>0</v>
      </c>
      <c r="AX91" s="153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22"/>
      <c r="AV92" s="1533">
        <f t="shared" si="11"/>
        <v>0</v>
      </c>
      <c r="AW92" s="1533">
        <f t="shared" si="12"/>
        <v>0</v>
      </c>
      <c r="AX92" s="153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22"/>
      <c r="AV93" s="1533">
        <f t="shared" si="11"/>
        <v>0</v>
      </c>
      <c r="AW93" s="1533">
        <f t="shared" si="12"/>
        <v>0</v>
      </c>
      <c r="AX93" s="153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22"/>
      <c r="AV94" s="1533">
        <f t="shared" si="11"/>
        <v>0</v>
      </c>
      <c r="AW94" s="1533">
        <f t="shared" si="12"/>
        <v>0</v>
      </c>
      <c r="AX94" s="153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22"/>
      <c r="AV95" s="1533">
        <f t="shared" si="11"/>
        <v>0</v>
      </c>
      <c r="AW95" s="1533">
        <f t="shared" si="12"/>
        <v>0</v>
      </c>
      <c r="AX95" s="153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22"/>
      <c r="AV96" s="1533">
        <f t="shared" si="11"/>
        <v>0</v>
      </c>
      <c r="AW96" s="1533">
        <f t="shared" si="12"/>
        <v>0</v>
      </c>
      <c r="AX96" s="153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22"/>
      <c r="AV97" s="1533">
        <f t="shared" si="11"/>
        <v>0</v>
      </c>
      <c r="AW97" s="1533">
        <f t="shared" si="12"/>
        <v>0</v>
      </c>
      <c r="AX97" s="153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22"/>
      <c r="AV98" s="1533">
        <f t="shared" si="11"/>
        <v>0</v>
      </c>
      <c r="AW98" s="1533">
        <f t="shared" si="12"/>
        <v>0</v>
      </c>
      <c r="AX98" s="153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22"/>
      <c r="AV99" s="1533">
        <f t="shared" si="11"/>
        <v>0</v>
      </c>
      <c r="AW99" s="1533">
        <f t="shared" si="12"/>
        <v>0</v>
      </c>
      <c r="AX99" s="153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22"/>
      <c r="AV100" s="1533">
        <f t="shared" si="11"/>
        <v>0</v>
      </c>
      <c r="AW100" s="1533">
        <f t="shared" si="12"/>
        <v>0</v>
      </c>
      <c r="AX100" s="153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22"/>
      <c r="AV101" s="1533">
        <f t="shared" si="11"/>
        <v>0</v>
      </c>
      <c r="AW101" s="1533">
        <f t="shared" si="12"/>
        <v>0</v>
      </c>
      <c r="AX101" s="153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22"/>
      <c r="AV102" s="1533">
        <f t="shared" si="11"/>
        <v>0</v>
      </c>
      <c r="AW102" s="1533">
        <f t="shared" si="12"/>
        <v>0</v>
      </c>
      <c r="AX102" s="153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22"/>
      <c r="AV103" s="1533">
        <f t="shared" si="11"/>
        <v>0</v>
      </c>
      <c r="AW103" s="1533">
        <f t="shared" si="12"/>
        <v>0</v>
      </c>
      <c r="AX103" s="153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22"/>
      <c r="AV104" s="1533">
        <f t="shared" si="11"/>
        <v>0</v>
      </c>
      <c r="AW104" s="1533">
        <f t="shared" si="12"/>
        <v>0</v>
      </c>
      <c r="AX104" s="153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22"/>
      <c r="AV105" s="1533">
        <f t="shared" si="11"/>
        <v>0</v>
      </c>
      <c r="AW105" s="1533">
        <f t="shared" si="12"/>
        <v>0</v>
      </c>
      <c r="AX105" s="153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22"/>
      <c r="AV106" s="1533">
        <f t="shared" si="11"/>
        <v>0</v>
      </c>
      <c r="AW106" s="1533">
        <f t="shared" si="12"/>
        <v>0</v>
      </c>
      <c r="AX106" s="153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22"/>
      <c r="AV107" s="1533">
        <f t="shared" si="11"/>
        <v>0</v>
      </c>
      <c r="AW107" s="1533">
        <f t="shared" si="12"/>
        <v>0</v>
      </c>
      <c r="AX107" s="153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22"/>
      <c r="AV108" s="1533">
        <f t="shared" si="11"/>
        <v>0</v>
      </c>
      <c r="AW108" s="1533">
        <f t="shared" si="12"/>
        <v>0</v>
      </c>
      <c r="AX108" s="153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22"/>
      <c r="AV109" s="1533">
        <f t="shared" si="11"/>
        <v>0</v>
      </c>
      <c r="AW109" s="1533">
        <f t="shared" si="12"/>
        <v>0</v>
      </c>
      <c r="AX109" s="153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62"/>
      <c r="AV110" s="1533">
        <f t="shared" si="11"/>
        <v>0</v>
      </c>
      <c r="AW110" s="1533">
        <f t="shared" si="12"/>
        <v>0</v>
      </c>
      <c r="AX110" s="153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62"/>
      <c r="AV111" s="1533">
        <f t="shared" si="11"/>
        <v>0</v>
      </c>
      <c r="AW111" s="1533">
        <f t="shared" si="12"/>
        <v>0</v>
      </c>
      <c r="AX111" s="153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62"/>
      <c r="AV112" s="1533">
        <f t="shared" si="11"/>
        <v>0</v>
      </c>
      <c r="AW112" s="1533">
        <f t="shared" si="12"/>
        <v>0</v>
      </c>
      <c r="AX112" s="153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22"/>
      <c r="AV113" s="1533">
        <f t="shared" ref="AV113:AV144" si="62">A113</f>
        <v>0</v>
      </c>
      <c r="AW113" s="1533">
        <f t="shared" ref="AW113:AW144" si="63">B113</f>
        <v>0</v>
      </c>
      <c r="AX113" s="153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22"/>
      <c r="AV114" s="1533">
        <f t="shared" si="62"/>
        <v>0</v>
      </c>
      <c r="AW114" s="1533">
        <f t="shared" si="63"/>
        <v>0</v>
      </c>
      <c r="AX114" s="153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22"/>
      <c r="AV115" s="1533">
        <f t="shared" si="62"/>
        <v>0</v>
      </c>
      <c r="AW115" s="1533">
        <f t="shared" si="63"/>
        <v>0</v>
      </c>
      <c r="AX115" s="153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22"/>
      <c r="AV116" s="1533">
        <f t="shared" si="62"/>
        <v>0</v>
      </c>
      <c r="AW116" s="1533">
        <f t="shared" si="63"/>
        <v>0</v>
      </c>
      <c r="AX116" s="153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22"/>
      <c r="AV117" s="1533">
        <f t="shared" si="62"/>
        <v>0</v>
      </c>
      <c r="AW117" s="1533">
        <f t="shared" si="63"/>
        <v>0</v>
      </c>
      <c r="AX117" s="153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22"/>
      <c r="AV118" s="1533">
        <f t="shared" si="62"/>
        <v>0</v>
      </c>
      <c r="AW118" s="1533">
        <f t="shared" si="63"/>
        <v>0</v>
      </c>
      <c r="AX118" s="153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22"/>
      <c r="AV119" s="1533">
        <f t="shared" si="62"/>
        <v>0</v>
      </c>
      <c r="AW119" s="1533">
        <f t="shared" si="63"/>
        <v>0</v>
      </c>
      <c r="AX119" s="153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22"/>
      <c r="AV120" s="1533">
        <f t="shared" si="62"/>
        <v>0</v>
      </c>
      <c r="AW120" s="1533">
        <f t="shared" si="63"/>
        <v>0</v>
      </c>
      <c r="AX120" s="153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22"/>
      <c r="AV121" s="1533">
        <f t="shared" si="62"/>
        <v>0</v>
      </c>
      <c r="AW121" s="1533">
        <f t="shared" si="63"/>
        <v>0</v>
      </c>
      <c r="AX121" s="153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22"/>
      <c r="AV122" s="1533">
        <f t="shared" si="62"/>
        <v>0</v>
      </c>
      <c r="AW122" s="1533">
        <f t="shared" si="63"/>
        <v>0</v>
      </c>
      <c r="AX122" s="153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22"/>
      <c r="AV123" s="1533">
        <f t="shared" si="62"/>
        <v>0</v>
      </c>
      <c r="AW123" s="1533">
        <f t="shared" si="63"/>
        <v>0</v>
      </c>
      <c r="AX123" s="153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22"/>
      <c r="AV124" s="1533">
        <f t="shared" si="62"/>
        <v>0</v>
      </c>
      <c r="AW124" s="1533">
        <f t="shared" si="63"/>
        <v>0</v>
      </c>
      <c r="AX124" s="153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22"/>
      <c r="AV125" s="1533">
        <f t="shared" si="62"/>
        <v>0</v>
      </c>
      <c r="AW125" s="1533">
        <f t="shared" si="63"/>
        <v>0</v>
      </c>
      <c r="AX125" s="153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22"/>
      <c r="AV126" s="1533">
        <f t="shared" si="62"/>
        <v>0</v>
      </c>
      <c r="AW126" s="1533">
        <f t="shared" si="63"/>
        <v>0</v>
      </c>
      <c r="AX126" s="153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22"/>
      <c r="AV127" s="1533">
        <f t="shared" si="62"/>
        <v>0</v>
      </c>
      <c r="AW127" s="1533">
        <f t="shared" si="63"/>
        <v>0</v>
      </c>
      <c r="AX127" s="153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22"/>
      <c r="AV128" s="1533">
        <f t="shared" si="62"/>
        <v>0</v>
      </c>
      <c r="AW128" s="1533">
        <f t="shared" si="63"/>
        <v>0</v>
      </c>
      <c r="AX128" s="153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22"/>
      <c r="AV129" s="1533">
        <f t="shared" si="62"/>
        <v>0</v>
      </c>
      <c r="AW129" s="1533">
        <f t="shared" si="63"/>
        <v>0</v>
      </c>
      <c r="AX129" s="153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22"/>
      <c r="AV130" s="1533">
        <f t="shared" si="62"/>
        <v>0</v>
      </c>
      <c r="AW130" s="1533">
        <f t="shared" si="63"/>
        <v>0</v>
      </c>
      <c r="AX130" s="153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22"/>
      <c r="AV131" s="1533">
        <f t="shared" si="62"/>
        <v>0</v>
      </c>
      <c r="AW131" s="1533">
        <f t="shared" si="63"/>
        <v>0</v>
      </c>
      <c r="AX131" s="153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22"/>
      <c r="AV132" s="1533">
        <f t="shared" si="62"/>
        <v>0</v>
      </c>
      <c r="AW132" s="1533">
        <f t="shared" si="63"/>
        <v>0</v>
      </c>
      <c r="AX132" s="153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22"/>
      <c r="AV133" s="1533">
        <f t="shared" si="62"/>
        <v>0</v>
      </c>
      <c r="AW133" s="1533">
        <f t="shared" si="63"/>
        <v>0</v>
      </c>
      <c r="AX133" s="153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22"/>
      <c r="AV134" s="1533">
        <f t="shared" si="62"/>
        <v>0</v>
      </c>
      <c r="AW134" s="1533">
        <f t="shared" si="63"/>
        <v>0</v>
      </c>
      <c r="AX134" s="153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22"/>
      <c r="AV135" s="1533">
        <f t="shared" si="62"/>
        <v>0</v>
      </c>
      <c r="AW135" s="1533">
        <f t="shared" si="63"/>
        <v>0</v>
      </c>
      <c r="AX135" s="153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22"/>
      <c r="AV136" s="1533">
        <f t="shared" si="62"/>
        <v>0</v>
      </c>
      <c r="AW136" s="1533">
        <f t="shared" si="63"/>
        <v>0</v>
      </c>
      <c r="AX136" s="153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22"/>
      <c r="AV137" s="1533">
        <f t="shared" si="62"/>
        <v>0</v>
      </c>
      <c r="AW137" s="1533">
        <f t="shared" si="63"/>
        <v>0</v>
      </c>
      <c r="AX137" s="153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22"/>
      <c r="AV138" s="1533">
        <f t="shared" si="62"/>
        <v>0</v>
      </c>
      <c r="AW138" s="1533">
        <f t="shared" si="63"/>
        <v>0</v>
      </c>
      <c r="AX138" s="153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22"/>
      <c r="AV139" s="1533">
        <f t="shared" si="62"/>
        <v>0</v>
      </c>
      <c r="AW139" s="1533">
        <f t="shared" si="63"/>
        <v>0</v>
      </c>
      <c r="AX139" s="153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22"/>
      <c r="AV140" s="1533">
        <f t="shared" si="62"/>
        <v>0</v>
      </c>
      <c r="AW140" s="1533">
        <f t="shared" si="63"/>
        <v>0</v>
      </c>
      <c r="AX140" s="153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22"/>
      <c r="AV141" s="1533">
        <f t="shared" si="62"/>
        <v>0</v>
      </c>
      <c r="AW141" s="1533">
        <f t="shared" si="63"/>
        <v>0</v>
      </c>
      <c r="AX141" s="153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22"/>
      <c r="AV142" s="1533">
        <f t="shared" si="62"/>
        <v>0</v>
      </c>
      <c r="AW142" s="1533">
        <f t="shared" si="63"/>
        <v>0</v>
      </c>
      <c r="AX142" s="153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22"/>
      <c r="AV143" s="1533">
        <f t="shared" si="62"/>
        <v>0</v>
      </c>
      <c r="AW143" s="1533">
        <f t="shared" si="63"/>
        <v>0</v>
      </c>
      <c r="AX143" s="153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22"/>
      <c r="AV144" s="1533">
        <f t="shared" si="62"/>
        <v>0</v>
      </c>
      <c r="AW144" s="1533">
        <f t="shared" si="63"/>
        <v>0</v>
      </c>
      <c r="AX144" s="153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22"/>
      <c r="AV145" s="1533">
        <f t="shared" ref="AV145:AV176" si="91">A145</f>
        <v>0</v>
      </c>
      <c r="AW145" s="1533">
        <f t="shared" ref="AW145:AW176" si="92">B145</f>
        <v>0</v>
      </c>
      <c r="AX145" s="153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22"/>
      <c r="AV146" s="1533">
        <f t="shared" si="91"/>
        <v>0</v>
      </c>
      <c r="AW146" s="1533">
        <f t="shared" si="92"/>
        <v>0</v>
      </c>
      <c r="AX146" s="153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22"/>
      <c r="AV147" s="1533">
        <f t="shared" si="91"/>
        <v>0</v>
      </c>
      <c r="AW147" s="1533">
        <f t="shared" si="92"/>
        <v>0</v>
      </c>
      <c r="AX147" s="153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22"/>
      <c r="AV148" s="1533">
        <f t="shared" si="91"/>
        <v>0</v>
      </c>
      <c r="AW148" s="1533">
        <f t="shared" si="92"/>
        <v>0</v>
      </c>
      <c r="AX148" s="153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22"/>
      <c r="AV149" s="1533">
        <f t="shared" si="91"/>
        <v>0</v>
      </c>
      <c r="AW149" s="1533">
        <f t="shared" si="92"/>
        <v>0</v>
      </c>
      <c r="AX149" s="153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22"/>
      <c r="AV150" s="1533">
        <f t="shared" si="91"/>
        <v>0</v>
      </c>
      <c r="AW150" s="1533">
        <f t="shared" si="92"/>
        <v>0</v>
      </c>
      <c r="AX150" s="153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22"/>
      <c r="AV151" s="1533">
        <f t="shared" si="91"/>
        <v>0</v>
      </c>
      <c r="AW151" s="1533">
        <f t="shared" si="92"/>
        <v>0</v>
      </c>
      <c r="AX151" s="153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22"/>
      <c r="AV152" s="1533">
        <f t="shared" si="91"/>
        <v>0</v>
      </c>
      <c r="AW152" s="1533">
        <f t="shared" si="92"/>
        <v>0</v>
      </c>
      <c r="AX152" s="153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22"/>
      <c r="AV153" s="1533">
        <f t="shared" si="91"/>
        <v>0</v>
      </c>
      <c r="AW153" s="1533">
        <f t="shared" si="92"/>
        <v>0</v>
      </c>
      <c r="AX153" s="153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22"/>
      <c r="AV154" s="1533">
        <f t="shared" si="91"/>
        <v>0</v>
      </c>
      <c r="AW154" s="1533">
        <f t="shared" si="92"/>
        <v>0</v>
      </c>
      <c r="AX154" s="153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22"/>
      <c r="AV155" s="1533">
        <f t="shared" si="91"/>
        <v>0</v>
      </c>
      <c r="AW155" s="1533">
        <f t="shared" si="92"/>
        <v>0</v>
      </c>
      <c r="AX155" s="153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22"/>
      <c r="AV156" s="1533">
        <f t="shared" si="91"/>
        <v>0</v>
      </c>
      <c r="AW156" s="1533">
        <f t="shared" si="92"/>
        <v>0</v>
      </c>
      <c r="AX156" s="153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22"/>
      <c r="AV157" s="1533">
        <f t="shared" si="91"/>
        <v>0</v>
      </c>
      <c r="AW157" s="1533">
        <f t="shared" si="92"/>
        <v>0</v>
      </c>
      <c r="AX157" s="153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22"/>
      <c r="AV158" s="1533">
        <f t="shared" si="91"/>
        <v>0</v>
      </c>
      <c r="AW158" s="1533">
        <f t="shared" si="92"/>
        <v>0</v>
      </c>
      <c r="AX158" s="153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22"/>
      <c r="AV159" s="1533">
        <f t="shared" si="91"/>
        <v>0</v>
      </c>
      <c r="AW159" s="1533">
        <f t="shared" si="92"/>
        <v>0</v>
      </c>
      <c r="AX159" s="153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22"/>
      <c r="AV160" s="1533">
        <f t="shared" si="91"/>
        <v>0</v>
      </c>
      <c r="AW160" s="1533">
        <f t="shared" si="92"/>
        <v>0</v>
      </c>
      <c r="AX160" s="153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22"/>
      <c r="AV161" s="1533">
        <f t="shared" si="91"/>
        <v>0</v>
      </c>
      <c r="AW161" s="1533">
        <f t="shared" si="92"/>
        <v>0</v>
      </c>
      <c r="AX161" s="153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22"/>
      <c r="AV162" s="1533">
        <f t="shared" si="91"/>
        <v>0</v>
      </c>
      <c r="AW162" s="1533">
        <f t="shared" si="92"/>
        <v>0</v>
      </c>
      <c r="AX162" s="153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22"/>
      <c r="AV163" s="1533">
        <f t="shared" si="91"/>
        <v>0</v>
      </c>
      <c r="AW163" s="1533">
        <f t="shared" si="92"/>
        <v>0</v>
      </c>
      <c r="AX163" s="153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22"/>
      <c r="AV164" s="1533">
        <f t="shared" si="91"/>
        <v>0</v>
      </c>
      <c r="AW164" s="1533">
        <f t="shared" si="92"/>
        <v>0</v>
      </c>
      <c r="AX164" s="153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22"/>
      <c r="AV165" s="1533">
        <f t="shared" si="91"/>
        <v>0</v>
      </c>
      <c r="AW165" s="1533">
        <f t="shared" si="92"/>
        <v>0</v>
      </c>
      <c r="AX165" s="153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22"/>
      <c r="AV166" s="1533">
        <f t="shared" si="91"/>
        <v>0</v>
      </c>
      <c r="AW166" s="1533">
        <f t="shared" si="92"/>
        <v>0</v>
      </c>
      <c r="AX166" s="153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22"/>
      <c r="AV167" s="1533">
        <f t="shared" si="91"/>
        <v>0</v>
      </c>
      <c r="AW167" s="1533">
        <f t="shared" si="92"/>
        <v>0</v>
      </c>
      <c r="AX167" s="153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22"/>
      <c r="AV168" s="1533">
        <f t="shared" si="91"/>
        <v>0</v>
      </c>
      <c r="AW168" s="1533">
        <f t="shared" si="92"/>
        <v>0</v>
      </c>
      <c r="AX168" s="153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22"/>
      <c r="AV169" s="1533">
        <f t="shared" si="91"/>
        <v>0</v>
      </c>
      <c r="AW169" s="1533">
        <f t="shared" si="92"/>
        <v>0</v>
      </c>
      <c r="AX169" s="153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22"/>
      <c r="AV170" s="1533">
        <f t="shared" si="91"/>
        <v>0</v>
      </c>
      <c r="AW170" s="1533">
        <f t="shared" si="92"/>
        <v>0</v>
      </c>
      <c r="AX170" s="153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22"/>
      <c r="AV171" s="1533">
        <f t="shared" si="91"/>
        <v>0</v>
      </c>
      <c r="AW171" s="1533">
        <f t="shared" si="92"/>
        <v>0</v>
      </c>
      <c r="AX171" s="153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22"/>
      <c r="AV172" s="1533">
        <f t="shared" si="91"/>
        <v>0</v>
      </c>
      <c r="AW172" s="1533">
        <f t="shared" si="92"/>
        <v>0</v>
      </c>
      <c r="AX172" s="153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22"/>
      <c r="AV173" s="1533">
        <f t="shared" si="91"/>
        <v>0</v>
      </c>
      <c r="AW173" s="1533">
        <f t="shared" si="92"/>
        <v>0</v>
      </c>
      <c r="AX173" s="153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22"/>
      <c r="AV174" s="1533">
        <f t="shared" si="91"/>
        <v>0</v>
      </c>
      <c r="AW174" s="1533">
        <f t="shared" si="92"/>
        <v>0</v>
      </c>
      <c r="AX174" s="153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22"/>
      <c r="AV175" s="1533">
        <f t="shared" si="91"/>
        <v>0</v>
      </c>
      <c r="AW175" s="1533">
        <f t="shared" si="92"/>
        <v>0</v>
      </c>
      <c r="AX175" s="153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22"/>
      <c r="AV176" s="1533">
        <f t="shared" si="91"/>
        <v>0</v>
      </c>
      <c r="AW176" s="1533">
        <f t="shared" si="92"/>
        <v>0</v>
      </c>
      <c r="AX176" s="153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22"/>
      <c r="AV177" s="1533">
        <f t="shared" ref="AV177:AV207" si="120">A177</f>
        <v>0</v>
      </c>
      <c r="AW177" s="1533">
        <f t="shared" ref="AW177:AW207" si="121">B177</f>
        <v>0</v>
      </c>
      <c r="AX177" s="153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22"/>
      <c r="AV178" s="1533">
        <f t="shared" si="120"/>
        <v>0</v>
      </c>
      <c r="AW178" s="1533">
        <f t="shared" si="121"/>
        <v>0</v>
      </c>
      <c r="AX178" s="153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22"/>
      <c r="AV179" s="1533">
        <f t="shared" si="120"/>
        <v>0</v>
      </c>
      <c r="AW179" s="1533">
        <f t="shared" si="121"/>
        <v>0</v>
      </c>
      <c r="AX179" s="153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22"/>
      <c r="AV180" s="1533">
        <f t="shared" si="120"/>
        <v>0</v>
      </c>
      <c r="AW180" s="1533">
        <f t="shared" si="121"/>
        <v>0</v>
      </c>
      <c r="AX180" s="153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22"/>
      <c r="AV181" s="1533">
        <f t="shared" si="120"/>
        <v>0</v>
      </c>
      <c r="AW181" s="1533">
        <f t="shared" si="121"/>
        <v>0</v>
      </c>
      <c r="AX181" s="153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22"/>
      <c r="AV182" s="1533">
        <f t="shared" si="120"/>
        <v>0</v>
      </c>
      <c r="AW182" s="1533">
        <f t="shared" si="121"/>
        <v>0</v>
      </c>
      <c r="AX182" s="153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22"/>
      <c r="AV183" s="1533">
        <f t="shared" si="120"/>
        <v>0</v>
      </c>
      <c r="AW183" s="1533">
        <f t="shared" si="121"/>
        <v>0</v>
      </c>
      <c r="AX183" s="153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22"/>
      <c r="AV184" s="1533">
        <f t="shared" si="120"/>
        <v>0</v>
      </c>
      <c r="AW184" s="1533">
        <f t="shared" si="121"/>
        <v>0</v>
      </c>
      <c r="AX184" s="153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22"/>
      <c r="AV185" s="1533">
        <f t="shared" si="120"/>
        <v>0</v>
      </c>
      <c r="AW185" s="1533">
        <f t="shared" si="121"/>
        <v>0</v>
      </c>
      <c r="AX185" s="153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22"/>
      <c r="AV186" s="1533">
        <f t="shared" si="120"/>
        <v>0</v>
      </c>
      <c r="AW186" s="1533">
        <f t="shared" si="121"/>
        <v>0</v>
      </c>
      <c r="AX186" s="153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22"/>
      <c r="AV187" s="1533">
        <f t="shared" si="120"/>
        <v>0</v>
      </c>
      <c r="AW187" s="1533">
        <f t="shared" si="121"/>
        <v>0</v>
      </c>
      <c r="AX187" s="153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22"/>
      <c r="AV188" s="1533">
        <f t="shared" si="120"/>
        <v>0</v>
      </c>
      <c r="AW188" s="1533">
        <f t="shared" si="121"/>
        <v>0</v>
      </c>
      <c r="AX188" s="153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22"/>
      <c r="AV189" s="1533">
        <f t="shared" si="120"/>
        <v>0</v>
      </c>
      <c r="AW189" s="1533">
        <f t="shared" si="121"/>
        <v>0</v>
      </c>
      <c r="AX189" s="153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22"/>
      <c r="AV190" s="1533">
        <f t="shared" si="120"/>
        <v>0</v>
      </c>
      <c r="AW190" s="1533">
        <f t="shared" si="121"/>
        <v>0</v>
      </c>
      <c r="AX190" s="153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22"/>
      <c r="AV191" s="1533">
        <f t="shared" si="120"/>
        <v>0</v>
      </c>
      <c r="AW191" s="1533">
        <f t="shared" si="121"/>
        <v>0</v>
      </c>
      <c r="AX191" s="153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22"/>
      <c r="AV192" s="1533">
        <f t="shared" si="120"/>
        <v>0</v>
      </c>
      <c r="AW192" s="1533">
        <f t="shared" si="121"/>
        <v>0</v>
      </c>
      <c r="AX192" s="153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22"/>
      <c r="AV193" s="1533">
        <f t="shared" si="120"/>
        <v>0</v>
      </c>
      <c r="AW193" s="1533">
        <f t="shared" si="121"/>
        <v>0</v>
      </c>
      <c r="AX193" s="153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22"/>
      <c r="AV194" s="1533">
        <f t="shared" si="120"/>
        <v>0</v>
      </c>
      <c r="AW194" s="1533">
        <f t="shared" si="121"/>
        <v>0</v>
      </c>
      <c r="AX194" s="153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22"/>
      <c r="AV195" s="1533">
        <f t="shared" si="120"/>
        <v>0</v>
      </c>
      <c r="AW195" s="1533">
        <f t="shared" si="121"/>
        <v>0</v>
      </c>
      <c r="AX195" s="153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22"/>
      <c r="AV196" s="1533">
        <f t="shared" si="120"/>
        <v>0</v>
      </c>
      <c r="AW196" s="1533">
        <f t="shared" si="121"/>
        <v>0</v>
      </c>
      <c r="AX196" s="153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22"/>
      <c r="AV197" s="1533">
        <f t="shared" si="120"/>
        <v>0</v>
      </c>
      <c r="AW197" s="1533">
        <f t="shared" si="121"/>
        <v>0</v>
      </c>
      <c r="AX197" s="153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22"/>
      <c r="AV198" s="1533">
        <f t="shared" si="120"/>
        <v>0</v>
      </c>
      <c r="AW198" s="1533">
        <f t="shared" si="121"/>
        <v>0</v>
      </c>
      <c r="AX198" s="153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22"/>
      <c r="AV199" s="1533">
        <f t="shared" si="120"/>
        <v>0</v>
      </c>
      <c r="AW199" s="1533">
        <f t="shared" si="121"/>
        <v>0</v>
      </c>
      <c r="AX199" s="153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22"/>
      <c r="AV200" s="1533">
        <f t="shared" si="120"/>
        <v>0</v>
      </c>
      <c r="AW200" s="1533">
        <f t="shared" si="121"/>
        <v>0</v>
      </c>
      <c r="AX200" s="153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22"/>
      <c r="AV201" s="1533">
        <f t="shared" si="120"/>
        <v>0</v>
      </c>
      <c r="AW201" s="1533">
        <f t="shared" si="121"/>
        <v>0</v>
      </c>
      <c r="AX201" s="153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22"/>
      <c r="AV202" s="1533">
        <f t="shared" si="120"/>
        <v>0</v>
      </c>
      <c r="AW202" s="1533">
        <f t="shared" si="121"/>
        <v>0</v>
      </c>
      <c r="AX202" s="153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22"/>
      <c r="AV203" s="1533">
        <f t="shared" si="120"/>
        <v>0</v>
      </c>
      <c r="AW203" s="1533">
        <f t="shared" si="121"/>
        <v>0</v>
      </c>
      <c r="AX203" s="153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22"/>
      <c r="AV204" s="1533">
        <f t="shared" si="120"/>
        <v>0</v>
      </c>
      <c r="AW204" s="1533">
        <f t="shared" si="121"/>
        <v>0</v>
      </c>
      <c r="AX204" s="153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62"/>
      <c r="AV205" s="1533">
        <f t="shared" si="120"/>
        <v>0</v>
      </c>
      <c r="AW205" s="1533">
        <f t="shared" si="121"/>
        <v>0</v>
      </c>
      <c r="AX205" s="153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62"/>
      <c r="AV206" s="1533">
        <f t="shared" si="120"/>
        <v>0</v>
      </c>
      <c r="AW206" s="1533">
        <f t="shared" si="121"/>
        <v>0</v>
      </c>
      <c r="AX206" s="153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62"/>
      <c r="AV207" s="1533">
        <f t="shared" si="120"/>
        <v>0</v>
      </c>
      <c r="AW207" s="1533">
        <f t="shared" si="121"/>
        <v>0</v>
      </c>
      <c r="AX207" s="153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22"/>
      <c r="AV208" s="1533">
        <f t="shared" ref="AV208:AV302" si="127">A208</f>
        <v>0</v>
      </c>
      <c r="AW208" s="1533">
        <f t="shared" ref="AW208:AW302" si="128">B208</f>
        <v>0</v>
      </c>
      <c r="AX208" s="153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22"/>
      <c r="AV209" s="1533">
        <f t="shared" si="127"/>
        <v>0</v>
      </c>
      <c r="AW209" s="1533">
        <f t="shared" si="128"/>
        <v>0</v>
      </c>
      <c r="AX209" s="153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22"/>
      <c r="AV210" s="1533">
        <f t="shared" si="127"/>
        <v>0</v>
      </c>
      <c r="AW210" s="1533">
        <f t="shared" si="128"/>
        <v>0</v>
      </c>
      <c r="AX210" s="153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22"/>
      <c r="AV211" s="1533">
        <f t="shared" si="127"/>
        <v>0</v>
      </c>
      <c r="AW211" s="1533">
        <f t="shared" si="128"/>
        <v>0</v>
      </c>
      <c r="AX211" s="153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22"/>
      <c r="AV212" s="1533">
        <f t="shared" si="127"/>
        <v>0</v>
      </c>
      <c r="AW212" s="1533">
        <f t="shared" si="128"/>
        <v>0</v>
      </c>
      <c r="AX212" s="153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22"/>
      <c r="AV213" s="1533">
        <f t="shared" si="127"/>
        <v>0</v>
      </c>
      <c r="AW213" s="1533">
        <f t="shared" si="128"/>
        <v>0</v>
      </c>
      <c r="AX213" s="153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22"/>
      <c r="AV214" s="1533">
        <f t="shared" si="127"/>
        <v>0</v>
      </c>
      <c r="AW214" s="1533">
        <f t="shared" si="128"/>
        <v>0</v>
      </c>
      <c r="AX214" s="153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22"/>
      <c r="AV215" s="1533">
        <f t="shared" si="127"/>
        <v>0</v>
      </c>
      <c r="AW215" s="1533">
        <f t="shared" si="128"/>
        <v>0</v>
      </c>
      <c r="AX215" s="153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22"/>
      <c r="AV216" s="1533">
        <f t="shared" si="127"/>
        <v>0</v>
      </c>
      <c r="AW216" s="1533">
        <f t="shared" si="128"/>
        <v>0</v>
      </c>
      <c r="AX216" s="153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22"/>
      <c r="AV217" s="1533">
        <f t="shared" si="127"/>
        <v>0</v>
      </c>
      <c r="AW217" s="1533">
        <f t="shared" si="128"/>
        <v>0</v>
      </c>
      <c r="AX217" s="153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22"/>
      <c r="AV218" s="1533">
        <f t="shared" si="127"/>
        <v>0</v>
      </c>
      <c r="AW218" s="1533">
        <f t="shared" si="128"/>
        <v>0</v>
      </c>
      <c r="AX218" s="153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22"/>
      <c r="AV219" s="1533">
        <f t="shared" si="127"/>
        <v>0</v>
      </c>
      <c r="AW219" s="1533">
        <f t="shared" si="128"/>
        <v>0</v>
      </c>
      <c r="AX219" s="153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22"/>
      <c r="AV220" s="1533">
        <f t="shared" si="127"/>
        <v>0</v>
      </c>
      <c r="AW220" s="1533">
        <f t="shared" si="128"/>
        <v>0</v>
      </c>
      <c r="AX220" s="153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22"/>
      <c r="AV221" s="1533">
        <f t="shared" si="127"/>
        <v>0</v>
      </c>
      <c r="AW221" s="1533">
        <f t="shared" si="128"/>
        <v>0</v>
      </c>
      <c r="AX221" s="153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22"/>
      <c r="AV222" s="1533">
        <f t="shared" si="127"/>
        <v>0</v>
      </c>
      <c r="AW222" s="1533">
        <f t="shared" si="128"/>
        <v>0</v>
      </c>
      <c r="AX222" s="153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22"/>
      <c r="AV223" s="1533">
        <f t="shared" si="127"/>
        <v>0</v>
      </c>
      <c r="AW223" s="1533">
        <f t="shared" si="128"/>
        <v>0</v>
      </c>
      <c r="AX223" s="153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22"/>
      <c r="AV224" s="1533">
        <f t="shared" si="127"/>
        <v>0</v>
      </c>
      <c r="AW224" s="1533">
        <f t="shared" si="128"/>
        <v>0</v>
      </c>
      <c r="AX224" s="153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22"/>
      <c r="AV225" s="1533">
        <f t="shared" si="127"/>
        <v>0</v>
      </c>
      <c r="AW225" s="1533">
        <f t="shared" si="128"/>
        <v>0</v>
      </c>
      <c r="AX225" s="153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22"/>
      <c r="AV226" s="1533">
        <f t="shared" si="127"/>
        <v>0</v>
      </c>
      <c r="AW226" s="1533">
        <f t="shared" si="128"/>
        <v>0</v>
      </c>
      <c r="AX226" s="153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22"/>
      <c r="AV227" s="1533">
        <f t="shared" si="127"/>
        <v>0</v>
      </c>
      <c r="AW227" s="1533">
        <f t="shared" si="128"/>
        <v>0</v>
      </c>
      <c r="AX227" s="153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22"/>
      <c r="AV228" s="1533">
        <f t="shared" si="127"/>
        <v>0</v>
      </c>
      <c r="AW228" s="1533">
        <f t="shared" si="128"/>
        <v>0</v>
      </c>
      <c r="AX228" s="153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22"/>
      <c r="AV229" s="1533">
        <f t="shared" si="127"/>
        <v>0</v>
      </c>
      <c r="AW229" s="1533">
        <f t="shared" si="128"/>
        <v>0</v>
      </c>
      <c r="AX229" s="153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22"/>
      <c r="AV230" s="1533">
        <f t="shared" si="127"/>
        <v>0</v>
      </c>
      <c r="AW230" s="1533">
        <f t="shared" si="128"/>
        <v>0</v>
      </c>
      <c r="AX230" s="153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22"/>
      <c r="AV231" s="1533">
        <f t="shared" si="127"/>
        <v>0</v>
      </c>
      <c r="AW231" s="1533">
        <f t="shared" si="128"/>
        <v>0</v>
      </c>
      <c r="AX231" s="153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22"/>
      <c r="AV232" s="1533">
        <f t="shared" si="127"/>
        <v>0</v>
      </c>
      <c r="AW232" s="1533">
        <f t="shared" si="128"/>
        <v>0</v>
      </c>
      <c r="AX232" s="153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22"/>
      <c r="AV233" s="1533">
        <f t="shared" si="127"/>
        <v>0</v>
      </c>
      <c r="AW233" s="1533">
        <f t="shared" si="128"/>
        <v>0</v>
      </c>
      <c r="AX233" s="153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22"/>
      <c r="AV234" s="1533">
        <f t="shared" si="127"/>
        <v>0</v>
      </c>
      <c r="AW234" s="1533">
        <f t="shared" si="128"/>
        <v>0</v>
      </c>
      <c r="AX234" s="153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22"/>
      <c r="AV235" s="1533">
        <f t="shared" si="127"/>
        <v>0</v>
      </c>
      <c r="AW235" s="1533">
        <f t="shared" si="128"/>
        <v>0</v>
      </c>
      <c r="AX235" s="153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22"/>
      <c r="AV236" s="1533">
        <f t="shared" si="127"/>
        <v>0</v>
      </c>
      <c r="AW236" s="1533">
        <f t="shared" si="128"/>
        <v>0</v>
      </c>
      <c r="AX236" s="153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22"/>
      <c r="AV237" s="1533">
        <f t="shared" si="127"/>
        <v>0</v>
      </c>
      <c r="AW237" s="1533">
        <f t="shared" si="128"/>
        <v>0</v>
      </c>
      <c r="AX237" s="153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22"/>
      <c r="AV238" s="1533">
        <f t="shared" si="127"/>
        <v>0</v>
      </c>
      <c r="AW238" s="1533">
        <f t="shared" si="128"/>
        <v>0</v>
      </c>
      <c r="AX238" s="153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22"/>
      <c r="AV239" s="1533">
        <f t="shared" si="127"/>
        <v>0</v>
      </c>
      <c r="AW239" s="1533">
        <f t="shared" si="128"/>
        <v>0</v>
      </c>
      <c r="AX239" s="153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22"/>
      <c r="AV240" s="1533">
        <f t="shared" si="127"/>
        <v>0</v>
      </c>
      <c r="AW240" s="1533">
        <f t="shared" si="128"/>
        <v>0</v>
      </c>
      <c r="AX240" s="153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22"/>
      <c r="AV241" s="1533">
        <f t="shared" si="127"/>
        <v>0</v>
      </c>
      <c r="AW241" s="1533">
        <f t="shared" si="128"/>
        <v>0</v>
      </c>
      <c r="AX241" s="153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22"/>
      <c r="AV242" s="1533">
        <f t="shared" si="127"/>
        <v>0</v>
      </c>
      <c r="AW242" s="1533">
        <f t="shared" si="128"/>
        <v>0</v>
      </c>
      <c r="AX242" s="153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22"/>
      <c r="AV243" s="1533">
        <f t="shared" si="127"/>
        <v>0</v>
      </c>
      <c r="AW243" s="1533">
        <f t="shared" si="128"/>
        <v>0</v>
      </c>
      <c r="AX243" s="153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22"/>
      <c r="AV244" s="1533">
        <f t="shared" si="127"/>
        <v>0</v>
      </c>
      <c r="AW244" s="1533">
        <f t="shared" si="128"/>
        <v>0</v>
      </c>
      <c r="AX244" s="153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22"/>
      <c r="AV245" s="1533">
        <f t="shared" si="127"/>
        <v>0</v>
      </c>
      <c r="AW245" s="1533">
        <f t="shared" si="128"/>
        <v>0</v>
      </c>
      <c r="AX245" s="153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22"/>
      <c r="AV246" s="1533">
        <f t="shared" si="127"/>
        <v>0</v>
      </c>
      <c r="AW246" s="1533">
        <f t="shared" si="128"/>
        <v>0</v>
      </c>
      <c r="AX246" s="153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22"/>
      <c r="AV247" s="1533">
        <f t="shared" si="127"/>
        <v>0</v>
      </c>
      <c r="AW247" s="1533">
        <f t="shared" si="128"/>
        <v>0</v>
      </c>
      <c r="AX247" s="153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22"/>
      <c r="AV248" s="1533">
        <f t="shared" si="127"/>
        <v>0</v>
      </c>
      <c r="AW248" s="1533">
        <f t="shared" si="128"/>
        <v>0</v>
      </c>
      <c r="AX248" s="153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22"/>
      <c r="AV249" s="1533">
        <f t="shared" si="127"/>
        <v>0</v>
      </c>
      <c r="AW249" s="1533">
        <f t="shared" si="128"/>
        <v>0</v>
      </c>
      <c r="AX249" s="153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22"/>
      <c r="AV250" s="1533">
        <f t="shared" si="127"/>
        <v>0</v>
      </c>
      <c r="AW250" s="1533">
        <f t="shared" si="128"/>
        <v>0</v>
      </c>
      <c r="AX250" s="153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22"/>
      <c r="AV251" s="1533">
        <f t="shared" si="127"/>
        <v>0</v>
      </c>
      <c r="AW251" s="1533">
        <f t="shared" si="128"/>
        <v>0</v>
      </c>
      <c r="AX251" s="153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22"/>
      <c r="AV252" s="1533">
        <f t="shared" si="127"/>
        <v>0</v>
      </c>
      <c r="AW252" s="1533">
        <f t="shared" si="128"/>
        <v>0</v>
      </c>
      <c r="AX252" s="153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22"/>
      <c r="AV253" s="1533">
        <f t="shared" si="127"/>
        <v>0</v>
      </c>
      <c r="AW253" s="1533">
        <f t="shared" si="128"/>
        <v>0</v>
      </c>
      <c r="AX253" s="153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22"/>
      <c r="AV254" s="1533">
        <f t="shared" si="127"/>
        <v>0</v>
      </c>
      <c r="AW254" s="1533">
        <f t="shared" si="128"/>
        <v>0</v>
      </c>
      <c r="AX254" s="153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22"/>
      <c r="AV255" s="1533">
        <f t="shared" si="127"/>
        <v>0</v>
      </c>
      <c r="AW255" s="1533">
        <f t="shared" si="128"/>
        <v>0</v>
      </c>
      <c r="AX255" s="153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22"/>
      <c r="AV256" s="1533">
        <f t="shared" si="127"/>
        <v>0</v>
      </c>
      <c r="AW256" s="1533">
        <f t="shared" si="128"/>
        <v>0</v>
      </c>
      <c r="AX256" s="153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22"/>
      <c r="AV257" s="1533">
        <f t="shared" si="127"/>
        <v>0</v>
      </c>
      <c r="AW257" s="1533">
        <f t="shared" si="128"/>
        <v>0</v>
      </c>
      <c r="AX257" s="153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22"/>
      <c r="AV258" s="1533">
        <f t="shared" si="127"/>
        <v>0</v>
      </c>
      <c r="AW258" s="1533">
        <f t="shared" si="128"/>
        <v>0</v>
      </c>
      <c r="AX258" s="153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22"/>
      <c r="AV259" s="1533">
        <f t="shared" si="127"/>
        <v>0</v>
      </c>
      <c r="AW259" s="1533">
        <f t="shared" si="128"/>
        <v>0</v>
      </c>
      <c r="AX259" s="153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22"/>
      <c r="AV260" s="1533">
        <f t="shared" si="127"/>
        <v>0</v>
      </c>
      <c r="AW260" s="1533">
        <f t="shared" si="128"/>
        <v>0</v>
      </c>
      <c r="AX260" s="153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22"/>
      <c r="AV261" s="1533">
        <f t="shared" si="127"/>
        <v>0</v>
      </c>
      <c r="AW261" s="1533">
        <f t="shared" si="128"/>
        <v>0</v>
      </c>
      <c r="AX261" s="153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22"/>
      <c r="AV262" s="1533">
        <f t="shared" si="127"/>
        <v>0</v>
      </c>
      <c r="AW262" s="1533">
        <f t="shared" si="128"/>
        <v>0</v>
      </c>
      <c r="AX262" s="153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22"/>
      <c r="AV263" s="1533">
        <f t="shared" si="127"/>
        <v>0</v>
      </c>
      <c r="AW263" s="1533">
        <f t="shared" si="128"/>
        <v>0</v>
      </c>
      <c r="AX263" s="153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22"/>
      <c r="AV264" s="1533">
        <f t="shared" si="127"/>
        <v>0</v>
      </c>
      <c r="AW264" s="1533">
        <f t="shared" si="128"/>
        <v>0</v>
      </c>
      <c r="AX264" s="153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22"/>
      <c r="AV265" s="1533">
        <f t="shared" si="127"/>
        <v>0</v>
      </c>
      <c r="AW265" s="1533">
        <f t="shared" si="128"/>
        <v>0</v>
      </c>
      <c r="AX265" s="153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22"/>
      <c r="AV266" s="1533">
        <f t="shared" si="127"/>
        <v>0</v>
      </c>
      <c r="AW266" s="1533">
        <f t="shared" si="128"/>
        <v>0</v>
      </c>
      <c r="AX266" s="153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22"/>
      <c r="AV267" s="1533">
        <f t="shared" si="127"/>
        <v>0</v>
      </c>
      <c r="AW267" s="1533">
        <f t="shared" si="128"/>
        <v>0</v>
      </c>
      <c r="AX267" s="153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22"/>
      <c r="AV268" s="1533">
        <f t="shared" si="127"/>
        <v>0</v>
      </c>
      <c r="AW268" s="1533">
        <f t="shared" si="128"/>
        <v>0</v>
      </c>
      <c r="AX268" s="153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22"/>
      <c r="AV269" s="1533">
        <f t="shared" si="127"/>
        <v>0</v>
      </c>
      <c r="AW269" s="1533">
        <f t="shared" si="128"/>
        <v>0</v>
      </c>
      <c r="AX269" s="153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22"/>
      <c r="AV270" s="1533">
        <f t="shared" si="127"/>
        <v>0</v>
      </c>
      <c r="AW270" s="1533">
        <f t="shared" si="128"/>
        <v>0</v>
      </c>
      <c r="AX270" s="153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22"/>
      <c r="AV271" s="1533">
        <f t="shared" si="127"/>
        <v>0</v>
      </c>
      <c r="AW271" s="1533">
        <f t="shared" si="128"/>
        <v>0</v>
      </c>
      <c r="AX271" s="153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22"/>
      <c r="AV272" s="1533">
        <f t="shared" si="127"/>
        <v>0</v>
      </c>
      <c r="AW272" s="1533">
        <f t="shared" si="128"/>
        <v>0</v>
      </c>
      <c r="AX272" s="153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22"/>
      <c r="AV273" s="1533">
        <f t="shared" si="127"/>
        <v>0</v>
      </c>
      <c r="AW273" s="1533">
        <f t="shared" si="128"/>
        <v>0</v>
      </c>
      <c r="AX273" s="153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22"/>
      <c r="AV274" s="1533">
        <f t="shared" si="127"/>
        <v>0</v>
      </c>
      <c r="AW274" s="1533">
        <f t="shared" si="128"/>
        <v>0</v>
      </c>
      <c r="AX274" s="153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22"/>
      <c r="AV275" s="1533">
        <f t="shared" si="127"/>
        <v>0</v>
      </c>
      <c r="AW275" s="1533">
        <f t="shared" si="128"/>
        <v>0</v>
      </c>
      <c r="AX275" s="153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22"/>
      <c r="AV276" s="1533">
        <f t="shared" si="127"/>
        <v>0</v>
      </c>
      <c r="AW276" s="1533">
        <f t="shared" si="128"/>
        <v>0</v>
      </c>
      <c r="AX276" s="153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22"/>
      <c r="AV277" s="1533">
        <f t="shared" si="127"/>
        <v>0</v>
      </c>
      <c r="AW277" s="1533">
        <f t="shared" si="128"/>
        <v>0</v>
      </c>
      <c r="AX277" s="153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22"/>
      <c r="AV278" s="1533">
        <f t="shared" si="127"/>
        <v>0</v>
      </c>
      <c r="AW278" s="1533">
        <f t="shared" si="128"/>
        <v>0</v>
      </c>
      <c r="AX278" s="153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22"/>
      <c r="AV279" s="1533">
        <f t="shared" si="127"/>
        <v>0</v>
      </c>
      <c r="AW279" s="1533">
        <f t="shared" si="128"/>
        <v>0</v>
      </c>
      <c r="AX279" s="153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22"/>
      <c r="AV280" s="1533">
        <f t="shared" si="127"/>
        <v>0</v>
      </c>
      <c r="AW280" s="1533">
        <f t="shared" si="128"/>
        <v>0</v>
      </c>
      <c r="AX280" s="153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22"/>
      <c r="AV281" s="1533">
        <f t="shared" si="127"/>
        <v>0</v>
      </c>
      <c r="AW281" s="1533">
        <f t="shared" si="128"/>
        <v>0</v>
      </c>
      <c r="AX281" s="153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22"/>
      <c r="AV282" s="1533">
        <f t="shared" si="127"/>
        <v>0</v>
      </c>
      <c r="AW282" s="1533">
        <f t="shared" si="128"/>
        <v>0</v>
      </c>
      <c r="AX282" s="153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22"/>
      <c r="AV283" s="1533">
        <f t="shared" si="127"/>
        <v>0</v>
      </c>
      <c r="AW283" s="1533">
        <f t="shared" si="128"/>
        <v>0</v>
      </c>
      <c r="AX283" s="153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22"/>
      <c r="AV284" s="1533">
        <f t="shared" si="127"/>
        <v>0</v>
      </c>
      <c r="AW284" s="1533">
        <f t="shared" si="128"/>
        <v>0</v>
      </c>
      <c r="AX284" s="153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22"/>
      <c r="AV285" s="1533">
        <f t="shared" si="127"/>
        <v>0</v>
      </c>
      <c r="AW285" s="1533">
        <f t="shared" si="128"/>
        <v>0</v>
      </c>
      <c r="AX285" s="153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22"/>
      <c r="AV286" s="1533">
        <f t="shared" si="127"/>
        <v>0</v>
      </c>
      <c r="AW286" s="1533">
        <f t="shared" si="128"/>
        <v>0</v>
      </c>
      <c r="AX286" s="153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22"/>
      <c r="AV287" s="1533">
        <f t="shared" si="127"/>
        <v>0</v>
      </c>
      <c r="AW287" s="1533">
        <f t="shared" si="128"/>
        <v>0</v>
      </c>
      <c r="AX287" s="153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22"/>
      <c r="AV288" s="1533">
        <f t="shared" si="127"/>
        <v>0</v>
      </c>
      <c r="AW288" s="1533">
        <f t="shared" si="128"/>
        <v>0</v>
      </c>
      <c r="AX288" s="153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22"/>
      <c r="AV289" s="1533">
        <f t="shared" si="127"/>
        <v>0</v>
      </c>
      <c r="AW289" s="1533">
        <f t="shared" si="128"/>
        <v>0</v>
      </c>
      <c r="AX289" s="153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22"/>
      <c r="AV290" s="1533">
        <f t="shared" si="127"/>
        <v>0</v>
      </c>
      <c r="AW290" s="1533">
        <f t="shared" si="128"/>
        <v>0</v>
      </c>
      <c r="AX290" s="153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22"/>
      <c r="AV291" s="1533">
        <f t="shared" si="127"/>
        <v>0</v>
      </c>
      <c r="AW291" s="1533">
        <f t="shared" si="128"/>
        <v>0</v>
      </c>
      <c r="AX291" s="153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22"/>
      <c r="AV292" s="1533">
        <f t="shared" si="127"/>
        <v>0</v>
      </c>
      <c r="AW292" s="1533">
        <f t="shared" si="128"/>
        <v>0</v>
      </c>
      <c r="AX292" s="153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22"/>
      <c r="AV293" s="1533">
        <f t="shared" si="127"/>
        <v>0</v>
      </c>
      <c r="AW293" s="1533">
        <f t="shared" si="128"/>
        <v>0</v>
      </c>
      <c r="AX293" s="153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22"/>
      <c r="AV294" s="1533">
        <f t="shared" si="127"/>
        <v>0</v>
      </c>
      <c r="AW294" s="1533">
        <f t="shared" si="128"/>
        <v>0</v>
      </c>
      <c r="AX294" s="153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22"/>
      <c r="AV295" s="1533">
        <f t="shared" si="127"/>
        <v>0</v>
      </c>
      <c r="AW295" s="1533">
        <f t="shared" si="128"/>
        <v>0</v>
      </c>
      <c r="AX295" s="153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22"/>
      <c r="AV296" s="1533">
        <f t="shared" si="127"/>
        <v>0</v>
      </c>
      <c r="AW296" s="1533">
        <f t="shared" si="128"/>
        <v>0</v>
      </c>
      <c r="AX296" s="153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22"/>
      <c r="AV297" s="1533">
        <f t="shared" si="127"/>
        <v>0</v>
      </c>
      <c r="AW297" s="1533">
        <f t="shared" si="128"/>
        <v>0</v>
      </c>
      <c r="AX297" s="153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22"/>
      <c r="AV298" s="1533">
        <f t="shared" si="127"/>
        <v>0</v>
      </c>
      <c r="AW298" s="1533">
        <f t="shared" si="128"/>
        <v>0</v>
      </c>
      <c r="AX298" s="153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22"/>
      <c r="AV299" s="1533">
        <f t="shared" si="127"/>
        <v>0</v>
      </c>
      <c r="AW299" s="1533">
        <f t="shared" si="128"/>
        <v>0</v>
      </c>
      <c r="AX299" s="153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62"/>
      <c r="AV300" s="1533">
        <f t="shared" si="127"/>
        <v>0</v>
      </c>
      <c r="AW300" s="1533">
        <f t="shared" si="128"/>
        <v>0</v>
      </c>
      <c r="AX300" s="153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62"/>
      <c r="AV301" s="1533">
        <f t="shared" si="127"/>
        <v>0</v>
      </c>
      <c r="AW301" s="1533">
        <f t="shared" si="128"/>
        <v>0</v>
      </c>
      <c r="AX301" s="153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62"/>
      <c r="AV302" s="1533">
        <f t="shared" si="127"/>
        <v>0</v>
      </c>
      <c r="AW302" s="1533">
        <f t="shared" si="128"/>
        <v>0</v>
      </c>
      <c r="AX302" s="153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22"/>
      <c r="AV303" s="1533">
        <f t="shared" ref="AV303:AV334" si="178">A303</f>
        <v>0</v>
      </c>
      <c r="AW303" s="1533">
        <f t="shared" ref="AW303:AW334" si="179">B303</f>
        <v>0</v>
      </c>
      <c r="AX303" s="153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22"/>
      <c r="AV304" s="1533">
        <f t="shared" si="178"/>
        <v>0</v>
      </c>
      <c r="AW304" s="1533">
        <f t="shared" si="179"/>
        <v>0</v>
      </c>
      <c r="AX304" s="153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22"/>
      <c r="AV305" s="1533">
        <f t="shared" si="178"/>
        <v>0</v>
      </c>
      <c r="AW305" s="1533">
        <f t="shared" si="179"/>
        <v>0</v>
      </c>
      <c r="AX305" s="153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22"/>
      <c r="AV306" s="1533">
        <f t="shared" si="178"/>
        <v>0</v>
      </c>
      <c r="AW306" s="1533">
        <f t="shared" si="179"/>
        <v>0</v>
      </c>
      <c r="AX306" s="153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22"/>
      <c r="AV307" s="1533">
        <f t="shared" si="178"/>
        <v>0</v>
      </c>
      <c r="AW307" s="1533">
        <f t="shared" si="179"/>
        <v>0</v>
      </c>
      <c r="AX307" s="153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22"/>
      <c r="AV308" s="1533">
        <f t="shared" si="178"/>
        <v>0</v>
      </c>
      <c r="AW308" s="1533">
        <f t="shared" si="179"/>
        <v>0</v>
      </c>
      <c r="AX308" s="153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22"/>
      <c r="AV309" s="1533">
        <f t="shared" si="178"/>
        <v>0</v>
      </c>
      <c r="AW309" s="1533">
        <f t="shared" si="179"/>
        <v>0</v>
      </c>
      <c r="AX309" s="153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22"/>
      <c r="AV310" s="1533">
        <f t="shared" si="178"/>
        <v>0</v>
      </c>
      <c r="AW310" s="1533">
        <f t="shared" si="179"/>
        <v>0</v>
      </c>
      <c r="AX310" s="153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22"/>
      <c r="AV311" s="1533">
        <f t="shared" si="178"/>
        <v>0</v>
      </c>
      <c r="AW311" s="1533">
        <f t="shared" si="179"/>
        <v>0</v>
      </c>
      <c r="AX311" s="153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22"/>
      <c r="AV312" s="1533">
        <f t="shared" si="178"/>
        <v>0</v>
      </c>
      <c r="AW312" s="1533">
        <f t="shared" si="179"/>
        <v>0</v>
      </c>
      <c r="AX312" s="153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22"/>
      <c r="AV313" s="1533">
        <f t="shared" si="178"/>
        <v>0</v>
      </c>
      <c r="AW313" s="1533">
        <f t="shared" si="179"/>
        <v>0</v>
      </c>
      <c r="AX313" s="153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22"/>
      <c r="AV314" s="1533">
        <f t="shared" si="178"/>
        <v>0</v>
      </c>
      <c r="AW314" s="1533">
        <f t="shared" si="179"/>
        <v>0</v>
      </c>
      <c r="AX314" s="153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22"/>
      <c r="AV315" s="1533">
        <f t="shared" si="178"/>
        <v>0</v>
      </c>
      <c r="AW315" s="1533">
        <f t="shared" si="179"/>
        <v>0</v>
      </c>
      <c r="AX315" s="153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22"/>
      <c r="AV316" s="1533">
        <f t="shared" si="178"/>
        <v>0</v>
      </c>
      <c r="AW316" s="1533">
        <f t="shared" si="179"/>
        <v>0</v>
      </c>
      <c r="AX316" s="153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22"/>
      <c r="AV317" s="1533">
        <f t="shared" si="178"/>
        <v>0</v>
      </c>
      <c r="AW317" s="1533">
        <f t="shared" si="179"/>
        <v>0</v>
      </c>
      <c r="AX317" s="153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22"/>
      <c r="AV318" s="1533">
        <f t="shared" si="178"/>
        <v>0</v>
      </c>
      <c r="AW318" s="1533">
        <f t="shared" si="179"/>
        <v>0</v>
      </c>
      <c r="AX318" s="153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22"/>
      <c r="AV319" s="1533">
        <f t="shared" si="178"/>
        <v>0</v>
      </c>
      <c r="AW319" s="1533">
        <f t="shared" si="179"/>
        <v>0</v>
      </c>
      <c r="AX319" s="153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22"/>
      <c r="AV320" s="1533">
        <f t="shared" si="178"/>
        <v>0</v>
      </c>
      <c r="AW320" s="1533">
        <f t="shared" si="179"/>
        <v>0</v>
      </c>
      <c r="AX320" s="153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22"/>
      <c r="AV321" s="1533">
        <f t="shared" si="178"/>
        <v>0</v>
      </c>
      <c r="AW321" s="1533">
        <f t="shared" si="179"/>
        <v>0</v>
      </c>
      <c r="AX321" s="153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22"/>
      <c r="AV322" s="1533">
        <f t="shared" si="178"/>
        <v>0</v>
      </c>
      <c r="AW322" s="1533">
        <f t="shared" si="179"/>
        <v>0</v>
      </c>
      <c r="AX322" s="153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22"/>
      <c r="AV323" s="1533">
        <f t="shared" si="178"/>
        <v>0</v>
      </c>
      <c r="AW323" s="1533">
        <f t="shared" si="179"/>
        <v>0</v>
      </c>
      <c r="AX323" s="153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22"/>
      <c r="AV324" s="1533">
        <f t="shared" si="178"/>
        <v>0</v>
      </c>
      <c r="AW324" s="1533">
        <f t="shared" si="179"/>
        <v>0</v>
      </c>
      <c r="AX324" s="153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22"/>
      <c r="AV325" s="1533">
        <f t="shared" si="178"/>
        <v>0</v>
      </c>
      <c r="AW325" s="1533">
        <f t="shared" si="179"/>
        <v>0</v>
      </c>
      <c r="AX325" s="153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22"/>
      <c r="AV326" s="1533">
        <f t="shared" si="178"/>
        <v>0</v>
      </c>
      <c r="AW326" s="1533">
        <f t="shared" si="179"/>
        <v>0</v>
      </c>
      <c r="AX326" s="153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22"/>
      <c r="AV327" s="1533">
        <f t="shared" si="178"/>
        <v>0</v>
      </c>
      <c r="AW327" s="1533">
        <f t="shared" si="179"/>
        <v>0</v>
      </c>
      <c r="AX327" s="153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22"/>
      <c r="AV328" s="1533">
        <f t="shared" si="178"/>
        <v>0</v>
      </c>
      <c r="AW328" s="1533">
        <f t="shared" si="179"/>
        <v>0</v>
      </c>
      <c r="AX328" s="153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22"/>
      <c r="AV329" s="1533">
        <f t="shared" si="178"/>
        <v>0</v>
      </c>
      <c r="AW329" s="1533">
        <f t="shared" si="179"/>
        <v>0</v>
      </c>
      <c r="AX329" s="153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22"/>
      <c r="AV330" s="1533">
        <f t="shared" si="178"/>
        <v>0</v>
      </c>
      <c r="AW330" s="1533">
        <f t="shared" si="179"/>
        <v>0</v>
      </c>
      <c r="AX330" s="153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22"/>
      <c r="AV331" s="1533">
        <f t="shared" si="178"/>
        <v>0</v>
      </c>
      <c r="AW331" s="1533">
        <f t="shared" si="179"/>
        <v>0</v>
      </c>
      <c r="AX331" s="153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22"/>
      <c r="AV332" s="1533">
        <f t="shared" si="178"/>
        <v>0</v>
      </c>
      <c r="AW332" s="1533">
        <f t="shared" si="179"/>
        <v>0</v>
      </c>
      <c r="AX332" s="153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22"/>
      <c r="AV333" s="1533">
        <f t="shared" si="178"/>
        <v>0</v>
      </c>
      <c r="AW333" s="1533">
        <f t="shared" si="179"/>
        <v>0</v>
      </c>
      <c r="AX333" s="153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22"/>
      <c r="AV334" s="1533">
        <f t="shared" si="178"/>
        <v>0</v>
      </c>
      <c r="AW334" s="1533">
        <f t="shared" si="179"/>
        <v>0</v>
      </c>
      <c r="AX334" s="153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22"/>
      <c r="AV335" s="1533">
        <f t="shared" ref="AV335:AV366" si="207">A335</f>
        <v>0</v>
      </c>
      <c r="AW335" s="1533">
        <f t="shared" ref="AW335:AW366" si="208">B335</f>
        <v>0</v>
      </c>
      <c r="AX335" s="153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22"/>
      <c r="AV336" s="1533">
        <f t="shared" si="207"/>
        <v>0</v>
      </c>
      <c r="AW336" s="1533">
        <f t="shared" si="208"/>
        <v>0</v>
      </c>
      <c r="AX336" s="153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22"/>
      <c r="AV337" s="1533">
        <f t="shared" si="207"/>
        <v>0</v>
      </c>
      <c r="AW337" s="1533">
        <f t="shared" si="208"/>
        <v>0</v>
      </c>
      <c r="AX337" s="153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22"/>
      <c r="AV338" s="1533">
        <f t="shared" si="207"/>
        <v>0</v>
      </c>
      <c r="AW338" s="1533">
        <f t="shared" si="208"/>
        <v>0</v>
      </c>
      <c r="AX338" s="153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22"/>
      <c r="AV339" s="1533">
        <f t="shared" si="207"/>
        <v>0</v>
      </c>
      <c r="AW339" s="1533">
        <f t="shared" si="208"/>
        <v>0</v>
      </c>
      <c r="AX339" s="153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22"/>
      <c r="AV340" s="1533">
        <f t="shared" si="207"/>
        <v>0</v>
      </c>
      <c r="AW340" s="1533">
        <f t="shared" si="208"/>
        <v>0</v>
      </c>
      <c r="AX340" s="153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22"/>
      <c r="AV341" s="1533">
        <f t="shared" si="207"/>
        <v>0</v>
      </c>
      <c r="AW341" s="1533">
        <f t="shared" si="208"/>
        <v>0</v>
      </c>
      <c r="AX341" s="153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22"/>
      <c r="AV342" s="1533">
        <f t="shared" si="207"/>
        <v>0</v>
      </c>
      <c r="AW342" s="1533">
        <f t="shared" si="208"/>
        <v>0</v>
      </c>
      <c r="AX342" s="153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22"/>
      <c r="AV343" s="1533">
        <f t="shared" si="207"/>
        <v>0</v>
      </c>
      <c r="AW343" s="1533">
        <f t="shared" si="208"/>
        <v>0</v>
      </c>
      <c r="AX343" s="153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22"/>
      <c r="AV344" s="1533">
        <f t="shared" si="207"/>
        <v>0</v>
      </c>
      <c r="AW344" s="1533">
        <f t="shared" si="208"/>
        <v>0</v>
      </c>
      <c r="AX344" s="153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22"/>
      <c r="AV345" s="1533">
        <f t="shared" si="207"/>
        <v>0</v>
      </c>
      <c r="AW345" s="1533">
        <f t="shared" si="208"/>
        <v>0</v>
      </c>
      <c r="AX345" s="153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22"/>
      <c r="AV346" s="1533">
        <f t="shared" si="207"/>
        <v>0</v>
      </c>
      <c r="AW346" s="1533">
        <f t="shared" si="208"/>
        <v>0</v>
      </c>
      <c r="AX346" s="153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22"/>
      <c r="AV347" s="1533">
        <f t="shared" si="207"/>
        <v>0</v>
      </c>
      <c r="AW347" s="1533">
        <f t="shared" si="208"/>
        <v>0</v>
      </c>
      <c r="AX347" s="153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22"/>
      <c r="AV348" s="1533">
        <f t="shared" si="207"/>
        <v>0</v>
      </c>
      <c r="AW348" s="1533">
        <f t="shared" si="208"/>
        <v>0</v>
      </c>
      <c r="AX348" s="153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22"/>
      <c r="AV349" s="1533">
        <f t="shared" si="207"/>
        <v>0</v>
      </c>
      <c r="AW349" s="1533">
        <f t="shared" si="208"/>
        <v>0</v>
      </c>
      <c r="AX349" s="153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22"/>
      <c r="AV350" s="1533">
        <f t="shared" si="207"/>
        <v>0</v>
      </c>
      <c r="AW350" s="1533">
        <f t="shared" si="208"/>
        <v>0</v>
      </c>
      <c r="AX350" s="153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22"/>
      <c r="AV351" s="1533">
        <f t="shared" si="207"/>
        <v>0</v>
      </c>
      <c r="AW351" s="1533">
        <f t="shared" si="208"/>
        <v>0</v>
      </c>
      <c r="AX351" s="153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22"/>
      <c r="AV352" s="1533">
        <f t="shared" si="207"/>
        <v>0</v>
      </c>
      <c r="AW352" s="1533">
        <f t="shared" si="208"/>
        <v>0</v>
      </c>
      <c r="AX352" s="153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22"/>
      <c r="AV353" s="1533">
        <f t="shared" si="207"/>
        <v>0</v>
      </c>
      <c r="AW353" s="1533">
        <f t="shared" si="208"/>
        <v>0</v>
      </c>
      <c r="AX353" s="153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22"/>
      <c r="AV354" s="1533">
        <f t="shared" si="207"/>
        <v>0</v>
      </c>
      <c r="AW354" s="1533">
        <f t="shared" si="208"/>
        <v>0</v>
      </c>
      <c r="AX354" s="153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22"/>
      <c r="AV355" s="1533">
        <f t="shared" si="207"/>
        <v>0</v>
      </c>
      <c r="AW355" s="1533">
        <f t="shared" si="208"/>
        <v>0</v>
      </c>
      <c r="AX355" s="153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22"/>
      <c r="AV356" s="1533">
        <f t="shared" si="207"/>
        <v>0</v>
      </c>
      <c r="AW356" s="1533">
        <f t="shared" si="208"/>
        <v>0</v>
      </c>
      <c r="AX356" s="153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22"/>
      <c r="AV357" s="1533">
        <f t="shared" si="207"/>
        <v>0</v>
      </c>
      <c r="AW357" s="1533">
        <f t="shared" si="208"/>
        <v>0</v>
      </c>
      <c r="AX357" s="153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22"/>
      <c r="AV358" s="1533">
        <f t="shared" si="207"/>
        <v>0</v>
      </c>
      <c r="AW358" s="1533">
        <f t="shared" si="208"/>
        <v>0</v>
      </c>
      <c r="AX358" s="153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22"/>
      <c r="AV359" s="1533">
        <f t="shared" si="207"/>
        <v>0</v>
      </c>
      <c r="AW359" s="1533">
        <f t="shared" si="208"/>
        <v>0</v>
      </c>
      <c r="AX359" s="153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22"/>
      <c r="AV360" s="1533">
        <f t="shared" si="207"/>
        <v>0</v>
      </c>
      <c r="AW360" s="1533">
        <f t="shared" si="208"/>
        <v>0</v>
      </c>
      <c r="AX360" s="153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22"/>
      <c r="AV361" s="1533">
        <f t="shared" si="207"/>
        <v>0</v>
      </c>
      <c r="AW361" s="1533">
        <f t="shared" si="208"/>
        <v>0</v>
      </c>
      <c r="AX361" s="153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22"/>
      <c r="AV362" s="1533">
        <f t="shared" si="207"/>
        <v>0</v>
      </c>
      <c r="AW362" s="1533">
        <f t="shared" si="208"/>
        <v>0</v>
      </c>
      <c r="AX362" s="153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22"/>
      <c r="AV363" s="1533">
        <f t="shared" si="207"/>
        <v>0</v>
      </c>
      <c r="AW363" s="1533">
        <f t="shared" si="208"/>
        <v>0</v>
      </c>
      <c r="AX363" s="153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22"/>
      <c r="AV364" s="1533">
        <f t="shared" si="207"/>
        <v>0</v>
      </c>
      <c r="AW364" s="1533">
        <f t="shared" si="208"/>
        <v>0</v>
      </c>
      <c r="AX364" s="153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22"/>
      <c r="AV365" s="1533">
        <f t="shared" si="207"/>
        <v>0</v>
      </c>
      <c r="AW365" s="1533">
        <f t="shared" si="208"/>
        <v>0</v>
      </c>
      <c r="AX365" s="153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22"/>
      <c r="AV366" s="1533">
        <f t="shared" si="207"/>
        <v>0</v>
      </c>
      <c r="AW366" s="1533">
        <f t="shared" si="208"/>
        <v>0</v>
      </c>
      <c r="AX366" s="153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22"/>
      <c r="AV367" s="1533">
        <f t="shared" ref="AV367:AV397" si="236">A367</f>
        <v>0</v>
      </c>
      <c r="AW367" s="1533">
        <f t="shared" ref="AW367:AW397" si="237">B367</f>
        <v>0</v>
      </c>
      <c r="AX367" s="153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22"/>
      <c r="AV368" s="1533">
        <f t="shared" si="236"/>
        <v>0</v>
      </c>
      <c r="AW368" s="1533">
        <f t="shared" si="237"/>
        <v>0</v>
      </c>
      <c r="AX368" s="153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22"/>
      <c r="AV369" s="1533">
        <f t="shared" si="236"/>
        <v>0</v>
      </c>
      <c r="AW369" s="1533">
        <f t="shared" si="237"/>
        <v>0</v>
      </c>
      <c r="AX369" s="153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22"/>
      <c r="AV370" s="1533">
        <f t="shared" si="236"/>
        <v>0</v>
      </c>
      <c r="AW370" s="1533">
        <f t="shared" si="237"/>
        <v>0</v>
      </c>
      <c r="AX370" s="153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22"/>
      <c r="AV371" s="1533">
        <f t="shared" si="236"/>
        <v>0</v>
      </c>
      <c r="AW371" s="1533">
        <f t="shared" si="237"/>
        <v>0</v>
      </c>
      <c r="AX371" s="153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22"/>
      <c r="AV372" s="1533">
        <f t="shared" si="236"/>
        <v>0</v>
      </c>
      <c r="AW372" s="1533">
        <f t="shared" si="237"/>
        <v>0</v>
      </c>
      <c r="AX372" s="153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22"/>
      <c r="AV373" s="1533">
        <f t="shared" si="236"/>
        <v>0</v>
      </c>
      <c r="AW373" s="1533">
        <f t="shared" si="237"/>
        <v>0</v>
      </c>
      <c r="AX373" s="153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22"/>
      <c r="AV374" s="1533">
        <f t="shared" si="236"/>
        <v>0</v>
      </c>
      <c r="AW374" s="1533">
        <f t="shared" si="237"/>
        <v>0</v>
      </c>
      <c r="AX374" s="153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22"/>
      <c r="AV375" s="1533">
        <f t="shared" si="236"/>
        <v>0</v>
      </c>
      <c r="AW375" s="1533">
        <f t="shared" si="237"/>
        <v>0</v>
      </c>
      <c r="AX375" s="153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22"/>
      <c r="AV376" s="1533">
        <f t="shared" si="236"/>
        <v>0</v>
      </c>
      <c r="AW376" s="1533">
        <f t="shared" si="237"/>
        <v>0</v>
      </c>
      <c r="AX376" s="153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22"/>
      <c r="AV377" s="1533">
        <f t="shared" si="236"/>
        <v>0</v>
      </c>
      <c r="AW377" s="1533">
        <f t="shared" si="237"/>
        <v>0</v>
      </c>
      <c r="AX377" s="153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22"/>
      <c r="AV378" s="1533">
        <f t="shared" si="236"/>
        <v>0</v>
      </c>
      <c r="AW378" s="1533">
        <f t="shared" si="237"/>
        <v>0</v>
      </c>
      <c r="AX378" s="153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22"/>
      <c r="AV379" s="1533">
        <f t="shared" si="236"/>
        <v>0</v>
      </c>
      <c r="AW379" s="1533">
        <f t="shared" si="237"/>
        <v>0</v>
      </c>
      <c r="AX379" s="153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22"/>
      <c r="AV380" s="1533">
        <f t="shared" si="236"/>
        <v>0</v>
      </c>
      <c r="AW380" s="1533">
        <f t="shared" si="237"/>
        <v>0</v>
      </c>
      <c r="AX380" s="153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22"/>
      <c r="AV381" s="1533">
        <f t="shared" si="236"/>
        <v>0</v>
      </c>
      <c r="AW381" s="1533">
        <f t="shared" si="237"/>
        <v>0</v>
      </c>
      <c r="AX381" s="153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22"/>
      <c r="AV382" s="1533">
        <f t="shared" si="236"/>
        <v>0</v>
      </c>
      <c r="AW382" s="1533">
        <f t="shared" si="237"/>
        <v>0</v>
      </c>
      <c r="AX382" s="153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22"/>
      <c r="AV383" s="1533">
        <f t="shared" si="236"/>
        <v>0</v>
      </c>
      <c r="AW383" s="1533">
        <f t="shared" si="237"/>
        <v>0</v>
      </c>
      <c r="AX383" s="153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22"/>
      <c r="AV384" s="1533">
        <f t="shared" si="236"/>
        <v>0</v>
      </c>
      <c r="AW384" s="1533">
        <f t="shared" si="237"/>
        <v>0</v>
      </c>
      <c r="AX384" s="153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22"/>
      <c r="AV385" s="1533">
        <f t="shared" si="236"/>
        <v>0</v>
      </c>
      <c r="AW385" s="1533">
        <f t="shared" si="237"/>
        <v>0</v>
      </c>
      <c r="AX385" s="153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22"/>
      <c r="AV386" s="1533">
        <f t="shared" si="236"/>
        <v>0</v>
      </c>
      <c r="AW386" s="1533">
        <f t="shared" si="237"/>
        <v>0</v>
      </c>
      <c r="AX386" s="153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22"/>
      <c r="AV387" s="1533">
        <f t="shared" si="236"/>
        <v>0</v>
      </c>
      <c r="AW387" s="1533">
        <f t="shared" si="237"/>
        <v>0</v>
      </c>
      <c r="AX387" s="153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22"/>
      <c r="AV388" s="1533">
        <f t="shared" si="236"/>
        <v>0</v>
      </c>
      <c r="AW388" s="1533">
        <f t="shared" si="237"/>
        <v>0</v>
      </c>
      <c r="AX388" s="153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22"/>
      <c r="AV389" s="1533">
        <f t="shared" si="236"/>
        <v>0</v>
      </c>
      <c r="AW389" s="1533">
        <f t="shared" si="237"/>
        <v>0</v>
      </c>
      <c r="AX389" s="153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22"/>
      <c r="AV390" s="1533">
        <f t="shared" si="236"/>
        <v>0</v>
      </c>
      <c r="AW390" s="1533">
        <f t="shared" si="237"/>
        <v>0</v>
      </c>
      <c r="AX390" s="153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22"/>
      <c r="AV391" s="1533">
        <f t="shared" si="236"/>
        <v>0</v>
      </c>
      <c r="AW391" s="1533">
        <f t="shared" si="237"/>
        <v>0</v>
      </c>
      <c r="AX391" s="153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22"/>
      <c r="AV392" s="1533">
        <f t="shared" si="236"/>
        <v>0</v>
      </c>
      <c r="AW392" s="1533">
        <f t="shared" si="237"/>
        <v>0</v>
      </c>
      <c r="AX392" s="153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22"/>
      <c r="AV393" s="1533">
        <f t="shared" si="236"/>
        <v>0</v>
      </c>
      <c r="AW393" s="1533">
        <f t="shared" si="237"/>
        <v>0</v>
      </c>
      <c r="AX393" s="153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22"/>
      <c r="AV394" s="1533">
        <f t="shared" si="236"/>
        <v>0</v>
      </c>
      <c r="AW394" s="1533">
        <f t="shared" si="237"/>
        <v>0</v>
      </c>
      <c r="AX394" s="153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62"/>
      <c r="AV395" s="1533">
        <f t="shared" si="236"/>
        <v>0</v>
      </c>
      <c r="AW395" s="1533">
        <f t="shared" si="237"/>
        <v>0</v>
      </c>
      <c r="AX395" s="153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62"/>
      <c r="AV396" s="1533">
        <f t="shared" si="236"/>
        <v>0</v>
      </c>
      <c r="AW396" s="1533">
        <f t="shared" si="237"/>
        <v>0</v>
      </c>
      <c r="AX396" s="153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62"/>
      <c r="AV397" s="1533">
        <f t="shared" si="236"/>
        <v>0</v>
      </c>
      <c r="AW397" s="1533">
        <f t="shared" si="237"/>
        <v>0</v>
      </c>
      <c r="AX397" s="153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22"/>
      <c r="AV398" s="1533">
        <f t="shared" ref="AV398:AV492" si="243">A398</f>
        <v>0</v>
      </c>
      <c r="AW398" s="1533">
        <f t="shared" ref="AW398:AW492" si="244">B398</f>
        <v>0</v>
      </c>
      <c r="AX398" s="153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22"/>
      <c r="AV399" s="1533">
        <f t="shared" si="243"/>
        <v>0</v>
      </c>
      <c r="AW399" s="1533">
        <f t="shared" si="244"/>
        <v>0</v>
      </c>
      <c r="AX399" s="153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22"/>
      <c r="AV400" s="1533">
        <f t="shared" si="243"/>
        <v>0</v>
      </c>
      <c r="AW400" s="1533">
        <f t="shared" si="244"/>
        <v>0</v>
      </c>
      <c r="AX400" s="153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22"/>
      <c r="AV401" s="1533">
        <f t="shared" si="243"/>
        <v>0</v>
      </c>
      <c r="AW401" s="1533">
        <f t="shared" si="244"/>
        <v>0</v>
      </c>
      <c r="AX401" s="153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22"/>
      <c r="AV402" s="1533">
        <f t="shared" si="243"/>
        <v>0</v>
      </c>
      <c r="AW402" s="1533">
        <f t="shared" si="244"/>
        <v>0</v>
      </c>
      <c r="AX402" s="153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22"/>
      <c r="AV403" s="1533">
        <f t="shared" si="243"/>
        <v>0</v>
      </c>
      <c r="AW403" s="1533">
        <f t="shared" si="244"/>
        <v>0</v>
      </c>
      <c r="AX403" s="153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22"/>
      <c r="AV404" s="1533">
        <f t="shared" si="243"/>
        <v>0</v>
      </c>
      <c r="AW404" s="1533">
        <f t="shared" si="244"/>
        <v>0</v>
      </c>
      <c r="AX404" s="153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22"/>
      <c r="AV405" s="1533">
        <f t="shared" si="243"/>
        <v>0</v>
      </c>
      <c r="AW405" s="1533">
        <f t="shared" si="244"/>
        <v>0</v>
      </c>
      <c r="AX405" s="153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22"/>
      <c r="AV406" s="1533">
        <f t="shared" si="243"/>
        <v>0</v>
      </c>
      <c r="AW406" s="1533">
        <f t="shared" si="244"/>
        <v>0</v>
      </c>
      <c r="AX406" s="153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22"/>
      <c r="AV407" s="1533">
        <f t="shared" si="243"/>
        <v>0</v>
      </c>
      <c r="AW407" s="1533">
        <f t="shared" si="244"/>
        <v>0</v>
      </c>
      <c r="AX407" s="153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22"/>
      <c r="AV408" s="1533">
        <f t="shared" si="243"/>
        <v>0</v>
      </c>
      <c r="AW408" s="1533">
        <f t="shared" si="244"/>
        <v>0</v>
      </c>
      <c r="AX408" s="153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22"/>
      <c r="AV409" s="1533">
        <f t="shared" si="243"/>
        <v>0</v>
      </c>
      <c r="AW409" s="1533">
        <f t="shared" si="244"/>
        <v>0</v>
      </c>
      <c r="AX409" s="153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22"/>
      <c r="AV410" s="1533">
        <f t="shared" si="243"/>
        <v>0</v>
      </c>
      <c r="AW410" s="1533">
        <f t="shared" si="244"/>
        <v>0</v>
      </c>
      <c r="AX410" s="153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22"/>
      <c r="AV411" s="1533">
        <f t="shared" si="243"/>
        <v>0</v>
      </c>
      <c r="AW411" s="1533">
        <f t="shared" si="244"/>
        <v>0</v>
      </c>
      <c r="AX411" s="153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22"/>
      <c r="AV412" s="1533">
        <f t="shared" si="243"/>
        <v>0</v>
      </c>
      <c r="AW412" s="1533">
        <f t="shared" si="244"/>
        <v>0</v>
      </c>
      <c r="AX412" s="153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22"/>
      <c r="AV413" s="1533">
        <f t="shared" si="243"/>
        <v>0</v>
      </c>
      <c r="AW413" s="1533">
        <f t="shared" si="244"/>
        <v>0</v>
      </c>
      <c r="AX413" s="153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22"/>
      <c r="AV414" s="1533">
        <f t="shared" si="243"/>
        <v>0</v>
      </c>
      <c r="AW414" s="1533">
        <f t="shared" si="244"/>
        <v>0</v>
      </c>
      <c r="AX414" s="153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22"/>
      <c r="AV415" s="1533">
        <f t="shared" si="243"/>
        <v>0</v>
      </c>
      <c r="AW415" s="1533">
        <f t="shared" si="244"/>
        <v>0</v>
      </c>
      <c r="AX415" s="153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22"/>
      <c r="AV416" s="1533">
        <f t="shared" si="243"/>
        <v>0</v>
      </c>
      <c r="AW416" s="1533">
        <f t="shared" si="244"/>
        <v>0</v>
      </c>
      <c r="AX416" s="153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22"/>
      <c r="AV417" s="1533">
        <f t="shared" si="243"/>
        <v>0</v>
      </c>
      <c r="AW417" s="1533">
        <f t="shared" si="244"/>
        <v>0</v>
      </c>
      <c r="AX417" s="153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22"/>
      <c r="AV418" s="1533">
        <f t="shared" si="243"/>
        <v>0</v>
      </c>
      <c r="AW418" s="1533">
        <f t="shared" si="244"/>
        <v>0</v>
      </c>
      <c r="AX418" s="153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22"/>
      <c r="AV419" s="1533">
        <f t="shared" si="243"/>
        <v>0</v>
      </c>
      <c r="AW419" s="1533">
        <f t="shared" si="244"/>
        <v>0</v>
      </c>
      <c r="AX419" s="153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22"/>
      <c r="AV420" s="1533">
        <f t="shared" si="243"/>
        <v>0</v>
      </c>
      <c r="AW420" s="1533">
        <f t="shared" si="244"/>
        <v>0</v>
      </c>
      <c r="AX420" s="153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22"/>
      <c r="AV421" s="1533">
        <f t="shared" si="243"/>
        <v>0</v>
      </c>
      <c r="AW421" s="1533">
        <f t="shared" si="244"/>
        <v>0</v>
      </c>
      <c r="AX421" s="153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22"/>
      <c r="AV422" s="1533">
        <f t="shared" si="243"/>
        <v>0</v>
      </c>
      <c r="AW422" s="1533">
        <f t="shared" si="244"/>
        <v>0</v>
      </c>
      <c r="AX422" s="153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22"/>
      <c r="AV423" s="1533">
        <f t="shared" si="243"/>
        <v>0</v>
      </c>
      <c r="AW423" s="1533">
        <f t="shared" si="244"/>
        <v>0</v>
      </c>
      <c r="AX423" s="153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22"/>
      <c r="AV424" s="1533">
        <f t="shared" si="243"/>
        <v>0</v>
      </c>
      <c r="AW424" s="1533">
        <f t="shared" si="244"/>
        <v>0</v>
      </c>
      <c r="AX424" s="153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22"/>
      <c r="AV425" s="1533">
        <f t="shared" si="243"/>
        <v>0</v>
      </c>
      <c r="AW425" s="1533">
        <f t="shared" si="244"/>
        <v>0</v>
      </c>
      <c r="AX425" s="153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22"/>
      <c r="AV426" s="1533">
        <f t="shared" si="243"/>
        <v>0</v>
      </c>
      <c r="AW426" s="1533">
        <f t="shared" si="244"/>
        <v>0</v>
      </c>
      <c r="AX426" s="153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22"/>
      <c r="AV427" s="1533">
        <f t="shared" si="243"/>
        <v>0</v>
      </c>
      <c r="AW427" s="1533">
        <f t="shared" si="244"/>
        <v>0</v>
      </c>
      <c r="AX427" s="153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22"/>
      <c r="AV428" s="1533">
        <f t="shared" si="243"/>
        <v>0</v>
      </c>
      <c r="AW428" s="1533">
        <f t="shared" si="244"/>
        <v>0</v>
      </c>
      <c r="AX428" s="153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22"/>
      <c r="AV429" s="1533">
        <f t="shared" si="243"/>
        <v>0</v>
      </c>
      <c r="AW429" s="1533">
        <f t="shared" si="244"/>
        <v>0</v>
      </c>
      <c r="AX429" s="153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22"/>
      <c r="AV430" s="1533">
        <f t="shared" si="243"/>
        <v>0</v>
      </c>
      <c r="AW430" s="1533">
        <f t="shared" si="244"/>
        <v>0</v>
      </c>
      <c r="AX430" s="153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22"/>
      <c r="AV431" s="1533">
        <f t="shared" si="243"/>
        <v>0</v>
      </c>
      <c r="AW431" s="1533">
        <f t="shared" si="244"/>
        <v>0</v>
      </c>
      <c r="AX431" s="153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22"/>
      <c r="AV432" s="1533">
        <f t="shared" si="243"/>
        <v>0</v>
      </c>
      <c r="AW432" s="1533">
        <f t="shared" si="244"/>
        <v>0</v>
      </c>
      <c r="AX432" s="153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22"/>
      <c r="AV433" s="1533">
        <f t="shared" si="243"/>
        <v>0</v>
      </c>
      <c r="AW433" s="1533">
        <f t="shared" si="244"/>
        <v>0</v>
      </c>
      <c r="AX433" s="153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22"/>
      <c r="AV434" s="1533">
        <f t="shared" si="243"/>
        <v>0</v>
      </c>
      <c r="AW434" s="1533">
        <f t="shared" si="244"/>
        <v>0</v>
      </c>
      <c r="AX434" s="153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22"/>
      <c r="AV435" s="1533">
        <f t="shared" si="243"/>
        <v>0</v>
      </c>
      <c r="AW435" s="1533">
        <f t="shared" si="244"/>
        <v>0</v>
      </c>
      <c r="AX435" s="153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22"/>
      <c r="AV436" s="1533">
        <f t="shared" si="243"/>
        <v>0</v>
      </c>
      <c r="AW436" s="1533">
        <f t="shared" si="244"/>
        <v>0</v>
      </c>
      <c r="AX436" s="153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22"/>
      <c r="AV437" s="1533">
        <f t="shared" si="243"/>
        <v>0</v>
      </c>
      <c r="AW437" s="1533">
        <f t="shared" si="244"/>
        <v>0</v>
      </c>
      <c r="AX437" s="153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22"/>
      <c r="AV438" s="1533">
        <f t="shared" si="243"/>
        <v>0</v>
      </c>
      <c r="AW438" s="1533">
        <f t="shared" si="244"/>
        <v>0</v>
      </c>
      <c r="AX438" s="153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22"/>
      <c r="AV439" s="1533">
        <f t="shared" si="243"/>
        <v>0</v>
      </c>
      <c r="AW439" s="1533">
        <f t="shared" si="244"/>
        <v>0</v>
      </c>
      <c r="AX439" s="153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22"/>
      <c r="AV440" s="1533">
        <f t="shared" si="243"/>
        <v>0</v>
      </c>
      <c r="AW440" s="1533">
        <f t="shared" si="244"/>
        <v>0</v>
      </c>
      <c r="AX440" s="153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22"/>
      <c r="AV441" s="1533">
        <f t="shared" si="243"/>
        <v>0</v>
      </c>
      <c r="AW441" s="1533">
        <f t="shared" si="244"/>
        <v>0</v>
      </c>
      <c r="AX441" s="153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22"/>
      <c r="AV442" s="1533">
        <f t="shared" si="243"/>
        <v>0</v>
      </c>
      <c r="AW442" s="1533">
        <f t="shared" si="244"/>
        <v>0</v>
      </c>
      <c r="AX442" s="153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22"/>
      <c r="AV443" s="1533">
        <f t="shared" si="243"/>
        <v>0</v>
      </c>
      <c r="AW443" s="1533">
        <f t="shared" si="244"/>
        <v>0</v>
      </c>
      <c r="AX443" s="153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22"/>
      <c r="AV444" s="1533">
        <f t="shared" si="243"/>
        <v>0</v>
      </c>
      <c r="AW444" s="1533">
        <f t="shared" si="244"/>
        <v>0</v>
      </c>
      <c r="AX444" s="153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22"/>
      <c r="AV445" s="1533">
        <f t="shared" si="243"/>
        <v>0</v>
      </c>
      <c r="AW445" s="1533">
        <f t="shared" si="244"/>
        <v>0</v>
      </c>
      <c r="AX445" s="153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22"/>
      <c r="AV446" s="1533">
        <f t="shared" si="243"/>
        <v>0</v>
      </c>
      <c r="AW446" s="1533">
        <f t="shared" si="244"/>
        <v>0</v>
      </c>
      <c r="AX446" s="153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22"/>
      <c r="AV447" s="1533">
        <f t="shared" si="243"/>
        <v>0</v>
      </c>
      <c r="AW447" s="1533">
        <f t="shared" si="244"/>
        <v>0</v>
      </c>
      <c r="AX447" s="153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22"/>
      <c r="AV448" s="1533">
        <f t="shared" si="243"/>
        <v>0</v>
      </c>
      <c r="AW448" s="1533">
        <f t="shared" si="244"/>
        <v>0</v>
      </c>
      <c r="AX448" s="153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22"/>
      <c r="AV449" s="1533">
        <f t="shared" si="243"/>
        <v>0</v>
      </c>
      <c r="AW449" s="1533">
        <f t="shared" si="244"/>
        <v>0</v>
      </c>
      <c r="AX449" s="153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22"/>
      <c r="AV450" s="1533">
        <f t="shared" si="243"/>
        <v>0</v>
      </c>
      <c r="AW450" s="1533">
        <f t="shared" si="244"/>
        <v>0</v>
      </c>
      <c r="AX450" s="153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22"/>
      <c r="AV451" s="1533">
        <f t="shared" si="243"/>
        <v>0</v>
      </c>
      <c r="AW451" s="1533">
        <f t="shared" si="244"/>
        <v>0</v>
      </c>
      <c r="AX451" s="153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22"/>
      <c r="AV452" s="1533">
        <f t="shared" si="243"/>
        <v>0</v>
      </c>
      <c r="AW452" s="1533">
        <f t="shared" si="244"/>
        <v>0</v>
      </c>
      <c r="AX452" s="153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22"/>
      <c r="AV453" s="1533">
        <f t="shared" si="243"/>
        <v>0</v>
      </c>
      <c r="AW453" s="1533">
        <f t="shared" si="244"/>
        <v>0</v>
      </c>
      <c r="AX453" s="153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22"/>
      <c r="AV454" s="1533">
        <f t="shared" si="243"/>
        <v>0</v>
      </c>
      <c r="AW454" s="1533">
        <f t="shared" si="244"/>
        <v>0</v>
      </c>
      <c r="AX454" s="153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22"/>
      <c r="AV455" s="1533">
        <f t="shared" si="243"/>
        <v>0</v>
      </c>
      <c r="AW455" s="1533">
        <f t="shared" si="244"/>
        <v>0</v>
      </c>
      <c r="AX455" s="153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22"/>
      <c r="AV456" s="1533">
        <f t="shared" si="243"/>
        <v>0</v>
      </c>
      <c r="AW456" s="1533">
        <f t="shared" si="244"/>
        <v>0</v>
      </c>
      <c r="AX456" s="153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22"/>
      <c r="AV457" s="1533">
        <f t="shared" si="243"/>
        <v>0</v>
      </c>
      <c r="AW457" s="1533">
        <f t="shared" si="244"/>
        <v>0</v>
      </c>
      <c r="AX457" s="153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22"/>
      <c r="AV458" s="1533">
        <f t="shared" si="243"/>
        <v>0</v>
      </c>
      <c r="AW458" s="1533">
        <f t="shared" si="244"/>
        <v>0</v>
      </c>
      <c r="AX458" s="153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22"/>
      <c r="AV459" s="1533">
        <f t="shared" si="243"/>
        <v>0</v>
      </c>
      <c r="AW459" s="1533">
        <f t="shared" si="244"/>
        <v>0</v>
      </c>
      <c r="AX459" s="153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22"/>
      <c r="AV460" s="1533">
        <f t="shared" si="243"/>
        <v>0</v>
      </c>
      <c r="AW460" s="1533">
        <f t="shared" si="244"/>
        <v>0</v>
      </c>
      <c r="AX460" s="153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22"/>
      <c r="AV461" s="1533">
        <f t="shared" si="243"/>
        <v>0</v>
      </c>
      <c r="AW461" s="1533">
        <f t="shared" si="244"/>
        <v>0</v>
      </c>
      <c r="AX461" s="153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22"/>
      <c r="AV462" s="1533">
        <f t="shared" si="243"/>
        <v>0</v>
      </c>
      <c r="AW462" s="1533">
        <f t="shared" si="244"/>
        <v>0</v>
      </c>
      <c r="AX462" s="153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22"/>
      <c r="AV463" s="1533">
        <f t="shared" si="243"/>
        <v>0</v>
      </c>
      <c r="AW463" s="1533">
        <f t="shared" si="244"/>
        <v>0</v>
      </c>
      <c r="AX463" s="153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22"/>
      <c r="AV464" s="1533">
        <f t="shared" si="243"/>
        <v>0</v>
      </c>
      <c r="AW464" s="1533">
        <f t="shared" si="244"/>
        <v>0</v>
      </c>
      <c r="AX464" s="153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22"/>
      <c r="AV465" s="1533">
        <f t="shared" si="243"/>
        <v>0</v>
      </c>
      <c r="AW465" s="1533">
        <f t="shared" si="244"/>
        <v>0</v>
      </c>
      <c r="AX465" s="153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22"/>
      <c r="AV466" s="1533">
        <f t="shared" si="243"/>
        <v>0</v>
      </c>
      <c r="AW466" s="1533">
        <f t="shared" si="244"/>
        <v>0</v>
      </c>
      <c r="AX466" s="153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22"/>
      <c r="AV467" s="1533">
        <f t="shared" si="243"/>
        <v>0</v>
      </c>
      <c r="AW467" s="1533">
        <f t="shared" si="244"/>
        <v>0</v>
      </c>
      <c r="AX467" s="153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22"/>
      <c r="AV468" s="1533">
        <f t="shared" si="243"/>
        <v>0</v>
      </c>
      <c r="AW468" s="1533">
        <f t="shared" si="244"/>
        <v>0</v>
      </c>
      <c r="AX468" s="153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22"/>
      <c r="AV469" s="1533">
        <f t="shared" si="243"/>
        <v>0</v>
      </c>
      <c r="AW469" s="1533">
        <f t="shared" si="244"/>
        <v>0</v>
      </c>
      <c r="AX469" s="153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22"/>
      <c r="AV470" s="1533">
        <f t="shared" si="243"/>
        <v>0</v>
      </c>
      <c r="AW470" s="1533">
        <f t="shared" si="244"/>
        <v>0</v>
      </c>
      <c r="AX470" s="153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22"/>
      <c r="AV471" s="1533">
        <f t="shared" si="243"/>
        <v>0</v>
      </c>
      <c r="AW471" s="1533">
        <f t="shared" si="244"/>
        <v>0</v>
      </c>
      <c r="AX471" s="153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22"/>
      <c r="AV472" s="1533">
        <f t="shared" si="243"/>
        <v>0</v>
      </c>
      <c r="AW472" s="1533">
        <f t="shared" si="244"/>
        <v>0</v>
      </c>
      <c r="AX472" s="153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22"/>
      <c r="AV473" s="1533">
        <f t="shared" si="243"/>
        <v>0</v>
      </c>
      <c r="AW473" s="1533">
        <f t="shared" si="244"/>
        <v>0</v>
      </c>
      <c r="AX473" s="153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22"/>
      <c r="AV474" s="1533">
        <f t="shared" si="243"/>
        <v>0</v>
      </c>
      <c r="AW474" s="1533">
        <f t="shared" si="244"/>
        <v>0</v>
      </c>
      <c r="AX474" s="153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22"/>
      <c r="AV475" s="1533">
        <f t="shared" si="243"/>
        <v>0</v>
      </c>
      <c r="AW475" s="1533">
        <f t="shared" si="244"/>
        <v>0</v>
      </c>
      <c r="AX475" s="153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22"/>
      <c r="AV476" s="1533">
        <f t="shared" si="243"/>
        <v>0</v>
      </c>
      <c r="AW476" s="1533">
        <f t="shared" si="244"/>
        <v>0</v>
      </c>
      <c r="AX476" s="153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22"/>
      <c r="AV477" s="1533">
        <f t="shared" si="243"/>
        <v>0</v>
      </c>
      <c r="AW477" s="1533">
        <f t="shared" si="244"/>
        <v>0</v>
      </c>
      <c r="AX477" s="153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22"/>
      <c r="AV478" s="1533">
        <f t="shared" si="243"/>
        <v>0</v>
      </c>
      <c r="AW478" s="1533">
        <f t="shared" si="244"/>
        <v>0</v>
      </c>
      <c r="AX478" s="153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22"/>
      <c r="AV479" s="1533">
        <f t="shared" si="243"/>
        <v>0</v>
      </c>
      <c r="AW479" s="1533">
        <f t="shared" si="244"/>
        <v>0</v>
      </c>
      <c r="AX479" s="153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22"/>
      <c r="AV480" s="1533">
        <f t="shared" si="243"/>
        <v>0</v>
      </c>
      <c r="AW480" s="1533">
        <f t="shared" si="244"/>
        <v>0</v>
      </c>
      <c r="AX480" s="153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22"/>
      <c r="AV481" s="1533">
        <f t="shared" si="243"/>
        <v>0</v>
      </c>
      <c r="AW481" s="1533">
        <f t="shared" si="244"/>
        <v>0</v>
      </c>
      <c r="AX481" s="153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22"/>
      <c r="AV482" s="1533">
        <f t="shared" si="243"/>
        <v>0</v>
      </c>
      <c r="AW482" s="1533">
        <f t="shared" si="244"/>
        <v>0</v>
      </c>
      <c r="AX482" s="153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22"/>
      <c r="AV483" s="1533">
        <f t="shared" si="243"/>
        <v>0</v>
      </c>
      <c r="AW483" s="1533">
        <f t="shared" si="244"/>
        <v>0</v>
      </c>
      <c r="AX483" s="153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22"/>
      <c r="AV484" s="1533">
        <f t="shared" si="243"/>
        <v>0</v>
      </c>
      <c r="AW484" s="1533">
        <f t="shared" si="244"/>
        <v>0</v>
      </c>
      <c r="AX484" s="153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22"/>
      <c r="AV485" s="1533">
        <f t="shared" si="243"/>
        <v>0</v>
      </c>
      <c r="AW485" s="1533">
        <f t="shared" si="244"/>
        <v>0</v>
      </c>
      <c r="AX485" s="153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22"/>
      <c r="AV486" s="1533">
        <f t="shared" si="243"/>
        <v>0</v>
      </c>
      <c r="AW486" s="1533">
        <f t="shared" si="244"/>
        <v>0</v>
      </c>
      <c r="AX486" s="153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22"/>
      <c r="AV487" s="1533">
        <f t="shared" si="243"/>
        <v>0</v>
      </c>
      <c r="AW487" s="1533">
        <f t="shared" si="244"/>
        <v>0</v>
      </c>
      <c r="AX487" s="153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22"/>
      <c r="AV488" s="1533">
        <f t="shared" si="243"/>
        <v>0</v>
      </c>
      <c r="AW488" s="1533">
        <f t="shared" si="244"/>
        <v>0</v>
      </c>
      <c r="AX488" s="153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22"/>
      <c r="AV489" s="1533">
        <f t="shared" si="243"/>
        <v>0</v>
      </c>
      <c r="AW489" s="1533">
        <f t="shared" si="244"/>
        <v>0</v>
      </c>
      <c r="AX489" s="153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62"/>
      <c r="AV490" s="1533">
        <f t="shared" si="243"/>
        <v>0</v>
      </c>
      <c r="AW490" s="1533">
        <f t="shared" si="244"/>
        <v>0</v>
      </c>
      <c r="AX490" s="153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62"/>
      <c r="AV491" s="1533">
        <f t="shared" si="243"/>
        <v>0</v>
      </c>
      <c r="AW491" s="1533">
        <f t="shared" si="244"/>
        <v>0</v>
      </c>
      <c r="AX491" s="153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62"/>
      <c r="AV492" s="1533">
        <f t="shared" si="243"/>
        <v>0</v>
      </c>
      <c r="AW492" s="1533">
        <f t="shared" si="244"/>
        <v>0</v>
      </c>
      <c r="AX492" s="153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22"/>
      <c r="AV493" s="1533">
        <f t="shared" ref="AV493:AV520" si="294">A493</f>
        <v>0</v>
      </c>
      <c r="AW493" s="1533">
        <f t="shared" ref="AW493:AW520" si="295">B493</f>
        <v>0</v>
      </c>
      <c r="AX493" s="153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22"/>
      <c r="AV494" s="1533">
        <f t="shared" si="294"/>
        <v>0</v>
      </c>
      <c r="AW494" s="1533">
        <f t="shared" si="295"/>
        <v>0</v>
      </c>
      <c r="AX494" s="153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22"/>
      <c r="AV495" s="1533">
        <f t="shared" si="294"/>
        <v>0</v>
      </c>
      <c r="AW495" s="1533">
        <f t="shared" si="295"/>
        <v>0</v>
      </c>
      <c r="AX495" s="153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22"/>
      <c r="AV496" s="1533">
        <f t="shared" si="294"/>
        <v>0</v>
      </c>
      <c r="AW496" s="1533">
        <f t="shared" si="295"/>
        <v>0</v>
      </c>
      <c r="AX496" s="153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22"/>
      <c r="AV497" s="1533">
        <f t="shared" si="294"/>
        <v>0</v>
      </c>
      <c r="AW497" s="1533">
        <f t="shared" si="295"/>
        <v>0</v>
      </c>
      <c r="AX497" s="153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22"/>
      <c r="AV498" s="1533">
        <f t="shared" si="294"/>
        <v>0</v>
      </c>
      <c r="AW498" s="1533">
        <f t="shared" si="295"/>
        <v>0</v>
      </c>
      <c r="AX498" s="153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22"/>
      <c r="AV499" s="1533">
        <f t="shared" si="294"/>
        <v>0</v>
      </c>
      <c r="AW499" s="1533">
        <f t="shared" si="295"/>
        <v>0</v>
      </c>
      <c r="AX499" s="153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22"/>
      <c r="AV500" s="1533">
        <f t="shared" si="294"/>
        <v>0</v>
      </c>
      <c r="AW500" s="1533">
        <f t="shared" si="295"/>
        <v>0</v>
      </c>
      <c r="AX500" s="153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22"/>
      <c r="AV501" s="1533">
        <f t="shared" si="294"/>
        <v>0</v>
      </c>
      <c r="AW501" s="1533">
        <f t="shared" si="295"/>
        <v>0</v>
      </c>
      <c r="AX501" s="153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22"/>
      <c r="AV502" s="1533">
        <f t="shared" si="294"/>
        <v>0</v>
      </c>
      <c r="AW502" s="1533">
        <f t="shared" si="295"/>
        <v>0</v>
      </c>
      <c r="AX502" s="153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22"/>
      <c r="AV503" s="1533">
        <f t="shared" si="294"/>
        <v>0</v>
      </c>
      <c r="AW503" s="1533">
        <f t="shared" si="295"/>
        <v>0</v>
      </c>
      <c r="AX503" s="153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22"/>
      <c r="AV504" s="1533">
        <f t="shared" si="294"/>
        <v>0</v>
      </c>
      <c r="AW504" s="1533">
        <f t="shared" si="295"/>
        <v>0</v>
      </c>
      <c r="AX504" s="153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22"/>
      <c r="AV505" s="1533">
        <f t="shared" si="294"/>
        <v>0</v>
      </c>
      <c r="AW505" s="1533">
        <f t="shared" si="295"/>
        <v>0</v>
      </c>
      <c r="AX505" s="153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22"/>
      <c r="AV506" s="1533">
        <f t="shared" si="294"/>
        <v>0</v>
      </c>
      <c r="AW506" s="1533">
        <f t="shared" si="295"/>
        <v>0</v>
      </c>
      <c r="AX506" s="153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22"/>
      <c r="AV507" s="1533">
        <f t="shared" si="294"/>
        <v>0</v>
      </c>
      <c r="AW507" s="1533">
        <f t="shared" si="295"/>
        <v>0</v>
      </c>
      <c r="AX507" s="153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22"/>
      <c r="AV508" s="1533">
        <f t="shared" si="294"/>
        <v>0</v>
      </c>
      <c r="AW508" s="1533">
        <f t="shared" si="295"/>
        <v>0</v>
      </c>
      <c r="AX508" s="153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22"/>
      <c r="AV509" s="1533">
        <f t="shared" si="294"/>
        <v>0</v>
      </c>
      <c r="AW509" s="1533">
        <f t="shared" si="295"/>
        <v>0</v>
      </c>
      <c r="AX509" s="153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22"/>
      <c r="AV510" s="1533">
        <f t="shared" si="294"/>
        <v>0</v>
      </c>
      <c r="AW510" s="1533">
        <f t="shared" si="295"/>
        <v>0</v>
      </c>
      <c r="AX510" s="153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22"/>
      <c r="AV511" s="1533">
        <f t="shared" si="294"/>
        <v>0</v>
      </c>
      <c r="AW511" s="1533">
        <f t="shared" si="295"/>
        <v>0</v>
      </c>
      <c r="AX511" s="153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22"/>
      <c r="AV512" s="1533">
        <f t="shared" si="294"/>
        <v>0</v>
      </c>
      <c r="AW512" s="1533">
        <f t="shared" si="295"/>
        <v>0</v>
      </c>
      <c r="AX512" s="153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22"/>
      <c r="AV513" s="1533">
        <f t="shared" si="294"/>
        <v>0</v>
      </c>
      <c r="AW513" s="1533">
        <f t="shared" si="295"/>
        <v>0</v>
      </c>
      <c r="AX513" s="153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22"/>
      <c r="AV514" s="1533">
        <f t="shared" si="294"/>
        <v>0</v>
      </c>
      <c r="AW514" s="1533">
        <f t="shared" si="295"/>
        <v>0</v>
      </c>
      <c r="AX514" s="153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22"/>
      <c r="AV515" s="1533">
        <f t="shared" si="294"/>
        <v>0</v>
      </c>
      <c r="AW515" s="1533">
        <f t="shared" si="295"/>
        <v>0</v>
      </c>
      <c r="AX515" s="153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22"/>
      <c r="AV516" s="1533">
        <f t="shared" si="294"/>
        <v>0</v>
      </c>
      <c r="AW516" s="1533">
        <f t="shared" si="295"/>
        <v>0</v>
      </c>
      <c r="AX516" s="153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22"/>
      <c r="AV517" s="1533">
        <f t="shared" si="294"/>
        <v>0</v>
      </c>
      <c r="AW517" s="1533">
        <f t="shared" si="295"/>
        <v>0</v>
      </c>
      <c r="AX517" s="153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22"/>
      <c r="AV518" s="1533">
        <f t="shared" si="294"/>
        <v>0</v>
      </c>
      <c r="AW518" s="1533">
        <f t="shared" si="295"/>
        <v>0</v>
      </c>
      <c r="AX518" s="153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22"/>
      <c r="AV519" s="1533">
        <f t="shared" si="294"/>
        <v>0</v>
      </c>
      <c r="AW519" s="1533">
        <f t="shared" si="295"/>
        <v>0</v>
      </c>
      <c r="AX519" s="153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22"/>
      <c r="AV520" s="1533">
        <f t="shared" si="294"/>
        <v>0</v>
      </c>
      <c r="AW520" s="1533">
        <f t="shared" si="295"/>
        <v>0</v>
      </c>
      <c r="AX520" s="153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22"/>
      <c r="AV521" s="1533">
        <f t="shared" ref="AV521:AV552" si="298">A521</f>
        <v>0</v>
      </c>
      <c r="AW521" s="1533">
        <f t="shared" ref="AW521:AW552" si="299">B521</f>
        <v>0</v>
      </c>
      <c r="AX521" s="153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22"/>
      <c r="AV522" s="1533">
        <f t="shared" si="298"/>
        <v>0</v>
      </c>
      <c r="AW522" s="1533">
        <f t="shared" si="299"/>
        <v>0</v>
      </c>
      <c r="AX522" s="153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22"/>
      <c r="AV523" s="1533">
        <f t="shared" si="298"/>
        <v>0</v>
      </c>
      <c r="AW523" s="1533">
        <f t="shared" si="299"/>
        <v>0</v>
      </c>
      <c r="AX523" s="153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22"/>
      <c r="AV524" s="1533">
        <f t="shared" si="298"/>
        <v>0</v>
      </c>
      <c r="AW524" s="1533">
        <f t="shared" si="299"/>
        <v>0</v>
      </c>
      <c r="AX524" s="153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22"/>
      <c r="AV525" s="1533">
        <f t="shared" si="298"/>
        <v>0</v>
      </c>
      <c r="AW525" s="1533">
        <f t="shared" si="299"/>
        <v>0</v>
      </c>
      <c r="AX525" s="153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22"/>
      <c r="AV526" s="1533">
        <f t="shared" si="298"/>
        <v>0</v>
      </c>
      <c r="AW526" s="1533">
        <f t="shared" si="299"/>
        <v>0</v>
      </c>
      <c r="AX526" s="153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22"/>
      <c r="AV527" s="1533">
        <f t="shared" si="298"/>
        <v>0</v>
      </c>
      <c r="AW527" s="1533">
        <f t="shared" si="299"/>
        <v>0</v>
      </c>
      <c r="AX527" s="153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22"/>
      <c r="AV528" s="1533">
        <f t="shared" si="298"/>
        <v>0</v>
      </c>
      <c r="AW528" s="1533">
        <f t="shared" si="299"/>
        <v>0</v>
      </c>
      <c r="AX528" s="153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22"/>
      <c r="AV529" s="1533">
        <f t="shared" si="298"/>
        <v>0</v>
      </c>
      <c r="AW529" s="1533">
        <f t="shared" si="299"/>
        <v>0</v>
      </c>
      <c r="AX529" s="153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22"/>
      <c r="AV530" s="1533">
        <f t="shared" si="298"/>
        <v>0</v>
      </c>
      <c r="AW530" s="1533">
        <f t="shared" si="299"/>
        <v>0</v>
      </c>
      <c r="AX530" s="153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22"/>
      <c r="AV531" s="1533">
        <f t="shared" si="298"/>
        <v>0</v>
      </c>
      <c r="AW531" s="1533">
        <f t="shared" si="299"/>
        <v>0</v>
      </c>
      <c r="AX531" s="153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22"/>
      <c r="AV532" s="1533">
        <f t="shared" si="298"/>
        <v>0</v>
      </c>
      <c r="AW532" s="1533">
        <f t="shared" si="299"/>
        <v>0</v>
      </c>
      <c r="AX532" s="153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22"/>
      <c r="AV533" s="1533">
        <f t="shared" si="298"/>
        <v>0</v>
      </c>
      <c r="AW533" s="1533">
        <f t="shared" si="299"/>
        <v>0</v>
      </c>
      <c r="AX533" s="153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22"/>
      <c r="AV534" s="1533">
        <f t="shared" si="298"/>
        <v>0</v>
      </c>
      <c r="AW534" s="1533">
        <f t="shared" si="299"/>
        <v>0</v>
      </c>
      <c r="AX534" s="153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22"/>
      <c r="AV535" s="1533">
        <f t="shared" si="298"/>
        <v>0</v>
      </c>
      <c r="AW535" s="1533">
        <f t="shared" si="299"/>
        <v>0</v>
      </c>
      <c r="AX535" s="153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22"/>
      <c r="AV536" s="1533">
        <f t="shared" si="298"/>
        <v>0</v>
      </c>
      <c r="AW536" s="1533">
        <f t="shared" si="299"/>
        <v>0</v>
      </c>
      <c r="AX536" s="153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22"/>
      <c r="AV537" s="1533">
        <f t="shared" si="298"/>
        <v>0</v>
      </c>
      <c r="AW537" s="1533">
        <f t="shared" si="299"/>
        <v>0</v>
      </c>
      <c r="AX537" s="153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22"/>
      <c r="AV538" s="1533">
        <f t="shared" si="298"/>
        <v>0</v>
      </c>
      <c r="AW538" s="1533">
        <f t="shared" si="299"/>
        <v>0</v>
      </c>
      <c r="AX538" s="153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22"/>
      <c r="AV539" s="1533">
        <f t="shared" si="298"/>
        <v>0</v>
      </c>
      <c r="AW539" s="1533">
        <f t="shared" si="299"/>
        <v>0</v>
      </c>
      <c r="AX539" s="153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22"/>
      <c r="AV540" s="1533">
        <f t="shared" si="298"/>
        <v>0</v>
      </c>
      <c r="AW540" s="1533">
        <f t="shared" si="299"/>
        <v>0</v>
      </c>
      <c r="AX540" s="153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22"/>
      <c r="AV541" s="1533">
        <f t="shared" si="298"/>
        <v>0</v>
      </c>
      <c r="AW541" s="1533">
        <f t="shared" si="299"/>
        <v>0</v>
      </c>
      <c r="AX541" s="153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22"/>
      <c r="AV542" s="1533">
        <f t="shared" si="298"/>
        <v>0</v>
      </c>
      <c r="AW542" s="1533">
        <f t="shared" si="299"/>
        <v>0</v>
      </c>
      <c r="AX542" s="153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22"/>
      <c r="AV543" s="1533">
        <f t="shared" si="298"/>
        <v>0</v>
      </c>
      <c r="AW543" s="1533">
        <f t="shared" si="299"/>
        <v>0</v>
      </c>
      <c r="AX543" s="153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22"/>
      <c r="AV544" s="1533">
        <f t="shared" si="298"/>
        <v>0</v>
      </c>
      <c r="AW544" s="1533">
        <f t="shared" si="299"/>
        <v>0</v>
      </c>
      <c r="AX544" s="153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22"/>
      <c r="AV545" s="1533">
        <f t="shared" si="298"/>
        <v>0</v>
      </c>
      <c r="AW545" s="1533">
        <f t="shared" si="299"/>
        <v>0</v>
      </c>
      <c r="AX545" s="153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22"/>
      <c r="AV546" s="1533">
        <f t="shared" si="298"/>
        <v>0</v>
      </c>
      <c r="AW546" s="1533">
        <f t="shared" si="299"/>
        <v>0</v>
      </c>
      <c r="AX546" s="153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22"/>
      <c r="AV547" s="1533">
        <f t="shared" si="298"/>
        <v>0</v>
      </c>
      <c r="AW547" s="1533">
        <f t="shared" si="299"/>
        <v>0</v>
      </c>
      <c r="AX547" s="153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22"/>
      <c r="AV548" s="1533">
        <f t="shared" si="298"/>
        <v>0</v>
      </c>
      <c r="AW548" s="1533">
        <f t="shared" si="299"/>
        <v>0</v>
      </c>
      <c r="AX548" s="153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22"/>
      <c r="AV549" s="1533">
        <f t="shared" si="298"/>
        <v>0</v>
      </c>
      <c r="AW549" s="1533">
        <f t="shared" si="299"/>
        <v>0</v>
      </c>
      <c r="AX549" s="153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22"/>
      <c r="AV550" s="1533">
        <f t="shared" si="298"/>
        <v>0</v>
      </c>
      <c r="AW550" s="1533">
        <f t="shared" si="299"/>
        <v>0</v>
      </c>
      <c r="AX550" s="153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22"/>
      <c r="AV551" s="1533">
        <f t="shared" si="298"/>
        <v>0</v>
      </c>
      <c r="AW551" s="1533">
        <f t="shared" si="299"/>
        <v>0</v>
      </c>
      <c r="AX551" s="153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22"/>
      <c r="AV552" s="1533">
        <f t="shared" si="298"/>
        <v>0</v>
      </c>
      <c r="AW552" s="1533">
        <f t="shared" si="299"/>
        <v>0</v>
      </c>
      <c r="AX552" s="153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22"/>
      <c r="AV553" s="1533">
        <f t="shared" ref="AV553:AV587" si="330">A553</f>
        <v>0</v>
      </c>
      <c r="AW553" s="1533">
        <f t="shared" ref="AW553:AW587" si="331">B553</f>
        <v>0</v>
      </c>
      <c r="AX553" s="153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22"/>
      <c r="AV554" s="1533">
        <f t="shared" si="330"/>
        <v>0</v>
      </c>
      <c r="AW554" s="1533">
        <f t="shared" si="331"/>
        <v>0</v>
      </c>
      <c r="AX554" s="153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22"/>
      <c r="AV555" s="1533">
        <f t="shared" si="330"/>
        <v>0</v>
      </c>
      <c r="AW555" s="1533">
        <f t="shared" si="331"/>
        <v>0</v>
      </c>
      <c r="AX555" s="153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22"/>
      <c r="AV556" s="1533">
        <f t="shared" si="330"/>
        <v>0</v>
      </c>
      <c r="AW556" s="1533">
        <f t="shared" si="331"/>
        <v>0</v>
      </c>
      <c r="AX556" s="153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22"/>
      <c r="AV557" s="1533">
        <f t="shared" si="330"/>
        <v>0</v>
      </c>
      <c r="AW557" s="1533">
        <f t="shared" si="331"/>
        <v>0</v>
      </c>
      <c r="AX557" s="153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22"/>
      <c r="AV558" s="1533">
        <f t="shared" si="330"/>
        <v>0</v>
      </c>
      <c r="AW558" s="1533">
        <f t="shared" si="331"/>
        <v>0</v>
      </c>
      <c r="AX558" s="153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22"/>
      <c r="AV559" s="1533">
        <f t="shared" si="330"/>
        <v>0</v>
      </c>
      <c r="AW559" s="1533">
        <f t="shared" si="331"/>
        <v>0</v>
      </c>
      <c r="AX559" s="153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22"/>
      <c r="AV560" s="1533">
        <f t="shared" si="330"/>
        <v>0</v>
      </c>
      <c r="AW560" s="1533">
        <f t="shared" si="331"/>
        <v>0</v>
      </c>
      <c r="AX560" s="153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22"/>
      <c r="AV561" s="1533">
        <f t="shared" si="330"/>
        <v>0</v>
      </c>
      <c r="AW561" s="1533">
        <f t="shared" si="331"/>
        <v>0</v>
      </c>
      <c r="AX561" s="153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22"/>
      <c r="AV562" s="1533">
        <f t="shared" si="330"/>
        <v>0</v>
      </c>
      <c r="AW562" s="1533">
        <f t="shared" si="331"/>
        <v>0</v>
      </c>
      <c r="AX562" s="153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22"/>
      <c r="AV563" s="1533">
        <f t="shared" si="330"/>
        <v>0</v>
      </c>
      <c r="AW563" s="1533">
        <f t="shared" si="331"/>
        <v>0</v>
      </c>
      <c r="AX563" s="153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22"/>
      <c r="AV564" s="1533">
        <f t="shared" si="330"/>
        <v>0</v>
      </c>
      <c r="AW564" s="1533">
        <f t="shared" si="331"/>
        <v>0</v>
      </c>
      <c r="AX564" s="153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22"/>
      <c r="AV565" s="1533">
        <f t="shared" si="330"/>
        <v>0</v>
      </c>
      <c r="AW565" s="1533">
        <f t="shared" si="331"/>
        <v>0</v>
      </c>
      <c r="AX565" s="153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22"/>
      <c r="AV566" s="1533">
        <f t="shared" si="330"/>
        <v>0</v>
      </c>
      <c r="AW566" s="1533">
        <f t="shared" si="331"/>
        <v>0</v>
      </c>
      <c r="AX566" s="153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22"/>
      <c r="AV567" s="1533">
        <f t="shared" si="330"/>
        <v>0</v>
      </c>
      <c r="AW567" s="1533">
        <f t="shared" si="331"/>
        <v>0</v>
      </c>
      <c r="AX567" s="153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22"/>
      <c r="AV568" s="1533">
        <f t="shared" si="330"/>
        <v>0</v>
      </c>
      <c r="AW568" s="1533">
        <f t="shared" si="331"/>
        <v>0</v>
      </c>
      <c r="AX568" s="153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22"/>
      <c r="AV569" s="1533">
        <f t="shared" si="330"/>
        <v>0</v>
      </c>
      <c r="AW569" s="1533">
        <f t="shared" si="331"/>
        <v>0</v>
      </c>
      <c r="AX569" s="153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22"/>
      <c r="AV570" s="1533">
        <f t="shared" si="330"/>
        <v>0</v>
      </c>
      <c r="AW570" s="1533">
        <f t="shared" si="331"/>
        <v>0</v>
      </c>
      <c r="AX570" s="153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22"/>
      <c r="AV571" s="1533">
        <f t="shared" si="330"/>
        <v>0</v>
      </c>
      <c r="AW571" s="1533">
        <f t="shared" si="331"/>
        <v>0</v>
      </c>
      <c r="AX571" s="153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22"/>
      <c r="AV572" s="1533">
        <f t="shared" si="330"/>
        <v>0</v>
      </c>
      <c r="AW572" s="1533">
        <f t="shared" si="331"/>
        <v>0</v>
      </c>
      <c r="AX572" s="153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22"/>
      <c r="AV573" s="1533">
        <f t="shared" si="330"/>
        <v>0</v>
      </c>
      <c r="AW573" s="1533">
        <f t="shared" si="331"/>
        <v>0</v>
      </c>
      <c r="AX573" s="153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22"/>
      <c r="AV574" s="1533">
        <f t="shared" si="330"/>
        <v>0</v>
      </c>
      <c r="AW574" s="1533">
        <f t="shared" si="331"/>
        <v>0</v>
      </c>
      <c r="AX574" s="153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22"/>
      <c r="AV575" s="1533">
        <f t="shared" si="330"/>
        <v>0</v>
      </c>
      <c r="AW575" s="1533">
        <f t="shared" si="331"/>
        <v>0</v>
      </c>
      <c r="AX575" s="153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22"/>
      <c r="AV576" s="1533">
        <f t="shared" si="330"/>
        <v>0</v>
      </c>
      <c r="AW576" s="1533">
        <f t="shared" si="331"/>
        <v>0</v>
      </c>
      <c r="AX576" s="153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22"/>
      <c r="AV577" s="1533">
        <f t="shared" si="330"/>
        <v>0</v>
      </c>
      <c r="AW577" s="1533">
        <f t="shared" si="331"/>
        <v>0</v>
      </c>
      <c r="AX577" s="153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22"/>
      <c r="AV578" s="1533">
        <f t="shared" si="330"/>
        <v>0</v>
      </c>
      <c r="AW578" s="1533">
        <f t="shared" si="331"/>
        <v>0</v>
      </c>
      <c r="AX578" s="153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22"/>
      <c r="AV579" s="1533">
        <f t="shared" si="330"/>
        <v>0</v>
      </c>
      <c r="AW579" s="1533">
        <f t="shared" si="331"/>
        <v>0</v>
      </c>
      <c r="AX579" s="153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22"/>
      <c r="AV580" s="1533">
        <f t="shared" si="330"/>
        <v>0</v>
      </c>
      <c r="AW580" s="1533">
        <f t="shared" si="331"/>
        <v>0</v>
      </c>
      <c r="AX580" s="153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22"/>
      <c r="AV581" s="1533">
        <f t="shared" si="330"/>
        <v>0</v>
      </c>
      <c r="AW581" s="1533">
        <f t="shared" si="331"/>
        <v>0</v>
      </c>
      <c r="AX581" s="153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22"/>
      <c r="AV582" s="1533">
        <f t="shared" si="330"/>
        <v>0</v>
      </c>
      <c r="AW582" s="1533">
        <f t="shared" si="331"/>
        <v>0</v>
      </c>
      <c r="AX582" s="153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22"/>
      <c r="AV583" s="1533">
        <f t="shared" si="330"/>
        <v>0</v>
      </c>
      <c r="AW583" s="1533">
        <f t="shared" si="331"/>
        <v>0</v>
      </c>
      <c r="AX583" s="153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22"/>
      <c r="AV584" s="1533">
        <f t="shared" si="330"/>
        <v>0</v>
      </c>
      <c r="AW584" s="1533">
        <f t="shared" si="331"/>
        <v>0</v>
      </c>
      <c r="AX584" s="153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62"/>
      <c r="AV585" s="1533">
        <f t="shared" si="330"/>
        <v>0</v>
      </c>
      <c r="AW585" s="1533">
        <f t="shared" si="331"/>
        <v>0</v>
      </c>
      <c r="AX585" s="153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62"/>
      <c r="AV586" s="1533">
        <f t="shared" si="330"/>
        <v>0</v>
      </c>
      <c r="AW586" s="1533">
        <f t="shared" si="331"/>
        <v>0</v>
      </c>
      <c r="AX586" s="153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62"/>
      <c r="AV587" s="1533">
        <f t="shared" si="330"/>
        <v>0</v>
      </c>
      <c r="AW587" s="1533">
        <f t="shared" si="331"/>
        <v>0</v>
      </c>
      <c r="AX587" s="153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5" customFormat="1">
      <c r="A588" s="1823"/>
      <c r="B588" s="1823"/>
      <c r="C588" s="1823"/>
      <c r="D588" s="1823"/>
      <c r="E588" s="1824"/>
      <c r="F588" s="1824"/>
      <c r="G588" s="1823"/>
      <c r="H588" s="1824"/>
      <c r="I588" s="1824"/>
      <c r="J588" s="1824"/>
      <c r="K588" s="1824"/>
      <c r="L588" s="1824"/>
      <c r="M588" s="1824"/>
      <c r="N588" s="1824"/>
      <c r="O588" s="1824"/>
      <c r="P588" s="1824"/>
      <c r="Q588" s="1824"/>
      <c r="R588" s="1824"/>
      <c r="S588" s="1824"/>
      <c r="T588" s="1824"/>
      <c r="U588" s="1824"/>
      <c r="V588" s="1824"/>
      <c r="W588" s="1824"/>
      <c r="X588" s="1824"/>
      <c r="Y588" s="1824"/>
      <c r="Z588" s="1824"/>
      <c r="AA588" s="1824"/>
      <c r="AB588" s="1824"/>
      <c r="AC588" s="1824"/>
      <c r="AD588" s="1824"/>
      <c r="AE588" s="1824"/>
      <c r="AF588" s="1824"/>
      <c r="AG588" s="1824"/>
      <c r="AH588" s="1824"/>
      <c r="AI588" s="1824"/>
      <c r="AJ588" s="1824"/>
      <c r="AK588" s="1824"/>
      <c r="AL588" s="1824"/>
      <c r="AM588" s="1824"/>
      <c r="AN588" s="1824"/>
      <c r="AO588" s="1824"/>
      <c r="AP588" s="1824"/>
      <c r="AQ588" s="1824"/>
      <c r="AR588" s="1824"/>
      <c r="AS588" s="1824"/>
      <c r="AT588" s="1824"/>
      <c r="AU588" s="1823"/>
      <c r="AV588" s="1823"/>
      <c r="AW588" s="1823"/>
      <c r="AX588" s="1823"/>
    </row>
    <row r="589" spans="1:72" s="1826" customFormat="1">
      <c r="C589" s="1827"/>
      <c r="D589" s="1827"/>
    </row>
    <row r="590" spans="1:72" s="1826" customFormat="1">
      <c r="C590" s="1827"/>
      <c r="D590" s="1827"/>
    </row>
    <row r="593" spans="2:2">
      <c r="B593" s="18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90" t="s">
        <v>0</v>
      </c>
      <c r="B1" s="3190" t="s">
        <v>4</v>
      </c>
      <c r="C1" s="3190" t="s">
        <v>5</v>
      </c>
      <c r="D1" s="3191" t="s">
        <v>53</v>
      </c>
      <c r="E1" s="3191" t="s">
        <v>54</v>
      </c>
      <c r="F1" s="3191"/>
      <c r="G1" s="3191"/>
      <c r="H1" s="3191"/>
      <c r="I1" s="3191"/>
      <c r="J1" s="3191"/>
      <c r="K1" s="3191"/>
      <c r="L1" s="3191"/>
      <c r="M1" s="3191"/>
    </row>
    <row r="2" spans="1:13" ht="27" customHeight="1">
      <c r="A2" s="3190"/>
      <c r="B2" s="3190"/>
      <c r="C2" s="3190"/>
      <c r="D2" s="3191"/>
      <c r="E2" s="3191" t="s">
        <v>37</v>
      </c>
      <c r="F2" s="3191" t="s">
        <v>38</v>
      </c>
      <c r="G2" s="3191"/>
      <c r="H2" s="3191"/>
      <c r="I2" s="3191"/>
      <c r="J2" s="3191" t="s">
        <v>39</v>
      </c>
      <c r="K2" s="3191"/>
      <c r="L2" s="3191"/>
      <c r="M2" s="3191"/>
    </row>
    <row r="3" spans="1:13" ht="46.8">
      <c r="A3" s="3190"/>
      <c r="B3" s="3190"/>
      <c r="C3" s="3190"/>
      <c r="D3" s="3191"/>
      <c r="E3" s="319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1" t="s">
        <v>55</v>
      </c>
      <c r="B9" s="3191"/>
      <c r="C9" s="31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H35" sqref="H35"/>
    </sheetView>
  </sheetViews>
  <sheetFormatPr defaultColWidth="9.21875" defaultRowHeight="13.8"/>
  <cols>
    <col min="1" max="1" width="12.109375" style="1829" customWidth="1"/>
    <col min="2" max="2" width="10.21875" style="1829" customWidth="1"/>
    <col min="3" max="3" width="18.44140625" style="1829" customWidth="1"/>
    <col min="4" max="4" width="11.6640625" style="1829" customWidth="1"/>
    <col min="5" max="5" width="13.33203125" style="1829" customWidth="1"/>
    <col min="6" max="8" width="11.44140625" style="1829" customWidth="1"/>
    <col min="9" max="9" width="11.109375" style="1829" customWidth="1"/>
    <col min="10" max="10" width="3.109375" style="2877" customWidth="1"/>
    <col min="11" max="16" width="10" style="1829" customWidth="1"/>
    <col min="17" max="17" width="2.6640625" style="1829" customWidth="1"/>
    <col min="18" max="18" width="9.33203125" style="1829" bestFit="1" customWidth="1"/>
    <col min="19" max="19" width="10.44140625" style="1829" bestFit="1" customWidth="1"/>
    <col min="20" max="16384" width="9.21875" style="1829"/>
  </cols>
  <sheetData>
    <row r="1" spans="1:16" ht="18" thickBot="1">
      <c r="A1" s="1828" t="s">
        <v>1816</v>
      </c>
      <c r="B1" s="1305"/>
      <c r="C1" s="1305"/>
      <c r="D1" s="1305"/>
      <c r="E1" s="1305"/>
      <c r="F1" s="1305"/>
      <c r="G1" s="1305"/>
      <c r="H1" s="1305"/>
      <c r="I1" s="1305"/>
      <c r="J1" s="1305"/>
      <c r="K1" s="1305"/>
      <c r="L1" s="1305"/>
      <c r="M1" s="1305"/>
      <c r="N1" s="1305"/>
      <c r="O1" s="1305"/>
      <c r="P1" s="1305"/>
    </row>
    <row r="2" spans="1:16" ht="14.4">
      <c r="A2" s="3201" t="s">
        <v>1817</v>
      </c>
      <c r="B2" s="3201"/>
      <c r="C2" s="3201"/>
      <c r="D2" s="908" t="s">
        <v>1793</v>
      </c>
      <c r="E2" s="1830" t="s">
        <v>1794</v>
      </c>
      <c r="F2" s="2887"/>
      <c r="G2" s="2878"/>
      <c r="H2" s="2879"/>
      <c r="I2" s="2554" t="s">
        <v>1818</v>
      </c>
      <c r="J2" s="2887"/>
      <c r="K2" s="2887"/>
      <c r="L2" s="2887"/>
      <c r="M2" s="2887"/>
      <c r="N2" s="2889"/>
      <c r="O2" s="2887"/>
      <c r="P2" s="2887"/>
    </row>
    <row r="3" spans="1:16" ht="15" thickBot="1">
      <c r="A3" s="3202" t="s">
        <v>1791</v>
      </c>
      <c r="B3" s="3202"/>
      <c r="C3" s="3202"/>
      <c r="D3" s="46">
        <f>'数据-基础表'!AY6</f>
        <v>15462.6</v>
      </c>
      <c r="E3" s="46">
        <f>'数据-基础表'!AZ5</f>
        <v>8640.14</v>
      </c>
      <c r="F3" s="2887"/>
      <c r="G3" s="1311"/>
      <c r="H3" s="1161" t="s">
        <v>1792</v>
      </c>
      <c r="I3" s="968">
        <f>ROUND('数据-基础表'!B3/'数据-基础表'!A3,2)</f>
        <v>0.56000000000000005</v>
      </c>
      <c r="J3" s="2887"/>
      <c r="K3" s="2887"/>
      <c r="L3" s="2887"/>
      <c r="M3" s="2887"/>
      <c r="N3" s="2889"/>
      <c r="O3" s="2887"/>
      <c r="P3" s="2887"/>
    </row>
    <row r="4" spans="1:16" ht="14.4">
      <c r="A4" s="3203"/>
      <c r="B4" s="3204"/>
      <c r="C4" s="3205"/>
      <c r="D4" s="1832" t="s">
        <v>1793</v>
      </c>
      <c r="E4" s="1833" t="s">
        <v>1794</v>
      </c>
      <c r="F4" s="2887"/>
      <c r="G4" s="2880" t="s">
        <v>1819</v>
      </c>
      <c r="H4" s="1161" t="s">
        <v>1799</v>
      </c>
      <c r="I4" s="968">
        <f>ROUND(SUMIF('数据-基础表'!I9:AS9,"地上",'数据-基础表'!I5:AS5)/'数据-基础表'!A3,2)</f>
        <v>0.56000000000000005</v>
      </c>
      <c r="J4" s="2887"/>
      <c r="K4" s="2887"/>
      <c r="L4" s="2887"/>
      <c r="M4" s="2887"/>
      <c r="N4" s="2889"/>
      <c r="O4" s="2887"/>
      <c r="P4" s="2887"/>
    </row>
    <row r="5" spans="1:16" ht="14.4">
      <c r="A5" s="47" t="s">
        <v>1795</v>
      </c>
      <c r="B5" s="3206" t="s">
        <v>1796</v>
      </c>
      <c r="C5" s="3206"/>
      <c r="D5" s="48">
        <f>ROUND($D$3*E5/$E$3,2)</f>
        <v>0</v>
      </c>
      <c r="E5" s="49">
        <f>SUMIF('数据-基础表'!$11:$11,"住宅",'数据-基础表'!$5:$5)</f>
        <v>0</v>
      </c>
      <c r="F5" s="2887"/>
      <c r="G5" s="1311"/>
      <c r="H5" s="1161" t="s">
        <v>1792</v>
      </c>
      <c r="I5" s="968">
        <f>ROUND(E31/D31,2)</f>
        <v>0.56000000000000005</v>
      </c>
      <c r="J5" s="2887"/>
      <c r="K5" s="2887"/>
      <c r="L5" s="2887"/>
      <c r="M5" s="2887"/>
      <c r="N5" s="2887"/>
      <c r="O5" s="2887"/>
      <c r="P5" s="2887"/>
    </row>
    <row r="6" spans="1:16" ht="15" thickBot="1">
      <c r="A6" s="1835"/>
      <c r="B6" s="3206" t="s">
        <v>1797</v>
      </c>
      <c r="C6" s="3206"/>
      <c r="D6" s="48">
        <f>ROUND($D$3*E6/$E$3,2)</f>
        <v>15462.6</v>
      </c>
      <c r="E6" s="49">
        <f>E3-E5</f>
        <v>8640.14</v>
      </c>
      <c r="F6" s="2887"/>
      <c r="G6" s="2881" t="s">
        <v>1798</v>
      </c>
      <c r="H6" s="1312" t="s">
        <v>1799</v>
      </c>
      <c r="I6" s="2882">
        <f>ROUND(F31/D31,2)</f>
        <v>0.56000000000000005</v>
      </c>
      <c r="J6" s="2887"/>
      <c r="K6" s="2887"/>
      <c r="L6" s="2887"/>
      <c r="M6" s="2887"/>
      <c r="N6" s="2887"/>
      <c r="O6" s="2887"/>
      <c r="P6" s="2887"/>
    </row>
    <row r="7" spans="1:16" ht="15" thickBot="1">
      <c r="A7" s="3198"/>
      <c r="B7" s="3199"/>
      <c r="C7" s="3200"/>
      <c r="D7" s="1832" t="s">
        <v>1793</v>
      </c>
      <c r="E7" s="1836" t="s">
        <v>1800</v>
      </c>
      <c r="F7" s="2887"/>
      <c r="G7" s="2883" t="s">
        <v>1801</v>
      </c>
      <c r="H7" s="2884"/>
      <c r="I7" s="2885">
        <f>I6</f>
        <v>0.56000000000000005</v>
      </c>
      <c r="J7" s="2887"/>
      <c r="K7" s="2887"/>
      <c r="L7" s="2887"/>
      <c r="M7" s="2887"/>
      <c r="N7" s="2887"/>
      <c r="O7" s="2887"/>
      <c r="P7" s="2887"/>
    </row>
    <row r="8" spans="1:16" ht="14.4">
      <c r="A8" s="47" t="s">
        <v>1802</v>
      </c>
      <c r="B8" s="50" t="s">
        <v>1803</v>
      </c>
      <c r="C8" s="48" t="s">
        <v>1804</v>
      </c>
      <c r="D8" s="48">
        <f t="shared" ref="D8:D15" si="0">ROUND($D$3*E8/$E$3,2)</f>
        <v>15462.6</v>
      </c>
      <c r="E8" s="51">
        <f>SUMIF('数据-基础表'!BB10:BK10,"地上",'数据-基础表'!BB5:BK5)</f>
        <v>8640.14</v>
      </c>
      <c r="F8" s="2887"/>
      <c r="G8" s="2888"/>
      <c r="H8" s="2888"/>
      <c r="I8" s="2887"/>
      <c r="J8" s="2887"/>
      <c r="K8" s="2887"/>
      <c r="L8" s="2887"/>
      <c r="M8" s="2887"/>
      <c r="N8" s="2887"/>
      <c r="O8" s="2887"/>
      <c r="P8" s="2887"/>
    </row>
    <row r="9" spans="1:16" ht="14.4">
      <c r="A9" s="1837"/>
      <c r="B9" s="1838"/>
      <c r="C9" s="48" t="s">
        <v>1805</v>
      </c>
      <c r="D9" s="48">
        <f t="shared" si="0"/>
        <v>0</v>
      </c>
      <c r="E9" s="52">
        <v>0</v>
      </c>
      <c r="F9" s="2887"/>
      <c r="G9" s="2888"/>
      <c r="H9" s="2888"/>
      <c r="I9" s="2887"/>
      <c r="J9" s="2887"/>
      <c r="K9" s="2887"/>
      <c r="L9" s="2887"/>
      <c r="M9" s="2887"/>
      <c r="N9" s="2887"/>
      <c r="O9" s="2887"/>
      <c r="P9" s="2887"/>
    </row>
    <row r="10" spans="1:16" ht="14.4">
      <c r="A10" s="1837"/>
      <c r="B10" s="1838"/>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ht="14.4">
      <c r="A11" s="1837"/>
      <c r="B11" s="1838"/>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ht="14.4">
      <c r="A12" s="1837"/>
      <c r="B12" s="1838"/>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ht="14.4">
      <c r="A13" s="1837"/>
      <c r="B13" s="1838"/>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ht="14.4">
      <c r="A14" s="1837"/>
      <c r="B14" s="1838"/>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7"/>
      <c r="B15" s="1838"/>
      <c r="C15" s="48" t="s">
        <v>1815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 thickBot="1">
      <c r="A16" s="1835"/>
      <c r="B16" s="1838"/>
      <c r="C16" s="50" t="s">
        <v>1809</v>
      </c>
      <c r="D16" s="50">
        <f>SUM(D8:D15)</f>
        <v>15462.6</v>
      </c>
      <c r="E16" s="53">
        <f>SUM(E8:E15)</f>
        <v>8640.14</v>
      </c>
      <c r="F16" s="2887"/>
      <c r="G16" s="2888"/>
      <c r="H16" s="1839" t="s">
        <v>1821</v>
      </c>
      <c r="I16" s="1840"/>
      <c r="J16" s="2887"/>
      <c r="K16" s="3195" t="s">
        <v>1821</v>
      </c>
      <c r="L16" s="3196"/>
      <c r="M16" s="3196"/>
      <c r="N16" s="3196"/>
      <c r="O16" s="3196"/>
      <c r="P16" s="3197"/>
    </row>
    <row r="17" spans="1:19" ht="14.4">
      <c r="A17" s="1841" t="s">
        <v>1822</v>
      </c>
      <c r="B17" s="1842" t="s">
        <v>1823</v>
      </c>
      <c r="C17" s="1843" t="s">
        <v>1824</v>
      </c>
      <c r="D17" s="1844" t="s">
        <v>1812</v>
      </c>
      <c r="E17" s="1845" t="s">
        <v>1813</v>
      </c>
      <c r="F17" s="1846"/>
      <c r="G17" s="1847"/>
      <c r="H17" s="1848" t="s">
        <v>1825</v>
      </c>
      <c r="I17" s="1849" t="s">
        <v>1810</v>
      </c>
      <c r="J17" s="2887"/>
      <c r="K17" s="3192" t="s">
        <v>1826</v>
      </c>
      <c r="L17" s="3193"/>
      <c r="M17" s="3194"/>
      <c r="N17" s="3192" t="s">
        <v>1827</v>
      </c>
      <c r="O17" s="3193"/>
      <c r="P17" s="3194"/>
      <c r="R17" s="1831" t="s">
        <v>1828</v>
      </c>
      <c r="S17" s="64"/>
    </row>
    <row r="18" spans="1:19" ht="14.4">
      <c r="A18" s="1837"/>
      <c r="B18" s="1850"/>
      <c r="C18" s="1851"/>
      <c r="D18" s="1852"/>
      <c r="E18" s="1853" t="s">
        <v>1829</v>
      </c>
      <c r="F18" s="1854" t="s">
        <v>1830</v>
      </c>
      <c r="G18" s="1855" t="s">
        <v>1831</v>
      </c>
      <c r="H18" s="1176" t="s">
        <v>1832</v>
      </c>
      <c r="I18" s="1856" t="s">
        <v>1833</v>
      </c>
      <c r="J18" s="2887"/>
      <c r="K18" s="1176" t="s">
        <v>1834</v>
      </c>
      <c r="L18" s="1857" t="s">
        <v>1835</v>
      </c>
      <c r="M18" s="968" t="s">
        <v>1836</v>
      </c>
      <c r="N18" s="1176" t="s">
        <v>1834</v>
      </c>
      <c r="O18" s="1857" t="s">
        <v>1835</v>
      </c>
      <c r="P18" s="968" t="s">
        <v>1836</v>
      </c>
      <c r="R18" s="1161" t="s">
        <v>1837</v>
      </c>
      <c r="S18" s="1161" t="s">
        <v>1838</v>
      </c>
    </row>
    <row r="19" spans="1:19" ht="14.4">
      <c r="A19" s="1858"/>
      <c r="B19" s="50" t="s">
        <v>1811</v>
      </c>
      <c r="C19" s="3034" t="s">
        <v>3154</v>
      </c>
      <c r="D19" s="48">
        <f>ROUND($D$3*E19/$E$3,2)</f>
        <v>15462.6</v>
      </c>
      <c r="E19" s="56">
        <f t="shared" ref="E19:E26" si="1">SUM(F19:G19)</f>
        <v>8640.14</v>
      </c>
      <c r="F19" s="57">
        <f>'数据-基础表'!I5</f>
        <v>8640.14</v>
      </c>
      <c r="G19" s="58"/>
      <c r="H19" s="683">
        <f>ROUND($D$3*I19/$E$3,2)</f>
        <v>0</v>
      </c>
      <c r="I19" s="51">
        <f t="shared" ref="I19:I26" si="2">IF($I$17="自定义",P19,M19)</f>
        <v>0</v>
      </c>
      <c r="J19" s="2887"/>
      <c r="K19" s="1304">
        <f t="shared" ref="K19:K26" si="3">ROUND(E$28*E19/E$27,2)</f>
        <v>0</v>
      </c>
      <c r="L19" s="1161">
        <f t="shared" ref="L19:L26" si="4">ROUND(IF(COUNTIF(C19,"*住宅*")&gt;0,E$29*E19/E$32,0),2)</f>
        <v>0</v>
      </c>
      <c r="M19" s="1316">
        <f>K19+L19</f>
        <v>0</v>
      </c>
      <c r="N19" s="1860"/>
      <c r="O19" s="1861"/>
      <c r="P19" s="1316">
        <f>N19+O19</f>
        <v>0</v>
      </c>
      <c r="R19" s="1161">
        <f t="shared" ref="R19:S26" si="5">D19+H19</f>
        <v>15462.6</v>
      </c>
      <c r="S19" s="1162">
        <f t="shared" si="5"/>
        <v>8640.14</v>
      </c>
    </row>
    <row r="20" spans="1:19" ht="14.4">
      <c r="A20" s="1862"/>
      <c r="B20" s="50" t="s">
        <v>1839</v>
      </c>
      <c r="C20" s="1859"/>
      <c r="D20" s="48">
        <f t="shared" ref="D20:D26" si="6">ROUND($D$3*E20/$E$3,2)</f>
        <v>0</v>
      </c>
      <c r="E20" s="56">
        <f t="shared" si="1"/>
        <v>0</v>
      </c>
      <c r="F20" s="57"/>
      <c r="G20" s="58"/>
      <c r="H20" s="683">
        <f t="shared" ref="H20:H26" si="7">ROUND($D$3*I20/$E$3,2)</f>
        <v>0</v>
      </c>
      <c r="I20" s="51">
        <f t="shared" si="2"/>
        <v>0</v>
      </c>
      <c r="J20" s="2887"/>
      <c r="K20" s="1304">
        <f t="shared" si="3"/>
        <v>0</v>
      </c>
      <c r="L20" s="1161">
        <f t="shared" si="4"/>
        <v>0</v>
      </c>
      <c r="M20" s="1316">
        <f t="shared" ref="M20:M26" si="8">K20+L20</f>
        <v>0</v>
      </c>
      <c r="N20" s="1860"/>
      <c r="O20" s="1861"/>
      <c r="P20" s="1316">
        <f t="shared" ref="P20:P26" si="9">N20+O20</f>
        <v>0</v>
      </c>
      <c r="R20" s="1161">
        <f t="shared" si="5"/>
        <v>0</v>
      </c>
      <c r="S20" s="1162">
        <f t="shared" si="5"/>
        <v>0</v>
      </c>
    </row>
    <row r="21" spans="1:19" ht="14.4">
      <c r="A21" s="1862"/>
      <c r="B21" s="50" t="s">
        <v>1839</v>
      </c>
      <c r="C21" s="1859"/>
      <c r="D21" s="48">
        <f t="shared" si="6"/>
        <v>0</v>
      </c>
      <c r="E21" s="56">
        <f t="shared" si="1"/>
        <v>0</v>
      </c>
      <c r="F21" s="57"/>
      <c r="G21" s="58"/>
      <c r="H21" s="683">
        <f t="shared" si="7"/>
        <v>0</v>
      </c>
      <c r="I21" s="51">
        <f t="shared" si="2"/>
        <v>0</v>
      </c>
      <c r="J21" s="2887"/>
      <c r="K21" s="1304">
        <f t="shared" si="3"/>
        <v>0</v>
      </c>
      <c r="L21" s="1161">
        <f t="shared" si="4"/>
        <v>0</v>
      </c>
      <c r="M21" s="1316">
        <f t="shared" si="8"/>
        <v>0</v>
      </c>
      <c r="N21" s="1860"/>
      <c r="O21" s="1861"/>
      <c r="P21" s="1316">
        <f t="shared" si="9"/>
        <v>0</v>
      </c>
      <c r="R21" s="1161">
        <f t="shared" si="5"/>
        <v>0</v>
      </c>
      <c r="S21" s="1162">
        <f t="shared" si="5"/>
        <v>0</v>
      </c>
    </row>
    <row r="22" spans="1:19" ht="14.4">
      <c r="A22" s="1862"/>
      <c r="B22" s="50" t="s">
        <v>1839</v>
      </c>
      <c r="C22" s="60"/>
      <c r="D22" s="48">
        <f t="shared" si="6"/>
        <v>0</v>
      </c>
      <c r="E22" s="56">
        <f t="shared" si="1"/>
        <v>0</v>
      </c>
      <c r="F22" s="61"/>
      <c r="G22" s="62"/>
      <c r="H22" s="683">
        <f t="shared" si="7"/>
        <v>0</v>
      </c>
      <c r="I22" s="51">
        <f t="shared" si="2"/>
        <v>0</v>
      </c>
      <c r="J22" s="2887"/>
      <c r="K22" s="1304">
        <f t="shared" si="3"/>
        <v>0</v>
      </c>
      <c r="L22" s="1161">
        <f t="shared" si="4"/>
        <v>0</v>
      </c>
      <c r="M22" s="1316">
        <f t="shared" si="8"/>
        <v>0</v>
      </c>
      <c r="N22" s="1860"/>
      <c r="O22" s="1861"/>
      <c r="P22" s="1316">
        <f t="shared" si="9"/>
        <v>0</v>
      </c>
      <c r="R22" s="1161">
        <f t="shared" si="5"/>
        <v>0</v>
      </c>
      <c r="S22" s="1162">
        <f t="shared" si="5"/>
        <v>0</v>
      </c>
    </row>
    <row r="23" spans="1:19" ht="14.4">
      <c r="A23" s="1862"/>
      <c r="B23" s="50" t="s">
        <v>1839</v>
      </c>
      <c r="C23" s="60"/>
      <c r="D23" s="48">
        <f>ROUND($D$3*E23/$E$3,2)</f>
        <v>0</v>
      </c>
      <c r="E23" s="56">
        <f>SUM(F23:G23)</f>
        <v>0</v>
      </c>
      <c r="F23" s="61"/>
      <c r="G23" s="62"/>
      <c r="H23" s="683">
        <f>ROUND($D$3*I23/$E$3,2)</f>
        <v>0</v>
      </c>
      <c r="I23" s="51">
        <f t="shared" si="2"/>
        <v>0</v>
      </c>
      <c r="J23" s="2887"/>
      <c r="K23" s="1304">
        <f t="shared" si="3"/>
        <v>0</v>
      </c>
      <c r="L23" s="1161">
        <f t="shared" si="4"/>
        <v>0</v>
      </c>
      <c r="M23" s="1316">
        <f t="shared" si="8"/>
        <v>0</v>
      </c>
      <c r="N23" s="1860"/>
      <c r="O23" s="1861"/>
      <c r="P23" s="1316">
        <f t="shared" si="9"/>
        <v>0</v>
      </c>
      <c r="R23" s="1161">
        <f t="shared" si="5"/>
        <v>0</v>
      </c>
      <c r="S23" s="1162">
        <f t="shared" si="5"/>
        <v>0</v>
      </c>
    </row>
    <row r="24" spans="1:19" ht="14.4">
      <c r="A24" s="1862"/>
      <c r="B24" s="50" t="s">
        <v>1839</v>
      </c>
      <c r="C24" s="60"/>
      <c r="D24" s="48">
        <f>ROUND($D$3*E24/$E$3,2)</f>
        <v>0</v>
      </c>
      <c r="E24" s="56">
        <f>SUM(F24:G24)</f>
        <v>0</v>
      </c>
      <c r="F24" s="61"/>
      <c r="G24" s="62"/>
      <c r="H24" s="683">
        <f>ROUND($D$3*I24/$E$3,2)</f>
        <v>0</v>
      </c>
      <c r="I24" s="51">
        <f t="shared" si="2"/>
        <v>0</v>
      </c>
      <c r="J24" s="2887"/>
      <c r="K24" s="1304">
        <f t="shared" si="3"/>
        <v>0</v>
      </c>
      <c r="L24" s="1161">
        <f t="shared" si="4"/>
        <v>0</v>
      </c>
      <c r="M24" s="1316">
        <f t="shared" si="8"/>
        <v>0</v>
      </c>
      <c r="N24" s="1860"/>
      <c r="O24" s="1861"/>
      <c r="P24" s="1316">
        <f t="shared" si="9"/>
        <v>0</v>
      </c>
      <c r="R24" s="1161">
        <f t="shared" si="5"/>
        <v>0</v>
      </c>
      <c r="S24" s="1162">
        <f t="shared" si="5"/>
        <v>0</v>
      </c>
    </row>
    <row r="25" spans="1:19" ht="14.4">
      <c r="A25" s="1862"/>
      <c r="B25" s="50" t="s">
        <v>1839</v>
      </c>
      <c r="C25" s="60"/>
      <c r="D25" s="48">
        <f t="shared" si="6"/>
        <v>0</v>
      </c>
      <c r="E25" s="56">
        <f t="shared" si="1"/>
        <v>0</v>
      </c>
      <c r="F25" s="61"/>
      <c r="G25" s="62"/>
      <c r="H25" s="47">
        <f t="shared" si="7"/>
        <v>0</v>
      </c>
      <c r="I25" s="51">
        <f t="shared" si="2"/>
        <v>0</v>
      </c>
      <c r="J25" s="2887"/>
      <c r="K25" s="1304">
        <f t="shared" si="3"/>
        <v>0</v>
      </c>
      <c r="L25" s="1161">
        <f t="shared" si="4"/>
        <v>0</v>
      </c>
      <c r="M25" s="1316">
        <f t="shared" si="8"/>
        <v>0</v>
      </c>
      <c r="N25" s="1860"/>
      <c r="O25" s="1861"/>
      <c r="P25" s="1316">
        <f t="shared" si="9"/>
        <v>0</v>
      </c>
      <c r="R25" s="1161">
        <f t="shared" si="5"/>
        <v>0</v>
      </c>
      <c r="S25" s="1162">
        <f t="shared" si="5"/>
        <v>0</v>
      </c>
    </row>
    <row r="26" spans="1:19" ht="14.4">
      <c r="A26" s="1862"/>
      <c r="B26" s="50" t="s">
        <v>1839</v>
      </c>
      <c r="C26" s="63"/>
      <c r="D26" s="48">
        <f t="shared" si="6"/>
        <v>0</v>
      </c>
      <c r="E26" s="56">
        <f t="shared" si="1"/>
        <v>0</v>
      </c>
      <c r="F26" s="61"/>
      <c r="G26" s="62"/>
      <c r="H26" s="47">
        <f t="shared" si="7"/>
        <v>0</v>
      </c>
      <c r="I26" s="51">
        <f t="shared" si="2"/>
        <v>0</v>
      </c>
      <c r="J26" s="2887"/>
      <c r="K26" s="1311">
        <f t="shared" si="3"/>
        <v>0</v>
      </c>
      <c r="L26" s="1312">
        <f t="shared" si="4"/>
        <v>0</v>
      </c>
      <c r="M26" s="67">
        <f t="shared" si="8"/>
        <v>0</v>
      </c>
      <c r="N26" s="1863"/>
      <c r="O26" s="1864"/>
      <c r="P26" s="67">
        <f t="shared" si="9"/>
        <v>0</v>
      </c>
      <c r="R26" s="1161">
        <f t="shared" si="5"/>
        <v>0</v>
      </c>
      <c r="S26" s="1162">
        <f t="shared" si="5"/>
        <v>0</v>
      </c>
    </row>
    <row r="27" spans="1:19" ht="15" thickBot="1">
      <c r="A27" s="1862"/>
      <c r="B27" s="48"/>
      <c r="C27" s="1865" t="s">
        <v>1840</v>
      </c>
      <c r="D27" s="1306">
        <f>SUM(D19:D26)</f>
        <v>15462.6</v>
      </c>
      <c r="E27" s="1307">
        <f>IF(SUM(E19:E26)='数据-基础表'!BA5,SUM(E19:E26),IF(F27="地上面积有误","面积有误","地下面积有误"))</f>
        <v>8640.14</v>
      </c>
      <c r="F27" s="1306">
        <f>IF(SUM(F19:F26)=E8,SUM(F19:F26),"地上面积有误")</f>
        <v>8640.14</v>
      </c>
      <c r="G27" s="1308">
        <f>SUM(G19:G26)</f>
        <v>0</v>
      </c>
      <c r="H27" s="1309">
        <f>SUM(H19:H26)</f>
        <v>0</v>
      </c>
      <c r="I27" s="1310">
        <f>SUM(I19:I26)</f>
        <v>0</v>
      </c>
      <c r="J27" s="2887"/>
      <c r="K27" s="1313">
        <f>SUM(K19:K26)</f>
        <v>0</v>
      </c>
      <c r="L27" s="1314">
        <f>SUM(L19:L26)</f>
        <v>0</v>
      </c>
      <c r="M27" s="1317">
        <f>SUM(M19:M26)</f>
        <v>0</v>
      </c>
      <c r="N27" s="1313">
        <f t="shared" ref="N27:O27" si="10">SUM(N19:N26)</f>
        <v>0</v>
      </c>
      <c r="O27" s="1314">
        <f t="shared" si="10"/>
        <v>0</v>
      </c>
      <c r="P27" s="1315">
        <f>SUM(P19:P26)</f>
        <v>0</v>
      </c>
      <c r="R27" s="1163">
        <f>IF(SUM(R19:R26)=$D$3,SUM(R19:R26),SUM(R19:R26)&amp;"误差"&amp;ROUND(SUM(R19:R26)-$D$3,2))</f>
        <v>15462.6</v>
      </c>
      <c r="S27" s="1161">
        <f>IF(SUM(S19:S26)=$E$3,SUM(S19:S26),SUM(S19:S26)&amp;"误差"&amp;ROUND(SUM(S19:S26)-E3,2))</f>
        <v>8640.14</v>
      </c>
    </row>
    <row r="28" spans="1:19" ht="14.4">
      <c r="A28" s="1862"/>
      <c r="B28" s="50" t="s">
        <v>1841</v>
      </c>
      <c r="C28" s="1173" t="s">
        <v>1842</v>
      </c>
      <c r="D28" s="48">
        <f>ROUND($D$3*E28/$E$3,2)</f>
        <v>0</v>
      </c>
      <c r="E28" s="56">
        <f>SUM(F28:G28)</f>
        <v>0</v>
      </c>
      <c r="F28" s="64">
        <f>'数据-基础表'!BQ5+'数据-基础表'!BS5</f>
        <v>0</v>
      </c>
      <c r="G28" s="65">
        <f>'数据-基础表'!BR5+'数据-基础表'!BT5</f>
        <v>0</v>
      </c>
      <c r="H28" s="2887"/>
      <c r="I28" s="2887"/>
      <c r="J28" s="2887"/>
      <c r="K28" s="2887"/>
      <c r="L28" s="2887"/>
      <c r="M28" s="2887"/>
      <c r="N28" s="2887"/>
      <c r="O28" s="2887"/>
      <c r="P28" s="2887"/>
    </row>
    <row r="29" spans="1:19" ht="14.4">
      <c r="A29" s="1862"/>
      <c r="B29" s="50" t="s">
        <v>1841</v>
      </c>
      <c r="C29" s="1866" t="s">
        <v>1843</v>
      </c>
      <c r="D29" s="48">
        <f>ROUND($D$3*E29/$E$3,2)</f>
        <v>0</v>
      </c>
      <c r="E29" s="56">
        <f>SUM(F29:G29)</f>
        <v>0</v>
      </c>
      <c r="F29" s="66">
        <f>'数据-基础表'!BM5+'数据-基础表'!BO5</f>
        <v>0</v>
      </c>
      <c r="G29" s="67">
        <f>'数据-基础表'!BN5+'数据-基础表'!BP5</f>
        <v>0</v>
      </c>
      <c r="H29" s="2887"/>
      <c r="I29" s="2887"/>
      <c r="J29" s="2887"/>
      <c r="K29" s="2887"/>
      <c r="L29" s="2887"/>
      <c r="M29" s="2887"/>
      <c r="N29" s="2887"/>
      <c r="O29" s="2887"/>
      <c r="P29" s="2887"/>
    </row>
    <row r="30" spans="1:19" ht="14.4">
      <c r="A30" s="1862"/>
      <c r="B30" s="50"/>
      <c r="C30" s="1867" t="s">
        <v>1840</v>
      </c>
      <c r="D30" s="1306">
        <f>SUM(D28:D29)</f>
        <v>0</v>
      </c>
      <c r="E30" s="1306">
        <f>SUM(E28:E29)</f>
        <v>0</v>
      </c>
      <c r="F30" s="1306">
        <f>SUM(F28:F29)</f>
        <v>0</v>
      </c>
      <c r="G30" s="1308">
        <f>SUM(G28:G29)</f>
        <v>0</v>
      </c>
      <c r="H30" s="2887"/>
      <c r="I30" s="2887"/>
      <c r="J30" s="2887"/>
      <c r="K30" s="2887"/>
      <c r="L30" s="2887"/>
      <c r="M30" s="2887"/>
      <c r="N30" s="2887"/>
      <c r="O30" s="2887"/>
      <c r="P30" s="2887"/>
    </row>
    <row r="31" spans="1:19" ht="15" thickBot="1">
      <c r="A31" s="1868"/>
      <c r="B31" s="1869"/>
      <c r="C31" s="948" t="s">
        <v>1844</v>
      </c>
      <c r="D31" s="689">
        <f>D27+D30</f>
        <v>15462.6</v>
      </c>
      <c r="E31" s="689">
        <f>E27+E30</f>
        <v>8640.14</v>
      </c>
      <c r="F31" s="690">
        <f>F27+F30</f>
        <v>8640.14</v>
      </c>
      <c r="G31" s="691">
        <f>G27+G30</f>
        <v>0</v>
      </c>
      <c r="H31" s="2887"/>
      <c r="I31" s="2887"/>
      <c r="J31" s="2887"/>
      <c r="K31" s="2887"/>
      <c r="L31" s="2887"/>
      <c r="M31" s="2887"/>
      <c r="N31" s="2887"/>
      <c r="O31" s="2887"/>
      <c r="P31" s="2887"/>
    </row>
    <row r="32" spans="1:19" ht="14.4">
      <c r="A32" s="1834"/>
      <c r="B32" s="1834" t="s">
        <v>1845</v>
      </c>
      <c r="C32" s="1834"/>
      <c r="D32" s="1834"/>
      <c r="E32" s="1188">
        <f>SUMIF(C19:C26,"*住宅*",E19:E26)</f>
        <v>0</v>
      </c>
      <c r="F32" s="1834"/>
      <c r="G32" s="1834"/>
      <c r="H32" s="2887"/>
      <c r="I32" s="2887"/>
      <c r="J32" s="2887"/>
      <c r="K32" s="2887"/>
      <c r="L32" s="2887"/>
      <c r="M32" s="2887"/>
      <c r="N32" s="2887"/>
      <c r="O32" s="2887"/>
      <c r="P32" s="2887"/>
    </row>
    <row r="33" spans="4:4">
      <c r="D33" s="18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K27" sqref="K27"/>
    </sheetView>
  </sheetViews>
  <sheetFormatPr defaultColWidth="13.77734375" defaultRowHeight="13.2"/>
  <cols>
    <col min="1" max="1" width="20.88671875" style="1937" customWidth="1"/>
    <col min="2" max="2" width="12" style="1874" customWidth="1"/>
    <col min="3" max="3" width="12.77734375" style="1874" customWidth="1"/>
    <col min="4" max="4" width="9.109375" style="1938" customWidth="1"/>
    <col min="5" max="5" width="15" style="1874" bestFit="1" customWidth="1"/>
    <col min="6" max="10" width="8.88671875" style="1874" customWidth="1"/>
    <col min="11" max="12" width="12.33203125" style="1792" customWidth="1"/>
    <col min="13" max="13" width="8.6640625" style="1874" customWidth="1"/>
    <col min="14" max="14" width="11.88671875" style="1874" customWidth="1"/>
    <col min="15" max="15" width="8.44140625" style="1874" customWidth="1"/>
    <col min="16" max="17" width="10.88671875" style="1874" customWidth="1"/>
    <col min="18" max="19" width="12.44140625" style="1874" customWidth="1"/>
    <col min="20" max="20" width="12.109375" style="1874" customWidth="1"/>
    <col min="21" max="21" width="7.44140625" style="1874" customWidth="1"/>
    <col min="22" max="22" width="6.33203125" style="1874" customWidth="1"/>
    <col min="23" max="30" width="6.77734375" style="1874" customWidth="1"/>
    <col min="31" max="31" width="8" style="1874" customWidth="1"/>
    <col min="32" max="34" width="7.21875" style="1874" customWidth="1"/>
    <col min="35" max="39" width="8" style="1874" customWidth="1"/>
    <col min="40" max="40" width="13.77734375" style="1873"/>
    <col min="41" max="41" width="11.6640625" style="1873" customWidth="1"/>
    <col min="42" max="42" width="9.77734375" style="1873" customWidth="1"/>
    <col min="43" max="67" width="13.77734375" style="1873"/>
    <col min="68" max="16384" width="13.77734375" style="1874"/>
  </cols>
  <sheetData>
    <row r="1" spans="1:67" ht="18" thickBot="1">
      <c r="A1" s="1871" t="s">
        <v>1846</v>
      </c>
      <c r="B1" s="692"/>
      <c r="C1" s="1357"/>
      <c r="D1" s="1872"/>
      <c r="E1" s="1357"/>
      <c r="F1" s="1357"/>
      <c r="G1" s="1357"/>
      <c r="H1" s="1357"/>
      <c r="I1" s="1357"/>
      <c r="J1" s="1357"/>
      <c r="K1" s="168"/>
      <c r="L1" s="168"/>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7"/>
      <c r="AM1" s="1357"/>
      <c r="AN1" s="2900"/>
      <c r="AO1" s="2900"/>
      <c r="AP1" s="2900"/>
      <c r="AQ1" s="2900"/>
      <c r="AR1" s="2900"/>
    </row>
    <row r="2" spans="1:67" s="1750" customFormat="1" ht="15" thickBot="1">
      <c r="A2" s="1875" t="s">
        <v>1847</v>
      </c>
      <c r="B2" s="1180">
        <f>项目基本情况!D3</f>
        <v>44063</v>
      </c>
      <c r="C2" s="1876"/>
      <c r="D2" s="1877"/>
      <c r="E2" s="1876"/>
      <c r="F2" s="1876"/>
      <c r="G2" s="1876"/>
      <c r="H2" s="1876"/>
      <c r="I2" s="1876"/>
      <c r="J2" s="1876"/>
      <c r="K2" s="1334"/>
      <c r="L2" s="1334"/>
      <c r="M2" s="1876"/>
      <c r="N2" s="1876"/>
      <c r="O2" s="1876"/>
      <c r="P2" s="1876"/>
      <c r="Q2" s="1876"/>
      <c r="R2" s="1876"/>
      <c r="S2" s="1876"/>
      <c r="T2" s="1876"/>
      <c r="U2" s="1876"/>
      <c r="V2" s="1876"/>
      <c r="W2" s="1876"/>
      <c r="X2" s="1876"/>
      <c r="Y2" s="1876"/>
      <c r="Z2" s="1876"/>
      <c r="AA2" s="1876"/>
      <c r="AB2" s="1876"/>
      <c r="AC2" s="1876"/>
      <c r="AD2" s="1876"/>
      <c r="AE2" s="1876"/>
      <c r="AF2" s="1876"/>
      <c r="AG2" s="1876"/>
      <c r="AH2" s="1876"/>
      <c r="AI2" s="1876"/>
      <c r="AJ2" s="1876"/>
      <c r="AK2" s="1876"/>
      <c r="AL2" s="1876"/>
      <c r="AM2" s="1876"/>
      <c r="AN2" s="2902"/>
      <c r="AO2" s="2902"/>
      <c r="AP2" s="2902"/>
      <c r="AQ2" s="2902"/>
      <c r="AR2" s="2902"/>
      <c r="AS2" s="1878"/>
      <c r="AT2" s="1878"/>
      <c r="AU2" s="1878"/>
      <c r="AV2" s="1878"/>
      <c r="AW2" s="1878"/>
      <c r="AX2" s="1878"/>
      <c r="AY2" s="1878"/>
      <c r="AZ2" s="1878"/>
      <c r="BA2" s="1878"/>
      <c r="BB2" s="1878"/>
      <c r="BC2" s="1878"/>
      <c r="BD2" s="1878"/>
      <c r="BE2" s="1878"/>
      <c r="BF2" s="1878"/>
      <c r="BG2" s="1878"/>
      <c r="BH2" s="1878"/>
      <c r="BI2" s="1878"/>
      <c r="BJ2" s="1878"/>
      <c r="BK2" s="1878"/>
      <c r="BL2" s="1878"/>
      <c r="BM2" s="1878"/>
      <c r="BN2" s="1878"/>
      <c r="BO2" s="1878"/>
    </row>
    <row r="3" spans="1:67" s="1750" customFormat="1" ht="14.4" thickBot="1">
      <c r="A3" s="1748"/>
      <c r="B3" s="1879"/>
      <c r="C3" s="1876"/>
      <c r="D3" s="1877"/>
      <c r="E3" s="1876"/>
      <c r="F3" s="1876"/>
      <c r="G3" s="1876"/>
      <c r="H3" s="1876"/>
      <c r="I3" s="1876"/>
      <c r="J3" s="1876"/>
      <c r="K3" s="1334"/>
      <c r="L3" s="1334"/>
      <c r="M3" s="1876"/>
      <c r="N3" s="1876"/>
      <c r="O3" s="1876"/>
      <c r="P3" s="1876"/>
      <c r="Q3" s="1876"/>
      <c r="R3" s="1876"/>
      <c r="S3" s="1876"/>
      <c r="T3" s="1876"/>
      <c r="U3" s="1876"/>
      <c r="V3" s="1876"/>
      <c r="W3" s="1876"/>
      <c r="X3" s="1876"/>
      <c r="Y3" s="1876"/>
      <c r="Z3" s="1876"/>
      <c r="AA3" s="1876"/>
      <c r="AB3" s="1876"/>
      <c r="AC3" s="1876"/>
      <c r="AD3" s="1876"/>
      <c r="AE3" s="1876"/>
      <c r="AF3" s="1876"/>
      <c r="AG3" s="1876"/>
      <c r="AH3" s="1876"/>
      <c r="AI3" s="1876"/>
      <c r="AJ3" s="1876"/>
      <c r="AK3" s="1876"/>
      <c r="AL3" s="1876"/>
      <c r="AM3" s="1876"/>
      <c r="AN3" s="2902"/>
      <c r="AO3" s="2902"/>
      <c r="AP3" s="2902"/>
      <c r="AQ3" s="2902"/>
      <c r="AR3" s="2902"/>
      <c r="AS3" s="1878"/>
      <c r="AT3" s="1878"/>
      <c r="AU3" s="1878"/>
      <c r="AV3" s="1878"/>
      <c r="AW3" s="1878"/>
      <c r="AX3" s="1878"/>
      <c r="AY3" s="1878"/>
      <c r="AZ3" s="1878"/>
      <c r="BA3" s="1878"/>
      <c r="BB3" s="1878"/>
      <c r="BC3" s="1878"/>
      <c r="BD3" s="1878"/>
      <c r="BE3" s="1878"/>
      <c r="BF3" s="1878"/>
      <c r="BG3" s="1878"/>
      <c r="BH3" s="1878"/>
      <c r="BI3" s="1878"/>
      <c r="BJ3" s="1878"/>
      <c r="BK3" s="1878"/>
      <c r="BL3" s="1878"/>
      <c r="BM3" s="1878"/>
      <c r="BN3" s="1878"/>
      <c r="BO3" s="1878"/>
    </row>
    <row r="4" spans="1:67" s="1750" customFormat="1" ht="15" thickBot="1">
      <c r="A4" s="68" t="s">
        <v>1848</v>
      </c>
      <c r="B4" s="1880"/>
      <c r="C4" s="1881"/>
      <c r="D4" s="1882"/>
      <c r="E4" s="1881" t="s">
        <v>1849</v>
      </c>
      <c r="F4" s="1881"/>
      <c r="G4" s="1881"/>
      <c r="H4" s="1881"/>
      <c r="I4" s="1881"/>
      <c r="J4" s="1883"/>
      <c r="K4" s="1884"/>
      <c r="L4" s="1885"/>
      <c r="M4" s="1881"/>
      <c r="N4" s="1881" t="s">
        <v>1850</v>
      </c>
      <c r="O4" s="1881"/>
      <c r="P4" s="1881"/>
      <c r="Q4" s="1881"/>
      <c r="R4" s="1881"/>
      <c r="S4" s="1883"/>
      <c r="T4" s="2886" t="str">
        <f>'数据-汇总表'!I17</f>
        <v>按面积比例</v>
      </c>
      <c r="U4" s="1880" t="s">
        <v>1851</v>
      </c>
      <c r="V4" s="1881"/>
      <c r="W4" s="1881"/>
      <c r="X4" s="1881"/>
      <c r="Y4" s="1883"/>
      <c r="Z4" s="1843" t="s">
        <v>1852</v>
      </c>
      <c r="AA4" s="1843"/>
      <c r="AB4" s="1843"/>
      <c r="AC4" s="1843"/>
      <c r="AD4" s="1843"/>
      <c r="AE4" s="1841" t="s">
        <v>1853</v>
      </c>
      <c r="AF4" s="1843"/>
      <c r="AG4" s="1886"/>
      <c r="AH4" s="1880"/>
      <c r="AI4" s="1881"/>
      <c r="AJ4" s="1881"/>
      <c r="AK4" s="1881"/>
      <c r="AL4" s="1881"/>
      <c r="AM4" s="1883"/>
      <c r="AN4" s="2902"/>
      <c r="AO4" s="2902"/>
      <c r="AP4" s="2902"/>
      <c r="AQ4" s="2902"/>
      <c r="AR4" s="2902"/>
      <c r="AS4" s="1878"/>
      <c r="AT4" s="1878"/>
      <c r="AU4" s="1878"/>
      <c r="AV4" s="1878"/>
      <c r="AW4" s="1878"/>
      <c r="AX4" s="1878"/>
      <c r="AY4" s="1878"/>
      <c r="AZ4" s="1878"/>
      <c r="BA4" s="1878"/>
      <c r="BB4" s="1878"/>
      <c r="BC4" s="1878"/>
      <c r="BD4" s="1878"/>
      <c r="BE4" s="1878"/>
      <c r="BF4" s="1878"/>
      <c r="BG4" s="1878"/>
      <c r="BH4" s="1878"/>
      <c r="BI4" s="1878"/>
      <c r="BJ4" s="1878"/>
      <c r="BK4" s="1878"/>
      <c r="BL4" s="1878"/>
      <c r="BM4" s="1878"/>
      <c r="BN4" s="1878"/>
      <c r="BO4" s="1878"/>
    </row>
    <row r="5" spans="1:67" s="1751" customFormat="1" ht="57.6">
      <c r="A5" s="1887" t="s">
        <v>1854</v>
      </c>
      <c r="B5" s="1888" t="s">
        <v>1855</v>
      </c>
      <c r="C5" s="1889" t="s">
        <v>1856</v>
      </c>
      <c r="D5" s="1890" t="s">
        <v>1857</v>
      </c>
      <c r="E5" s="1182" t="s">
        <v>1858</v>
      </c>
      <c r="F5" s="1891" t="s">
        <v>1859</v>
      </c>
      <c r="G5" s="1182" t="s">
        <v>1860</v>
      </c>
      <c r="H5" s="1182" t="s">
        <v>1861</v>
      </c>
      <c r="I5" s="1182" t="s">
        <v>1862</v>
      </c>
      <c r="J5" s="1892" t="s">
        <v>1863</v>
      </c>
      <c r="K5" s="1893" t="s">
        <v>1864</v>
      </c>
      <c r="L5" s="1894" t="s">
        <v>1865</v>
      </c>
      <c r="M5" s="1895" t="s">
        <v>1866</v>
      </c>
      <c r="N5" s="1896" t="s">
        <v>3159</v>
      </c>
      <c r="O5" s="1894" t="s">
        <v>1867</v>
      </c>
      <c r="P5" s="1897" t="s">
        <v>1868</v>
      </c>
      <c r="Q5" s="69" t="s">
        <v>1869</v>
      </c>
      <c r="R5" s="1898" t="s">
        <v>1870</v>
      </c>
      <c r="S5" s="1899" t="s">
        <v>1871</v>
      </c>
      <c r="T5" s="1900" t="s">
        <v>1872</v>
      </c>
      <c r="U5" s="1181" t="s">
        <v>1873</v>
      </c>
      <c r="V5" s="1182" t="s">
        <v>1874</v>
      </c>
      <c r="W5" s="1182" t="s">
        <v>1875</v>
      </c>
      <c r="X5" s="71"/>
      <c r="Y5" s="70" t="s">
        <v>1876</v>
      </c>
      <c r="Z5" s="1901" t="s">
        <v>1873</v>
      </c>
      <c r="AA5" s="1182" t="s">
        <v>1874</v>
      </c>
      <c r="AB5" s="1182" t="s">
        <v>1875</v>
      </c>
      <c r="AC5" s="71"/>
      <c r="AD5" s="71" t="s">
        <v>1876</v>
      </c>
      <c r="AE5" s="1181" t="s">
        <v>1877</v>
      </c>
      <c r="AF5" s="1182" t="s">
        <v>1878</v>
      </c>
      <c r="AG5" s="70" t="s">
        <v>1879</v>
      </c>
      <c r="AH5" s="1181" t="s">
        <v>1880</v>
      </c>
      <c r="AI5" s="1901" t="s">
        <v>1881</v>
      </c>
      <c r="AJ5" s="1901" t="s">
        <v>1882</v>
      </c>
      <c r="AK5" s="1182" t="s">
        <v>1883</v>
      </c>
      <c r="AL5" s="1182" t="s">
        <v>1884</v>
      </c>
      <c r="AM5" s="70" t="s">
        <v>1885</v>
      </c>
      <c r="AN5" s="1902" t="s">
        <v>1886</v>
      </c>
      <c r="AO5" s="1753" t="s">
        <v>1887</v>
      </c>
      <c r="AP5" s="1163" t="s">
        <v>1888</v>
      </c>
      <c r="AQ5" s="1903" t="s">
        <v>1889</v>
      </c>
      <c r="AR5" s="1903" t="s">
        <v>1890</v>
      </c>
      <c r="AS5" s="1763"/>
      <c r="AT5" s="1763"/>
      <c r="AU5" s="1763"/>
      <c r="AV5" s="1763"/>
      <c r="AW5" s="1763"/>
      <c r="AX5" s="1763"/>
      <c r="AY5" s="1763"/>
      <c r="AZ5" s="1763"/>
      <c r="BA5" s="1763"/>
      <c r="BB5" s="1763"/>
      <c r="BC5" s="1763"/>
      <c r="BD5" s="1763"/>
      <c r="BE5" s="1763"/>
      <c r="BF5" s="1763"/>
      <c r="BG5" s="1763"/>
      <c r="BH5" s="1763"/>
      <c r="BI5" s="1763"/>
      <c r="BJ5" s="1763"/>
      <c r="BK5" s="1763"/>
      <c r="BL5" s="1763"/>
      <c r="BM5" s="1763"/>
      <c r="BN5" s="1763"/>
      <c r="BO5" s="1763"/>
    </row>
    <row r="6" spans="1:67" s="1750" customFormat="1" ht="13.8">
      <c r="A6" s="1904" t="str">
        <f>'数据-汇总表'!C19</f>
        <v>工业用房</v>
      </c>
      <c r="B6" s="1905" t="str">
        <f>IF(A6=0,"","经营性")</f>
        <v>经营性</v>
      </c>
      <c r="C6" s="1906" t="s">
        <v>6</v>
      </c>
      <c r="D6" s="971">
        <f>SUMIF(项目基本情况!D$12:I$12,C6,项目基本情况!D$14:I$14)</f>
        <v>50</v>
      </c>
      <c r="E6" s="970">
        <f>IF(B6="","",SUMIF(项目基本情况!D$12:I$12,C6,项目基本情况!D$13:I$13))</f>
        <v>55359</v>
      </c>
      <c r="F6" s="72">
        <f>SUMIF(项目基本情况!D$12:I$12,C6,项目基本情况!D$15:I$15)</f>
        <v>30.94</v>
      </c>
      <c r="G6" s="73">
        <f>IF(ISERROR(ROUND(POWER(1+H6,D6-F6)*(POWER(1+H6,F6)-1)/(POWER(1+H6,D6)-1),3)),0,ROUND(POWER(1+H6,D6-F6)*(POWER(1+H6,F6)-1)/(POWER(1+H6,D6)-1),3))</f>
        <v>0.83599999999999997</v>
      </c>
      <c r="H6" s="745">
        <v>4.4999999999999998E-2</v>
      </c>
      <c r="I6" s="745">
        <v>0.05</v>
      </c>
      <c r="J6" s="74">
        <v>7.4999999999999997E-2</v>
      </c>
      <c r="K6" s="1165">
        <f>SUMIF('数据-汇总表'!C$19:C$33,A6,'数据-汇总表'!E$19:E$33)</f>
        <v>8640.14</v>
      </c>
      <c r="L6" s="746">
        <v>3500</v>
      </c>
      <c r="M6" s="75">
        <f t="shared" ref="M6:M14" si="0">ROUND(K6*L6/10000,0)</f>
        <v>3024</v>
      </c>
      <c r="N6" s="744">
        <f>(N24+N26)/2</f>
        <v>0.8</v>
      </c>
      <c r="O6" s="75" t="str">
        <f>IF($N$5="成新度","——",ROUND(M6*N6,0))</f>
        <v>——</v>
      </c>
      <c r="P6" s="76" t="str">
        <f>IF($N$5="成新度","——",M6-O6)</f>
        <v>——</v>
      </c>
      <c r="Q6" s="747">
        <v>0.1</v>
      </c>
      <c r="R6" s="77">
        <f ca="1">SUMIF('数据-汇总表'!C$19:C$33,A6,'数据-汇总表'!R$19:R$27)</f>
        <v>15462.6</v>
      </c>
      <c r="S6" s="54">
        <f>IF('数据-汇总表'!$I$17="按面积比例",SUMIF('数据-汇总表'!C$19:C$33,A6,'数据-汇总表'!K$19:K$33),SUMIF('数据-汇总表'!C$19:C$33,A6,'数据-汇总表'!N$19:N$33))</f>
        <v>0</v>
      </c>
      <c r="T6" s="1338">
        <f>ROUND($L$14*S6/10000,0)</f>
        <v>0</v>
      </c>
      <c r="U6" s="78">
        <v>2.8</v>
      </c>
      <c r="V6" s="79">
        <v>2.5000000000000001E-2</v>
      </c>
      <c r="W6" s="3113">
        <v>0.08</v>
      </c>
      <c r="X6" s="1175"/>
      <c r="Y6" s="80">
        <f>N6</f>
        <v>0.8</v>
      </c>
      <c r="Z6" s="81"/>
      <c r="AA6" s="74"/>
      <c r="AB6" s="74"/>
      <c r="AC6" s="1175"/>
      <c r="AD6" s="82"/>
      <c r="AE6" s="1176">
        <f ca="1">IF(AN6="",0,SUMIF(INDIRECT("'"&amp;AN6&amp;"'"&amp;"!E:E"),$AE$5,INDIRECT("'"&amp;AN6&amp;"'"&amp;"!F:F")))</f>
        <v>30.94</v>
      </c>
      <c r="AF6" s="1538"/>
      <c r="AG6" s="147">
        <f>IF(AF6="",0,AE6-AF6)</f>
        <v>0</v>
      </c>
      <c r="AH6" s="83"/>
      <c r="AI6" s="85">
        <v>365</v>
      </c>
      <c r="AJ6" s="86">
        <f>ROUND(369622.81*2/10000,1)</f>
        <v>73.900000000000006</v>
      </c>
      <c r="AK6" s="3114">
        <v>1.2E-2</v>
      </c>
      <c r="AL6" s="88">
        <v>1E-3</v>
      </c>
      <c r="AM6" s="89">
        <v>0.01</v>
      </c>
      <c r="AN6" s="1907" t="s">
        <v>3160</v>
      </c>
      <c r="AO6" s="55">
        <f ca="1">SUMIF(INDIRECT("'"&amp;AN6&amp;"'"&amp;"!A:A"),"总价",INDIRECT("'"&amp;AN6&amp;"'"&amp;"!B:B"))</f>
        <v>14063</v>
      </c>
      <c r="AP6" s="1908">
        <f>IF(C6="住宅",K6*L6,0)</f>
        <v>0</v>
      </c>
      <c r="AQ6" s="55">
        <f>ROUND($L$14*$N$14*S6/10000,0)</f>
        <v>0</v>
      </c>
      <c r="AR6" s="55">
        <f>ROUND($L$14*(1-$N$14)*S6/10000,0)</f>
        <v>0</v>
      </c>
      <c r="AS6" s="1878"/>
      <c r="AT6" s="1878"/>
      <c r="AU6" s="1878"/>
      <c r="AV6" s="1878"/>
      <c r="AW6" s="1878"/>
      <c r="AX6" s="1878"/>
      <c r="AY6" s="1878"/>
      <c r="AZ6" s="1878"/>
      <c r="BA6" s="1878"/>
      <c r="BB6" s="1878"/>
      <c r="BC6" s="1878"/>
      <c r="BD6" s="1878"/>
      <c r="BE6" s="1878"/>
      <c r="BF6" s="1878"/>
      <c r="BG6" s="1878"/>
      <c r="BH6" s="1878"/>
      <c r="BI6" s="1878"/>
      <c r="BJ6" s="1878"/>
      <c r="BK6" s="1878"/>
      <c r="BL6" s="1878"/>
      <c r="BM6" s="1878"/>
      <c r="BN6" s="1878"/>
      <c r="BO6" s="1878"/>
    </row>
    <row r="7" spans="1:67" s="1750" customFormat="1" ht="13.8">
      <c r="A7" s="1904">
        <f>'数据-汇总表'!C20</f>
        <v>0</v>
      </c>
      <c r="B7" s="1905" t="str">
        <f t="shared" ref="B7:B13" si="1">IF(A7=0,"","经营性")</f>
        <v/>
      </c>
      <c r="C7" s="1906"/>
      <c r="D7" s="971">
        <f>SUMIF(项目基本情况!D$12:I$12,C7,项目基本情况!D$14:I$14)</f>
        <v>0</v>
      </c>
      <c r="E7" s="97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45"/>
      <c r="I7" s="745"/>
      <c r="J7" s="74"/>
      <c r="K7" s="1165">
        <f>SUMIF('数据-汇总表'!C$19:C$33,A7,'数据-汇总表'!E$19:E$33)</f>
        <v>0</v>
      </c>
      <c r="L7" s="746"/>
      <c r="M7" s="75">
        <f t="shared" si="0"/>
        <v>0</v>
      </c>
      <c r="N7" s="744"/>
      <c r="O7" s="75" t="str">
        <f t="shared" ref="O7:O14" si="3">IF($N$5="成新度","——",ROUND(M7*N7,0))</f>
        <v>——</v>
      </c>
      <c r="P7" s="76" t="str">
        <f t="shared" ref="P7:P14" si="4">IF($N$5="成新度","——",M7-O7)</f>
        <v>——</v>
      </c>
      <c r="Q7" s="747"/>
      <c r="R7" s="77">
        <f ca="1">SUMIF('数据-汇总表'!C$19:C$33,A7,'数据-汇总表'!R$19:R$27)</f>
        <v>0</v>
      </c>
      <c r="S7" s="54">
        <f>IF('数据-汇总表'!$I$17="按面积比例",SUMIF('数据-汇总表'!C$19:C$33,A7,'数据-汇总表'!K$19:K$33),SUMIF('数据-汇总表'!C$19:C$33,A7,'数据-汇总表'!N$19:N$33))</f>
        <v>0</v>
      </c>
      <c r="T7" s="1338">
        <f t="shared" ref="T7:T13" si="5">ROUND($L$14*S7/10000,0)</f>
        <v>0</v>
      </c>
      <c r="U7" s="78"/>
      <c r="V7" s="79"/>
      <c r="W7" s="79"/>
      <c r="X7" s="1175"/>
      <c r="Y7" s="80"/>
      <c r="Z7" s="81"/>
      <c r="AA7" s="74"/>
      <c r="AB7" s="74"/>
      <c r="AC7" s="1175"/>
      <c r="AD7" s="82"/>
      <c r="AE7" s="1176">
        <f t="shared" ref="AE7:AE13" ca="1" si="6">IF(AN7="",0,SUMIF(INDIRECT("'"&amp;AN7&amp;"'"&amp;"!E:E"),$AE$5,INDIRECT("'"&amp;AN7&amp;"'"&amp;"!F:F")))</f>
        <v>0</v>
      </c>
      <c r="AF7" s="1538"/>
      <c r="AG7" s="147">
        <f t="shared" ref="AG7:AG13" si="7">IF(AF7="",0,AE7-AF7)</f>
        <v>0</v>
      </c>
      <c r="AH7" s="83"/>
      <c r="AI7" s="85"/>
      <c r="AJ7" s="86"/>
      <c r="AK7" s="87"/>
      <c r="AL7" s="88"/>
      <c r="AM7" s="89"/>
      <c r="AN7" s="1907"/>
      <c r="AO7" s="55" t="e">
        <f t="shared" ref="AO7:AO13" ca="1" si="8">SUMIF(INDIRECT("'"&amp;AN7&amp;"'"&amp;"!A:A"),"总价",INDIRECT("'"&amp;AN7&amp;"'"&amp;"!B:B"))</f>
        <v>#REF!</v>
      </c>
      <c r="AP7" s="1908">
        <f t="shared" ref="AP7:AP13" si="9">IF(C7="住宅",K7*L7,0)</f>
        <v>0</v>
      </c>
      <c r="AQ7" s="55">
        <f t="shared" ref="AQ7:AQ13" si="10">ROUND($L$14*$N$14*S7/10000,0)</f>
        <v>0</v>
      </c>
      <c r="AR7" s="55">
        <f t="shared" ref="AR7:AR13" si="11">ROUND($L$14*(1-$N$14)*S7/10000,0)</f>
        <v>0</v>
      </c>
      <c r="AS7" s="1878"/>
      <c r="AT7" s="1878"/>
      <c r="AU7" s="1878"/>
      <c r="AV7" s="1878"/>
      <c r="AW7" s="1878"/>
      <c r="AX7" s="1878"/>
      <c r="AY7" s="1878"/>
      <c r="AZ7" s="1878"/>
      <c r="BA7" s="1878"/>
      <c r="BB7" s="1878"/>
      <c r="BC7" s="1878"/>
      <c r="BD7" s="1878"/>
      <c r="BE7" s="1878"/>
      <c r="BF7" s="1878"/>
      <c r="BG7" s="1878"/>
      <c r="BH7" s="1878"/>
      <c r="BI7" s="1878"/>
      <c r="BJ7" s="1878"/>
      <c r="BK7" s="1878"/>
      <c r="BL7" s="1878"/>
      <c r="BM7" s="1878"/>
      <c r="BN7" s="1878"/>
      <c r="BO7" s="1878"/>
    </row>
    <row r="8" spans="1:67" s="1750" customFormat="1" ht="13.8">
      <c r="A8" s="1904">
        <f>'数据-汇总表'!C21</f>
        <v>0</v>
      </c>
      <c r="B8" s="1905" t="str">
        <f t="shared" si="1"/>
        <v/>
      </c>
      <c r="C8" s="1906"/>
      <c r="D8" s="971">
        <f>SUMIF(项目基本情况!D$12:I$12,C8,项目基本情况!D$14:I$14)</f>
        <v>0</v>
      </c>
      <c r="E8" s="970" t="str">
        <f>IF(B8="","",SUMIF(项目基本情况!D$12:I$12,C8,项目基本情况!D$13:I$13))</f>
        <v/>
      </c>
      <c r="F8" s="72">
        <f>SUMIF(项目基本情况!D$12:I$12,C8,项目基本情况!D$15:I$15)</f>
        <v>0</v>
      </c>
      <c r="G8" s="73">
        <f t="shared" si="2"/>
        <v>0</v>
      </c>
      <c r="H8" s="745"/>
      <c r="I8" s="745"/>
      <c r="J8" s="74"/>
      <c r="K8" s="1165">
        <f>SUMIF('数据-汇总表'!C$19:C$33,A8,'数据-汇总表'!E$19:E$33)</f>
        <v>0</v>
      </c>
      <c r="L8" s="746"/>
      <c r="M8" s="75">
        <f>ROUND(K8*L8/10000,0)</f>
        <v>0</v>
      </c>
      <c r="N8" s="744"/>
      <c r="O8" s="75" t="str">
        <f t="shared" si="3"/>
        <v>——</v>
      </c>
      <c r="P8" s="76" t="str">
        <f t="shared" si="4"/>
        <v>——</v>
      </c>
      <c r="Q8" s="747"/>
      <c r="R8" s="77">
        <f ca="1">SUMIF('数据-汇总表'!C$19:C$33,A8,'数据-汇总表'!R$19:R$27)</f>
        <v>0</v>
      </c>
      <c r="S8" s="54">
        <f>IF('数据-汇总表'!$I$17="按面积比例",SUMIF('数据-汇总表'!C$19:C$33,A8,'数据-汇总表'!K$19:K$33),SUMIF('数据-汇总表'!C$19:C$33,A8,'数据-汇总表'!N$19:N$33))</f>
        <v>0</v>
      </c>
      <c r="T8" s="1338">
        <f t="shared" si="5"/>
        <v>0</v>
      </c>
      <c r="U8" s="748"/>
      <c r="V8" s="749"/>
      <c r="W8" s="749"/>
      <c r="X8" s="1175"/>
      <c r="Y8" s="750"/>
      <c r="Z8" s="81"/>
      <c r="AA8" s="74"/>
      <c r="AB8" s="74"/>
      <c r="AC8" s="1175"/>
      <c r="AD8" s="82"/>
      <c r="AE8" s="1176">
        <f t="shared" ca="1" si="6"/>
        <v>0</v>
      </c>
      <c r="AF8" s="1538"/>
      <c r="AG8" s="147">
        <f t="shared" si="7"/>
        <v>0</v>
      </c>
      <c r="AH8" s="751"/>
      <c r="AI8" s="85"/>
      <c r="AJ8" s="86"/>
      <c r="AK8" s="752"/>
      <c r="AL8" s="753"/>
      <c r="AM8" s="754"/>
      <c r="AN8" s="1907"/>
      <c r="AO8" s="55" t="e">
        <f t="shared" ca="1" si="8"/>
        <v>#REF!</v>
      </c>
      <c r="AP8" s="1908">
        <f t="shared" si="9"/>
        <v>0</v>
      </c>
      <c r="AQ8" s="55">
        <f t="shared" si="10"/>
        <v>0</v>
      </c>
      <c r="AR8" s="55">
        <f t="shared" si="11"/>
        <v>0</v>
      </c>
      <c r="AS8" s="1878"/>
      <c r="AT8" s="1878"/>
      <c r="AU8" s="1878"/>
      <c r="AV8" s="1878"/>
      <c r="AW8" s="1878"/>
      <c r="AX8" s="1878"/>
      <c r="AY8" s="1878"/>
      <c r="AZ8" s="1878"/>
      <c r="BA8" s="1878"/>
      <c r="BB8" s="1878"/>
      <c r="BC8" s="1878"/>
      <c r="BD8" s="1878"/>
      <c r="BE8" s="1878"/>
      <c r="BF8" s="1878"/>
      <c r="BG8" s="1878"/>
      <c r="BH8" s="1878"/>
      <c r="BI8" s="1878"/>
      <c r="BJ8" s="1878"/>
      <c r="BK8" s="1878"/>
      <c r="BL8" s="1878"/>
      <c r="BM8" s="1878"/>
      <c r="BN8" s="1878"/>
      <c r="BO8" s="1878"/>
    </row>
    <row r="9" spans="1:67" s="1750" customFormat="1" ht="13.8">
      <c r="A9" s="1904">
        <f>'数据-汇总表'!C22</f>
        <v>0</v>
      </c>
      <c r="B9" s="1905" t="str">
        <f t="shared" si="1"/>
        <v/>
      </c>
      <c r="C9" s="1906"/>
      <c r="D9" s="971">
        <f>SUMIF(项目基本情况!D$12:I$12,C9,项目基本情况!D$14:I$14)</f>
        <v>0</v>
      </c>
      <c r="E9" s="970" t="str">
        <f>IF(B9="","",SUMIF(项目基本情况!D$12:I$12,C9,项目基本情况!D$13:I$13))</f>
        <v/>
      </c>
      <c r="F9" s="72">
        <f>SUMIF(项目基本情况!D$12:I$12,C9,项目基本情况!D$15:I$15)</f>
        <v>0</v>
      </c>
      <c r="G9" s="73">
        <f t="shared" si="2"/>
        <v>0</v>
      </c>
      <c r="H9" s="74"/>
      <c r="I9" s="74"/>
      <c r="J9" s="74"/>
      <c r="K9" s="1165">
        <f>SUMIF('数据-汇总表'!C$19:C$33,A9,'数据-汇总表'!E$19:E$33)</f>
        <v>0</v>
      </c>
      <c r="L9" s="746"/>
      <c r="M9" s="75">
        <f t="shared" si="0"/>
        <v>0</v>
      </c>
      <c r="N9" s="74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338">
        <f t="shared" si="5"/>
        <v>0</v>
      </c>
      <c r="U9" s="78"/>
      <c r="V9" s="79"/>
      <c r="W9" s="79"/>
      <c r="X9" s="1175"/>
      <c r="Y9" s="80"/>
      <c r="Z9" s="81"/>
      <c r="AA9" s="74"/>
      <c r="AB9" s="74"/>
      <c r="AC9" s="1175"/>
      <c r="AD9" s="82"/>
      <c r="AE9" s="1176">
        <f t="shared" ca="1" si="6"/>
        <v>0</v>
      </c>
      <c r="AF9" s="1538"/>
      <c r="AG9" s="147">
        <f t="shared" si="7"/>
        <v>0</v>
      </c>
      <c r="AH9" s="83"/>
      <c r="AI9" s="85"/>
      <c r="AJ9" s="86"/>
      <c r="AK9" s="87"/>
      <c r="AL9" s="88"/>
      <c r="AM9" s="89"/>
      <c r="AN9" s="1907"/>
      <c r="AO9" s="55" t="e">
        <f t="shared" ca="1" si="8"/>
        <v>#REF!</v>
      </c>
      <c r="AP9" s="1908">
        <f t="shared" si="9"/>
        <v>0</v>
      </c>
      <c r="AQ9" s="55">
        <f t="shared" si="10"/>
        <v>0</v>
      </c>
      <c r="AR9" s="55">
        <f t="shared" si="11"/>
        <v>0</v>
      </c>
      <c r="AS9" s="1878"/>
      <c r="AT9" s="1878"/>
      <c r="AU9" s="1878"/>
      <c r="AV9" s="1878"/>
      <c r="AW9" s="1878"/>
      <c r="AX9" s="1878"/>
      <c r="AY9" s="1878"/>
      <c r="AZ9" s="1878"/>
      <c r="BA9" s="1878"/>
      <c r="BB9" s="1878"/>
      <c r="BC9" s="1878"/>
      <c r="BD9" s="1878"/>
      <c r="BE9" s="1878"/>
      <c r="BF9" s="1878"/>
      <c r="BG9" s="1878"/>
      <c r="BH9" s="1878"/>
      <c r="BI9" s="1878"/>
      <c r="BJ9" s="1878"/>
      <c r="BK9" s="1878"/>
      <c r="BL9" s="1878"/>
      <c r="BM9" s="1878"/>
      <c r="BN9" s="1878"/>
      <c r="BO9" s="1878"/>
    </row>
    <row r="10" spans="1:67" s="1750" customFormat="1" ht="13.8">
      <c r="A10" s="1904">
        <f>'数据-汇总表'!C23</f>
        <v>0</v>
      </c>
      <c r="B10" s="1905" t="str">
        <f t="shared" si="1"/>
        <v/>
      </c>
      <c r="C10" s="1906"/>
      <c r="D10" s="971">
        <f>SUMIF(项目基本情况!D$12:I$12,C10,项目基本情况!D$14:I$14)</f>
        <v>0</v>
      </c>
      <c r="E10" s="970" t="str">
        <f>IF(B10="","",SUMIF(项目基本情况!D$12:I$12,C10,项目基本情况!D$13:I$13))</f>
        <v/>
      </c>
      <c r="F10" s="72">
        <f>SUMIF(项目基本情况!D$12:I$12,C10,项目基本情况!D$15:I$15)</f>
        <v>0</v>
      </c>
      <c r="G10" s="73">
        <f t="shared" si="2"/>
        <v>0</v>
      </c>
      <c r="H10" s="74"/>
      <c r="I10" s="74"/>
      <c r="J10" s="74"/>
      <c r="K10" s="1165">
        <f>SUMIF('数据-汇总表'!C$19:C$33,A10,'数据-汇总表'!E$19:E$33)</f>
        <v>0</v>
      </c>
      <c r="L10" s="746"/>
      <c r="M10" s="75">
        <f t="shared" si="0"/>
        <v>0</v>
      </c>
      <c r="N10" s="74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338">
        <f t="shared" si="5"/>
        <v>0</v>
      </c>
      <c r="U10" s="78"/>
      <c r="V10" s="79"/>
      <c r="W10" s="79"/>
      <c r="X10" s="1175"/>
      <c r="Y10" s="80"/>
      <c r="Z10" s="81"/>
      <c r="AA10" s="74"/>
      <c r="AB10" s="74"/>
      <c r="AC10" s="1175"/>
      <c r="AD10" s="82"/>
      <c r="AE10" s="1176">
        <f t="shared" ca="1" si="6"/>
        <v>0</v>
      </c>
      <c r="AF10" s="1538"/>
      <c r="AG10" s="147">
        <f t="shared" si="7"/>
        <v>0</v>
      </c>
      <c r="AH10" s="83"/>
      <c r="AI10" s="85"/>
      <c r="AJ10" s="86"/>
      <c r="AK10" s="87"/>
      <c r="AL10" s="88"/>
      <c r="AM10" s="89"/>
      <c r="AN10" s="1907"/>
      <c r="AO10" s="55" t="e">
        <f t="shared" ca="1" si="8"/>
        <v>#REF!</v>
      </c>
      <c r="AP10" s="1908">
        <f t="shared" si="9"/>
        <v>0</v>
      </c>
      <c r="AQ10" s="55">
        <f t="shared" si="10"/>
        <v>0</v>
      </c>
      <c r="AR10" s="55">
        <f t="shared" si="11"/>
        <v>0</v>
      </c>
      <c r="AS10" s="1878"/>
      <c r="AT10" s="1878"/>
      <c r="AU10" s="1878"/>
      <c r="AV10" s="1878"/>
      <c r="AW10" s="1878"/>
      <c r="AX10" s="1878"/>
      <c r="AY10" s="1878"/>
      <c r="AZ10" s="1878"/>
      <c r="BA10" s="1878"/>
      <c r="BB10" s="1878"/>
      <c r="BC10" s="1878"/>
      <c r="BD10" s="1878"/>
      <c r="BE10" s="1878"/>
      <c r="BF10" s="1878"/>
      <c r="BG10" s="1878"/>
      <c r="BH10" s="1878"/>
      <c r="BI10" s="1878"/>
      <c r="BJ10" s="1878"/>
      <c r="BK10" s="1878"/>
      <c r="BL10" s="1878"/>
      <c r="BM10" s="1878"/>
      <c r="BN10" s="1878"/>
      <c r="BO10" s="1878"/>
    </row>
    <row r="11" spans="1:67" s="1750" customFormat="1" ht="13.8">
      <c r="A11" s="1904">
        <f>'数据-汇总表'!C24</f>
        <v>0</v>
      </c>
      <c r="B11" s="1905" t="str">
        <f t="shared" si="1"/>
        <v/>
      </c>
      <c r="C11" s="1906"/>
      <c r="D11" s="971">
        <f>SUMIF(项目基本情况!D$12:I$12,C11,项目基本情况!D$14:I$14)</f>
        <v>0</v>
      </c>
      <c r="E11" s="970" t="str">
        <f>IF(B11="","",SUMIF(项目基本情况!D$12:I$12,C11,项目基本情况!D$13:I$13))</f>
        <v/>
      </c>
      <c r="F11" s="72">
        <f>SUMIF(项目基本情况!D$12:I$12,C11,项目基本情况!D$15:I$15)</f>
        <v>0</v>
      </c>
      <c r="G11" s="73">
        <f t="shared" si="2"/>
        <v>0</v>
      </c>
      <c r="H11" s="74"/>
      <c r="I11" s="74"/>
      <c r="J11" s="74"/>
      <c r="K11" s="116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338">
        <f t="shared" si="5"/>
        <v>0</v>
      </c>
      <c r="U11" s="83"/>
      <c r="V11" s="74"/>
      <c r="W11" s="74"/>
      <c r="X11" s="1175"/>
      <c r="Y11" s="80"/>
      <c r="Z11" s="93"/>
      <c r="AA11" s="74"/>
      <c r="AB11" s="74"/>
      <c r="AC11" s="1175"/>
      <c r="AD11" s="82"/>
      <c r="AE11" s="1176">
        <f t="shared" ca="1" si="6"/>
        <v>0</v>
      </c>
      <c r="AF11" s="1538"/>
      <c r="AG11" s="147">
        <f t="shared" si="7"/>
        <v>0</v>
      </c>
      <c r="AH11" s="83"/>
      <c r="AI11" s="85"/>
      <c r="AJ11" s="86"/>
      <c r="AK11" s="94"/>
      <c r="AL11" s="95"/>
      <c r="AM11" s="96"/>
      <c r="AN11" s="1907"/>
      <c r="AO11" s="55" t="e">
        <f t="shared" ca="1" si="8"/>
        <v>#REF!</v>
      </c>
      <c r="AP11" s="1908">
        <f t="shared" si="9"/>
        <v>0</v>
      </c>
      <c r="AQ11" s="55">
        <f t="shared" si="10"/>
        <v>0</v>
      </c>
      <c r="AR11" s="55">
        <f t="shared" si="11"/>
        <v>0</v>
      </c>
      <c r="AS11" s="1878"/>
      <c r="AT11" s="1878"/>
      <c r="AU11" s="1878"/>
      <c r="AV11" s="1878"/>
      <c r="AW11" s="1878"/>
      <c r="AX11" s="1878"/>
      <c r="AY11" s="1878"/>
      <c r="AZ11" s="1878"/>
      <c r="BA11" s="1878"/>
      <c r="BB11" s="1878"/>
      <c r="BC11" s="1878"/>
      <c r="BD11" s="1878"/>
      <c r="BE11" s="1878"/>
      <c r="BF11" s="1878"/>
      <c r="BG11" s="1878"/>
      <c r="BH11" s="1878"/>
      <c r="BI11" s="1878"/>
      <c r="BJ11" s="1878"/>
      <c r="BK11" s="1878"/>
      <c r="BL11" s="1878"/>
      <c r="BM11" s="1878"/>
      <c r="BN11" s="1878"/>
      <c r="BO11" s="1878"/>
    </row>
    <row r="12" spans="1:67" s="1750" customFormat="1" ht="13.8">
      <c r="A12" s="1904">
        <f>'数据-汇总表'!C25</f>
        <v>0</v>
      </c>
      <c r="B12" s="1905" t="str">
        <f t="shared" si="1"/>
        <v/>
      </c>
      <c r="C12" s="1906"/>
      <c r="D12" s="971">
        <f>SUMIF(项目基本情况!D$12:I$12,C12,项目基本情况!D$14:I$14)</f>
        <v>0</v>
      </c>
      <c r="E12" s="97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338">
        <f t="shared" si="5"/>
        <v>0</v>
      </c>
      <c r="U12" s="83"/>
      <c r="V12" s="74"/>
      <c r="W12" s="74"/>
      <c r="X12" s="1175"/>
      <c r="Y12" s="80"/>
      <c r="Z12" s="93"/>
      <c r="AA12" s="74"/>
      <c r="AB12" s="74"/>
      <c r="AC12" s="1175"/>
      <c r="AD12" s="82"/>
      <c r="AE12" s="1176">
        <f t="shared" ca="1" si="6"/>
        <v>0</v>
      </c>
      <c r="AF12" s="1538"/>
      <c r="AG12" s="147">
        <f t="shared" si="7"/>
        <v>0</v>
      </c>
      <c r="AH12" s="83"/>
      <c r="AI12" s="85"/>
      <c r="AJ12" s="86"/>
      <c r="AK12" s="94"/>
      <c r="AL12" s="95"/>
      <c r="AM12" s="96"/>
      <c r="AN12" s="1907"/>
      <c r="AO12" s="55" t="e">
        <f t="shared" ca="1" si="8"/>
        <v>#REF!</v>
      </c>
      <c r="AP12" s="1908">
        <f t="shared" si="9"/>
        <v>0</v>
      </c>
      <c r="AQ12" s="55">
        <f t="shared" si="10"/>
        <v>0</v>
      </c>
      <c r="AR12" s="55">
        <f t="shared" si="11"/>
        <v>0</v>
      </c>
      <c r="AS12" s="1878"/>
      <c r="AT12" s="1878"/>
      <c r="AU12" s="1878"/>
      <c r="AV12" s="1878"/>
      <c r="AW12" s="1878"/>
      <c r="AX12" s="1878"/>
      <c r="AY12" s="1878"/>
      <c r="AZ12" s="1878"/>
      <c r="BA12" s="1878"/>
      <c r="BB12" s="1878"/>
      <c r="BC12" s="1878"/>
      <c r="BD12" s="1878"/>
      <c r="BE12" s="1878"/>
      <c r="BF12" s="1878"/>
      <c r="BG12" s="1878"/>
      <c r="BH12" s="1878"/>
      <c r="BI12" s="1878"/>
      <c r="BJ12" s="1878"/>
      <c r="BK12" s="1878"/>
      <c r="BL12" s="1878"/>
      <c r="BM12" s="1878"/>
      <c r="BN12" s="1878"/>
      <c r="BO12" s="1878"/>
    </row>
    <row r="13" spans="1:67" s="1750" customFormat="1" ht="13.8">
      <c r="A13" s="1904">
        <f>'数据-汇总表'!C26</f>
        <v>0</v>
      </c>
      <c r="B13" s="1905" t="str">
        <f t="shared" si="1"/>
        <v/>
      </c>
      <c r="C13" s="1906"/>
      <c r="D13" s="971">
        <f>SUMIF(项目基本情况!D$12:I$12,C13,项目基本情况!D$14:I$14)</f>
        <v>0</v>
      </c>
      <c r="E13" s="97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338">
        <f t="shared" si="5"/>
        <v>0</v>
      </c>
      <c r="U13" s="78"/>
      <c r="V13" s="79"/>
      <c r="W13" s="79"/>
      <c r="X13" s="1175"/>
      <c r="Y13" s="80"/>
      <c r="Z13" s="81"/>
      <c r="AA13" s="74"/>
      <c r="AB13" s="74"/>
      <c r="AC13" s="1175"/>
      <c r="AD13" s="82"/>
      <c r="AE13" s="1176">
        <f t="shared" ca="1" si="6"/>
        <v>0</v>
      </c>
      <c r="AF13" s="1538"/>
      <c r="AG13" s="147">
        <f t="shared" si="7"/>
        <v>0</v>
      </c>
      <c r="AH13" s="83"/>
      <c r="AI13" s="85"/>
      <c r="AJ13" s="86"/>
      <c r="AK13" s="87"/>
      <c r="AL13" s="88"/>
      <c r="AM13" s="89"/>
      <c r="AN13" s="1907"/>
      <c r="AO13" s="55" t="e">
        <f t="shared" ca="1" si="8"/>
        <v>#REF!</v>
      </c>
      <c r="AP13" s="1908">
        <f t="shared" si="9"/>
        <v>0</v>
      </c>
      <c r="AQ13" s="55">
        <f t="shared" si="10"/>
        <v>0</v>
      </c>
      <c r="AR13" s="55">
        <f t="shared" si="11"/>
        <v>0</v>
      </c>
      <c r="AS13" s="1878"/>
      <c r="AT13" s="1878"/>
      <c r="AU13" s="1878"/>
      <c r="AV13" s="1878"/>
      <c r="AW13" s="1878"/>
      <c r="AX13" s="1878"/>
      <c r="AY13" s="1878"/>
      <c r="AZ13" s="1878"/>
      <c r="BA13" s="1878"/>
      <c r="BB13" s="1878"/>
      <c r="BC13" s="1878"/>
      <c r="BD13" s="1878"/>
      <c r="BE13" s="1878"/>
      <c r="BF13" s="1878"/>
      <c r="BG13" s="1878"/>
      <c r="BH13" s="1878"/>
      <c r="BI13" s="1878"/>
      <c r="BJ13" s="1878"/>
      <c r="BK13" s="1878"/>
      <c r="BL13" s="1878"/>
      <c r="BM13" s="1878"/>
      <c r="BN13" s="1878"/>
      <c r="BO13" s="1878"/>
    </row>
    <row r="14" spans="1:67" s="1750" customFormat="1" ht="14.4">
      <c r="A14" s="1909" t="s">
        <v>1891</v>
      </c>
      <c r="B14" s="1905" t="s">
        <v>1892</v>
      </c>
      <c r="C14" s="1910" t="s">
        <v>1891</v>
      </c>
      <c r="D14" s="971"/>
      <c r="E14" s="970"/>
      <c r="F14" s="72"/>
      <c r="G14" s="73"/>
      <c r="H14" s="1164"/>
      <c r="I14" s="1164"/>
      <c r="J14" s="1164"/>
      <c r="K14" s="1165">
        <f>SUMIF('数据-汇总表'!C$19:C$33,A14,'数据-汇总表'!E$19:E$33)</f>
        <v>0</v>
      </c>
      <c r="L14" s="91"/>
      <c r="M14" s="75">
        <f t="shared" si="0"/>
        <v>0</v>
      </c>
      <c r="N14" s="92"/>
      <c r="O14" s="75" t="str">
        <f t="shared" si="3"/>
        <v>——</v>
      </c>
      <c r="P14" s="76" t="str">
        <f t="shared" si="4"/>
        <v>——</v>
      </c>
      <c r="Q14" s="1168"/>
      <c r="R14" s="77"/>
      <c r="S14" s="54"/>
      <c r="T14" s="1338"/>
      <c r="U14" s="683"/>
      <c r="V14" s="1170"/>
      <c r="W14" s="1170"/>
      <c r="X14" s="1171"/>
      <c r="Y14" s="1172"/>
      <c r="Z14" s="1173"/>
      <c r="AA14" s="1174"/>
      <c r="AB14" s="1174"/>
      <c r="AC14" s="1175"/>
      <c r="AD14" s="1171"/>
      <c r="AE14" s="1176"/>
      <c r="AF14" s="55"/>
      <c r="AG14" s="147"/>
      <c r="AH14" s="1176"/>
      <c r="AI14" s="1547"/>
      <c r="AJ14" s="717"/>
      <c r="AK14" s="1177"/>
      <c r="AL14" s="1178"/>
      <c r="AM14" s="1179"/>
      <c r="AN14" s="2900"/>
      <c r="AO14" s="2902"/>
      <c r="AP14" s="2902"/>
      <c r="AQ14" s="2902"/>
      <c r="AR14" s="2902"/>
      <c r="AS14" s="1878"/>
      <c r="AT14" s="1878"/>
      <c r="AU14" s="1878"/>
      <c r="AV14" s="1878"/>
      <c r="AW14" s="1878"/>
      <c r="AX14" s="1878"/>
      <c r="AY14" s="1878"/>
      <c r="AZ14" s="1878"/>
      <c r="BA14" s="1878"/>
      <c r="BB14" s="1878"/>
      <c r="BC14" s="1878"/>
      <c r="BD14" s="1878"/>
      <c r="BE14" s="1878"/>
      <c r="BF14" s="1878"/>
      <c r="BG14" s="1878"/>
      <c r="BH14" s="1878"/>
      <c r="BI14" s="1878"/>
      <c r="BJ14" s="1878"/>
      <c r="BK14" s="1878"/>
      <c r="BL14" s="1878"/>
      <c r="BM14" s="1878"/>
      <c r="BN14" s="1878"/>
      <c r="BO14" s="1878"/>
    </row>
    <row r="15" spans="1:67" s="1750" customFormat="1" ht="28.8">
      <c r="A15" s="1909" t="s">
        <v>1893</v>
      </c>
      <c r="B15" s="1905" t="s">
        <v>1892</v>
      </c>
      <c r="C15" s="1910" t="s">
        <v>1894</v>
      </c>
      <c r="D15" s="971"/>
      <c r="E15" s="970"/>
      <c r="F15" s="72"/>
      <c r="G15" s="73"/>
      <c r="H15" s="1164"/>
      <c r="I15" s="1164"/>
      <c r="J15" s="1164"/>
      <c r="K15" s="1165">
        <f>SUMIF('数据-汇总表'!C$19:C$33,A15,'数据-汇总表'!E$19:E$33)</f>
        <v>0</v>
      </c>
      <c r="L15" s="1166"/>
      <c r="M15" s="75"/>
      <c r="N15" s="1167"/>
      <c r="O15" s="75"/>
      <c r="P15" s="76"/>
      <c r="Q15" s="1168"/>
      <c r="R15" s="77"/>
      <c r="S15" s="54"/>
      <c r="T15" s="1338"/>
      <c r="U15" s="683"/>
      <c r="V15" s="1170"/>
      <c r="W15" s="1170"/>
      <c r="X15" s="1171"/>
      <c r="Y15" s="1172"/>
      <c r="Z15" s="1173"/>
      <c r="AA15" s="1174"/>
      <c r="AB15" s="1174"/>
      <c r="AC15" s="1175"/>
      <c r="AD15" s="1171"/>
      <c r="AE15" s="1176"/>
      <c r="AF15" s="55"/>
      <c r="AG15" s="147"/>
      <c r="AH15" s="1176"/>
      <c r="AI15" s="1547"/>
      <c r="AJ15" s="717"/>
      <c r="AK15" s="1177"/>
      <c r="AL15" s="1178"/>
      <c r="AM15" s="1179"/>
      <c r="AN15" s="2900"/>
      <c r="AO15" s="2902"/>
      <c r="AP15" s="2902"/>
      <c r="AQ15" s="2902"/>
      <c r="AR15" s="2902"/>
      <c r="AS15" s="1878"/>
      <c r="AT15" s="1878"/>
      <c r="AU15" s="1878"/>
      <c r="AV15" s="1878"/>
      <c r="AW15" s="1878"/>
      <c r="AX15" s="1878"/>
      <c r="AY15" s="1878"/>
      <c r="AZ15" s="1878"/>
      <c r="BA15" s="1878"/>
      <c r="BB15" s="1878"/>
      <c r="BC15" s="1878"/>
      <c r="BD15" s="1878"/>
      <c r="BE15" s="1878"/>
      <c r="BF15" s="1878"/>
      <c r="BG15" s="1878"/>
      <c r="BH15" s="1878"/>
      <c r="BI15" s="1878"/>
      <c r="BJ15" s="1878"/>
      <c r="BK15" s="1878"/>
      <c r="BL15" s="1878"/>
      <c r="BM15" s="1878"/>
      <c r="BN15" s="1878"/>
      <c r="BO15" s="1878"/>
    </row>
    <row r="16" spans="1:67" s="1750" customFormat="1" ht="15" thickBot="1">
      <c r="A16" s="1911" t="s">
        <v>1895</v>
      </c>
      <c r="B16" s="97"/>
      <c r="C16" s="946"/>
      <c r="D16" s="1912"/>
      <c r="E16" s="97"/>
      <c r="F16" s="97"/>
      <c r="G16" s="98">
        <f>ROUND(SUMPRODUCT(G6:G13,K6:K13)/SUMPRODUCT((G6:G13&gt;0)*(K6:K13)),3)</f>
        <v>0.83599999999999997</v>
      </c>
      <c r="H16" s="99">
        <f>ROUND(SUMPRODUCT(H6:H13,K6:K13)/SUMPRODUCT((H6:H13&gt;0)*(K6:K13)),3)</f>
        <v>4.4999999999999998E-2</v>
      </c>
      <c r="I16" s="100"/>
      <c r="J16" s="100"/>
      <c r="K16" s="101">
        <f>SUM(K6:K15)</f>
        <v>8640.14</v>
      </c>
      <c r="L16" s="102">
        <f>ROUND(M16*10000/SUM(K6:K14),0)</f>
        <v>3500</v>
      </c>
      <c r="M16" s="102">
        <f>SUM(M6:M14)</f>
        <v>3024</v>
      </c>
      <c r="N16" s="103">
        <f>ROUND(SUMPRODUCT(M6:M14,N6:N14)/M16,3)</f>
        <v>0.8</v>
      </c>
      <c r="O16" s="102">
        <f>SUM(O6:O14)</f>
        <v>0</v>
      </c>
      <c r="P16" s="102">
        <f>SUM(P6:P14)</f>
        <v>0</v>
      </c>
      <c r="Q16" s="104">
        <f>ROUND(SUMPRODUCT(Q6:Q13,K6:K13)/SUMPRODUCT((Q6:Q13&gt;0)*(K6:K13)),2)</f>
        <v>0.1</v>
      </c>
      <c r="R16" s="1169">
        <f ca="1">SUM(R6:R13)</f>
        <v>15462.6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900"/>
      <c r="AO16" s="2902"/>
      <c r="AP16" s="2902"/>
      <c r="AQ16" s="2902"/>
      <c r="AR16" s="2902"/>
      <c r="AS16" s="1878"/>
      <c r="AT16" s="1878"/>
      <c r="AU16" s="1878"/>
      <c r="AV16" s="1878"/>
      <c r="AW16" s="1878"/>
      <c r="AX16" s="1878"/>
      <c r="AY16" s="1878"/>
      <c r="AZ16" s="1878"/>
      <c r="BA16" s="1878"/>
      <c r="BB16" s="1878"/>
      <c r="BC16" s="1878"/>
      <c r="BD16" s="1878"/>
      <c r="BE16" s="1878"/>
      <c r="BF16" s="1878"/>
      <c r="BG16" s="1878"/>
      <c r="BH16" s="1878"/>
      <c r="BI16" s="1878"/>
      <c r="BJ16" s="1878"/>
      <c r="BK16" s="1878"/>
      <c r="BL16" s="1878"/>
      <c r="BM16" s="1878"/>
      <c r="BN16" s="1878"/>
      <c r="BO16" s="1878"/>
    </row>
    <row r="17" spans="1:67" ht="13.8" thickBot="1">
      <c r="A17" s="1913"/>
      <c r="B17" s="2912"/>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8" t="s">
        <v>1896</v>
      </c>
      <c r="B18" s="2917"/>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4">
      <c r="A19" s="1914" t="s">
        <v>1897</v>
      </c>
      <c r="B19" s="112">
        <v>0</v>
      </c>
      <c r="C19" s="2916" t="s">
        <v>3064</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4">
      <c r="A20" s="1915" t="s">
        <v>1898</v>
      </c>
      <c r="B20" s="113">
        <v>1.5</v>
      </c>
      <c r="C20" s="2906" t="s">
        <v>3061</v>
      </c>
      <c r="D20" s="2905"/>
      <c r="E20" s="2902"/>
      <c r="F20" s="2902"/>
      <c r="G20" s="2902"/>
      <c r="H20" s="2902"/>
      <c r="I20" s="2902"/>
      <c r="J20" s="2902"/>
      <c r="K20" s="2901"/>
      <c r="L20" s="1666" t="s">
        <v>3155</v>
      </c>
      <c r="M20" s="1666" t="s">
        <v>3156</v>
      </c>
      <c r="N20" s="1666" t="s">
        <v>3157</v>
      </c>
      <c r="O20" s="3049" t="s">
        <v>4410</v>
      </c>
      <c r="P20" s="3049" t="s">
        <v>4411</v>
      </c>
      <c r="Q20" s="3049" t="s">
        <v>4409</v>
      </c>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4">
      <c r="A21" s="1916" t="s">
        <v>1899</v>
      </c>
      <c r="B21" s="113">
        <v>1.5</v>
      </c>
      <c r="C21" s="2902"/>
      <c r="D21" s="2905"/>
      <c r="E21" s="2902"/>
      <c r="F21" s="2902"/>
      <c r="G21" s="2902"/>
      <c r="H21" s="2902"/>
      <c r="I21" s="2902"/>
      <c r="J21" s="2902"/>
      <c r="K21" s="2901"/>
      <c r="L21" s="3035">
        <f>'数据-基础表'!I13</f>
        <v>5445.17</v>
      </c>
      <c r="M21" s="3035">
        <v>2002</v>
      </c>
      <c r="N21" s="3036">
        <f>ROUND(1-(1-2%)*(2018-M21)/50,2)</f>
        <v>0.69</v>
      </c>
      <c r="O21" s="2900">
        <v>4000</v>
      </c>
      <c r="P21" s="2900">
        <f>O21*L21</f>
        <v>21780680</v>
      </c>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4">
      <c r="A22" s="1915" t="s">
        <v>1900</v>
      </c>
      <c r="B22" s="114">
        <f>B19+B20</f>
        <v>1.5</v>
      </c>
      <c r="C22" s="2902"/>
      <c r="D22" s="2905"/>
      <c r="E22" s="2902"/>
      <c r="F22" s="2902"/>
      <c r="G22" s="2902"/>
      <c r="H22" s="2902"/>
      <c r="I22" s="2902"/>
      <c r="J22" s="2902"/>
      <c r="K22" s="2901"/>
      <c r="L22" s="3035">
        <f>'数据-基础表'!I14</f>
        <v>864.13</v>
      </c>
      <c r="M22" s="3035">
        <v>2004</v>
      </c>
      <c r="N22" s="3036">
        <f t="shared" ref="N22:N23" si="12">ROUND(1-(1-2%)*(2018-M22)/50,2)</f>
        <v>0.73</v>
      </c>
      <c r="O22" s="2900">
        <v>2000</v>
      </c>
      <c r="P22" s="2900">
        <f t="shared" ref="P22:P23" si="13">O22*L22</f>
        <v>1728260</v>
      </c>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4">
      <c r="A23" s="1916" t="s">
        <v>1901</v>
      </c>
      <c r="B23" s="114">
        <f>B19+B21</f>
        <v>1.5</v>
      </c>
      <c r="C23" s="2902"/>
      <c r="D23" s="2905"/>
      <c r="E23" s="2902"/>
      <c r="F23" s="2902"/>
      <c r="G23" s="2902"/>
      <c r="H23" s="2902"/>
      <c r="I23" s="2902"/>
      <c r="J23" s="2902"/>
      <c r="K23" s="2901"/>
      <c r="L23" s="3035">
        <f>'数据-基础表'!I15</f>
        <v>2330.84</v>
      </c>
      <c r="M23" s="3035">
        <v>2004</v>
      </c>
      <c r="N23" s="3036">
        <f t="shared" si="12"/>
        <v>0.73</v>
      </c>
      <c r="O23" s="2900">
        <v>4000</v>
      </c>
      <c r="P23" s="2900">
        <f t="shared" si="13"/>
        <v>9323360</v>
      </c>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7" t="s">
        <v>1902</v>
      </c>
      <c r="B24" s="115">
        <f>B20-B21</f>
        <v>0</v>
      </c>
      <c r="C24" s="2902"/>
      <c r="D24" s="2905"/>
      <c r="E24" s="2902"/>
      <c r="F24" s="2902"/>
      <c r="G24" s="2902"/>
      <c r="H24" s="2902"/>
      <c r="I24" s="2902"/>
      <c r="J24" s="2902"/>
      <c r="K24" s="2901"/>
      <c r="L24" s="3035">
        <f>SUM(L21:L23)</f>
        <v>8640.14</v>
      </c>
      <c r="M24" s="1666" t="s">
        <v>3158</v>
      </c>
      <c r="N24" s="3036">
        <f>ROUND(SUMPRODUCT(L21:L23*N21:N23/L24),2)</f>
        <v>0.7</v>
      </c>
      <c r="O24" s="3115">
        <f>P24/L24</f>
        <v>3799.9731485832408</v>
      </c>
      <c r="P24" s="3115">
        <f>SUM(P21:P23)</f>
        <v>32832300</v>
      </c>
      <c r="Q24" s="3115">
        <f>AJ6/1.2%/70%</f>
        <v>8797.6190476190495</v>
      </c>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4.4" thickBot="1">
      <c r="A25" s="1748"/>
      <c r="B25" s="1879"/>
      <c r="C25" s="2902"/>
      <c r="D25" s="2905"/>
      <c r="E25" s="2902"/>
      <c r="F25" s="2902"/>
      <c r="G25" s="2902"/>
      <c r="H25" s="2902"/>
      <c r="I25" s="2902"/>
      <c r="J25" s="2902"/>
      <c r="K25" s="2901"/>
      <c r="L25" s="2901"/>
      <c r="M25" s="2900"/>
      <c r="N25" s="2900"/>
      <c r="O25" s="3115"/>
      <c r="P25" s="3115"/>
      <c r="Q25" s="3115">
        <f>Q24*10000/L24</f>
        <v>10182.2644628664</v>
      </c>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75" t="s">
        <v>1903</v>
      </c>
      <c r="B26" s="1918" t="s">
        <v>1904</v>
      </c>
      <c r="C26" s="2907" t="s">
        <v>1905</v>
      </c>
      <c r="D26" s="2905"/>
      <c r="E26" s="2902"/>
      <c r="F26" s="2902"/>
      <c r="G26" s="2902"/>
      <c r="H26" s="2902"/>
      <c r="I26" s="2902"/>
      <c r="J26" s="2902"/>
      <c r="K26" s="2901"/>
      <c r="L26" s="2901"/>
      <c r="M26" s="3049" t="s">
        <v>3200</v>
      </c>
      <c r="N26" s="3050">
        <v>0.9</v>
      </c>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20" customFormat="1" ht="28.8">
      <c r="A27" s="1919" t="s">
        <v>1906</v>
      </c>
      <c r="B27" s="116">
        <v>0</v>
      </c>
      <c r="C27" s="2908" t="s">
        <v>3049</v>
      </c>
      <c r="D27" s="2909"/>
      <c r="E27" s="2889"/>
      <c r="F27" s="2889"/>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6"/>
      <c r="AT27" s="906"/>
      <c r="AU27" s="906"/>
      <c r="AV27" s="906"/>
      <c r="AW27" s="906"/>
      <c r="AX27" s="906"/>
      <c r="AY27" s="906"/>
      <c r="AZ27" s="906"/>
      <c r="BA27" s="906"/>
      <c r="BB27" s="906"/>
      <c r="BC27" s="906"/>
      <c r="BD27" s="906"/>
      <c r="BE27" s="906"/>
      <c r="BF27" s="906"/>
      <c r="BG27" s="906"/>
      <c r="BH27" s="906"/>
      <c r="BI27" s="906"/>
      <c r="BJ27" s="906"/>
      <c r="BK27" s="906"/>
      <c r="BL27" s="906"/>
      <c r="BM27" s="906"/>
      <c r="BN27" s="906"/>
      <c r="BO27" s="906"/>
    </row>
    <row r="28" spans="1:67" s="1920" customFormat="1" ht="28.8">
      <c r="A28" s="1921" t="s">
        <v>1907</v>
      </c>
      <c r="B28" s="119">
        <v>200</v>
      </c>
      <c r="C28" s="2910"/>
      <c r="D28" s="2909"/>
      <c r="E28" s="2889"/>
      <c r="F28" s="2889"/>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6"/>
      <c r="AT28" s="906"/>
      <c r="AU28" s="906"/>
      <c r="AV28" s="906"/>
      <c r="AW28" s="906"/>
      <c r="AX28" s="906"/>
      <c r="AY28" s="906"/>
      <c r="AZ28" s="906"/>
      <c r="BA28" s="906"/>
      <c r="BB28" s="906"/>
      <c r="BC28" s="906"/>
      <c r="BD28" s="906"/>
      <c r="BE28" s="906"/>
      <c r="BF28" s="906"/>
      <c r="BG28" s="906"/>
      <c r="BH28" s="906"/>
      <c r="BI28" s="906"/>
      <c r="BJ28" s="906"/>
      <c r="BK28" s="906"/>
      <c r="BL28" s="906"/>
      <c r="BM28" s="906"/>
      <c r="BN28" s="906"/>
      <c r="BO28" s="906"/>
    </row>
    <row r="29" spans="1:67" s="1920" customFormat="1" ht="29.4" thickBot="1">
      <c r="A29" s="1922" t="s">
        <v>1908</v>
      </c>
      <c r="B29" s="121">
        <f>ROUND(B28*K16/10000,0)</f>
        <v>173</v>
      </c>
      <c r="C29" s="2908" t="s">
        <v>3050</v>
      </c>
      <c r="D29" s="2909"/>
      <c r="E29" s="2889"/>
      <c r="F29" s="2889"/>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6"/>
      <c r="AT29" s="906"/>
      <c r="AU29" s="906"/>
      <c r="AV29" s="906"/>
      <c r="AW29" s="906"/>
      <c r="AX29" s="906"/>
      <c r="AY29" s="906"/>
      <c r="AZ29" s="906"/>
      <c r="BA29" s="906"/>
      <c r="BB29" s="906"/>
      <c r="BC29" s="906"/>
      <c r="BD29" s="906"/>
      <c r="BE29" s="906"/>
      <c r="BF29" s="906"/>
      <c r="BG29" s="906"/>
      <c r="BH29" s="906"/>
      <c r="BI29" s="906"/>
      <c r="BJ29" s="906"/>
      <c r="BK29" s="906"/>
      <c r="BL29" s="906"/>
      <c r="BM29" s="906"/>
      <c r="BN29" s="906"/>
      <c r="BO29" s="906"/>
    </row>
    <row r="30" spans="1:67" s="1920" customFormat="1" ht="28.8">
      <c r="A30" s="1923" t="s">
        <v>1909</v>
      </c>
      <c r="B30" s="684">
        <v>200</v>
      </c>
      <c r="C30" s="2910"/>
      <c r="D30" s="2909"/>
      <c r="E30" s="2889"/>
      <c r="F30" s="2889"/>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6"/>
      <c r="AT30" s="906"/>
      <c r="AU30" s="906"/>
      <c r="AV30" s="906"/>
      <c r="AW30" s="906"/>
      <c r="AX30" s="906"/>
      <c r="AY30" s="906"/>
      <c r="AZ30" s="906"/>
      <c r="BA30" s="906"/>
      <c r="BB30" s="906"/>
      <c r="BC30" s="906"/>
      <c r="BD30" s="906"/>
      <c r="BE30" s="906"/>
      <c r="BF30" s="906"/>
      <c r="BG30" s="906"/>
      <c r="BH30" s="906"/>
      <c r="BI30" s="906"/>
      <c r="BJ30" s="906"/>
      <c r="BK30" s="906"/>
      <c r="BL30" s="906"/>
      <c r="BM30" s="906"/>
      <c r="BN30" s="906"/>
      <c r="BO30" s="906"/>
    </row>
    <row r="31" spans="1:67" s="1920" customFormat="1" ht="28.8">
      <c r="A31" s="1921" t="s">
        <v>1910</v>
      </c>
      <c r="B31" s="120">
        <f>B30-B32</f>
        <v>200</v>
      </c>
      <c r="C31" s="2908"/>
      <c r="D31" s="2909"/>
      <c r="E31" s="2889"/>
      <c r="F31" s="2889"/>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6"/>
      <c r="AT31" s="906"/>
      <c r="AU31" s="906"/>
      <c r="AV31" s="906"/>
      <c r="AW31" s="906"/>
      <c r="AX31" s="906"/>
      <c r="AY31" s="906"/>
      <c r="AZ31" s="906"/>
      <c r="BA31" s="906"/>
      <c r="BB31" s="906"/>
      <c r="BC31" s="906"/>
      <c r="BD31" s="906"/>
      <c r="BE31" s="906"/>
      <c r="BF31" s="906"/>
      <c r="BG31" s="906"/>
      <c r="BH31" s="906"/>
      <c r="BI31" s="906"/>
      <c r="BJ31" s="906"/>
      <c r="BK31" s="906"/>
      <c r="BL31" s="906"/>
      <c r="BM31" s="906"/>
      <c r="BN31" s="906"/>
      <c r="BO31" s="906"/>
    </row>
    <row r="32" spans="1:67" s="1920" customFormat="1" ht="29.4" thickBot="1">
      <c r="A32" s="1924" t="s">
        <v>1911</v>
      </c>
      <c r="B32" s="685">
        <v>0</v>
      </c>
      <c r="C32" s="2910"/>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6"/>
      <c r="AT32" s="906"/>
      <c r="AU32" s="906"/>
      <c r="AV32" s="906"/>
      <c r="AW32" s="906"/>
      <c r="AX32" s="906"/>
      <c r="AY32" s="906"/>
      <c r="AZ32" s="906"/>
      <c r="BA32" s="906"/>
      <c r="BB32" s="906"/>
      <c r="BC32" s="906"/>
      <c r="BD32" s="906"/>
      <c r="BE32" s="906"/>
      <c r="BF32" s="906"/>
      <c r="BG32" s="906"/>
      <c r="BH32" s="906"/>
      <c r="BI32" s="906"/>
      <c r="BJ32" s="906"/>
      <c r="BK32" s="906"/>
      <c r="BL32" s="906"/>
      <c r="BM32" s="906"/>
      <c r="BN32" s="906"/>
      <c r="BO32" s="906"/>
    </row>
    <row r="33" spans="1:67" s="1920" customFormat="1" ht="14.4">
      <c r="A33" s="1919" t="s">
        <v>1912</v>
      </c>
      <c r="B33" s="686">
        <v>0.03</v>
      </c>
      <c r="C33" s="2911" t="s">
        <v>3051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6"/>
      <c r="AT33" s="906"/>
      <c r="AU33" s="906"/>
      <c r="AV33" s="906"/>
      <c r="AW33" s="906"/>
      <c r="AX33" s="906"/>
      <c r="AY33" s="906"/>
      <c r="AZ33" s="906"/>
      <c r="BA33" s="906"/>
      <c r="BB33" s="906"/>
      <c r="BC33" s="906"/>
      <c r="BD33" s="906"/>
      <c r="BE33" s="906"/>
      <c r="BF33" s="906"/>
      <c r="BG33" s="906"/>
      <c r="BH33" s="906"/>
      <c r="BI33" s="906"/>
      <c r="BJ33" s="906"/>
      <c r="BK33" s="906"/>
      <c r="BL33" s="906"/>
      <c r="BM33" s="906"/>
      <c r="BN33" s="906"/>
      <c r="BO33" s="906"/>
    </row>
    <row r="34" spans="1:67" s="1920" customFormat="1" ht="14.4">
      <c r="A34" s="1921" t="s">
        <v>1913</v>
      </c>
      <c r="B34" s="122">
        <v>0</v>
      </c>
      <c r="C34" s="2911" t="s">
        <v>3052</v>
      </c>
      <c r="D34" s="2915" t="s">
        <v>3063</v>
      </c>
      <c r="E34" s="2912"/>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6"/>
      <c r="AT34" s="906"/>
      <c r="AU34" s="906"/>
      <c r="AV34" s="906"/>
      <c r="AW34" s="906"/>
      <c r="AX34" s="906"/>
      <c r="AY34" s="906"/>
      <c r="AZ34" s="906"/>
      <c r="BA34" s="906"/>
      <c r="BB34" s="906"/>
      <c r="BC34" s="906"/>
      <c r="BD34" s="906"/>
      <c r="BE34" s="906"/>
      <c r="BF34" s="906"/>
      <c r="BG34" s="906"/>
      <c r="BH34" s="906"/>
      <c r="BI34" s="906"/>
      <c r="BJ34" s="906"/>
      <c r="BK34" s="906"/>
      <c r="BL34" s="906"/>
      <c r="BM34" s="906"/>
      <c r="BN34" s="906"/>
      <c r="BO34" s="906"/>
    </row>
    <row r="35" spans="1:67" s="1920" customFormat="1" ht="14.4">
      <c r="A35" s="1921" t="s">
        <v>1914</v>
      </c>
      <c r="B35" s="119">
        <v>200</v>
      </c>
      <c r="C35" s="2911" t="s">
        <v>3053</v>
      </c>
      <c r="D35" s="2909"/>
      <c r="E35" s="2889"/>
      <c r="F35" s="2889"/>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6"/>
      <c r="AT35" s="906"/>
      <c r="AU35" s="906"/>
      <c r="AV35" s="906"/>
      <c r="AW35" s="906"/>
      <c r="AX35" s="906"/>
      <c r="AY35" s="906"/>
      <c r="AZ35" s="906"/>
      <c r="BA35" s="906"/>
      <c r="BB35" s="906"/>
      <c r="BC35" s="906"/>
      <c r="BD35" s="906"/>
      <c r="BE35" s="906"/>
      <c r="BF35" s="906"/>
      <c r="BG35" s="906"/>
      <c r="BH35" s="906"/>
      <c r="BI35" s="906"/>
      <c r="BJ35" s="906"/>
      <c r="BK35" s="906"/>
      <c r="BL35" s="906"/>
      <c r="BM35" s="906"/>
      <c r="BN35" s="906"/>
      <c r="BO35" s="906"/>
    </row>
    <row r="36" spans="1:67" ht="15" thickBot="1">
      <c r="A36" s="1922" t="s">
        <v>1915</v>
      </c>
      <c r="B36" s="123">
        <v>1.4999999999999999E-2</v>
      </c>
      <c r="C36" s="2911" t="s">
        <v>3054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4">
      <c r="A37" s="1923" t="s">
        <v>1916</v>
      </c>
      <c r="B37" s="124">
        <v>0.02</v>
      </c>
      <c r="C37" s="2911" t="s">
        <v>3055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4">
      <c r="A38" s="1921" t="s">
        <v>1917</v>
      </c>
      <c r="B38" s="122">
        <v>0.02</v>
      </c>
      <c r="C38" s="2911" t="s">
        <v>3055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4">
      <c r="A39" s="1924" t="s">
        <v>1918</v>
      </c>
      <c r="B39" s="327">
        <f ca="1">存贷款利率!I1</f>
        <v>1.4999999999999999E-2</v>
      </c>
      <c r="C39" s="2911"/>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1924" t="s">
        <v>1919</v>
      </c>
      <c r="B40" s="1214">
        <f ca="1">存贷款利率!G1</f>
        <v>4.7500000000000001E-2</v>
      </c>
      <c r="C40" s="2911" t="s">
        <v>3056</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4">
      <c r="A41" s="1919" t="s">
        <v>1920</v>
      </c>
      <c r="B41" s="125">
        <f>B42+B43</f>
        <v>5.5000000000000007E-2</v>
      </c>
      <c r="C41" s="2908"/>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4">
      <c r="A42" s="1925" t="s">
        <v>1921</v>
      </c>
      <c r="B42" s="126">
        <v>0.05</v>
      </c>
      <c r="C42" s="2913">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4">
      <c r="A43" s="1925" t="s">
        <v>1922</v>
      </c>
      <c r="B43" s="127">
        <f>B42*(B44+B45+B46)+B47</f>
        <v>5.000000000000001E-3</v>
      </c>
      <c r="C43" s="2908"/>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4">
      <c r="A44" s="1926" t="s">
        <v>1923</v>
      </c>
      <c r="B44" s="128">
        <v>0.05</v>
      </c>
      <c r="C44" s="2911" t="s">
        <v>3062</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4">
      <c r="A45" s="1926" t="s">
        <v>1924</v>
      </c>
      <c r="B45" s="126">
        <v>0.03</v>
      </c>
      <c r="C45" s="2908" t="s">
        <v>3057</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4">
      <c r="A46" s="1926" t="s">
        <v>1925</v>
      </c>
      <c r="B46" s="126">
        <v>0.02</v>
      </c>
      <c r="C46" s="2908" t="s">
        <v>3058</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7" t="s">
        <v>1926</v>
      </c>
      <c r="B47" s="129">
        <v>0</v>
      </c>
      <c r="C47" s="2908" t="s">
        <v>3059</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4">
      <c r="A48" s="1928" t="s">
        <v>1927</v>
      </c>
      <c r="B48" s="130">
        <v>0.03</v>
      </c>
      <c r="C48" s="2908" t="s">
        <v>3057</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24" t="s">
        <v>1928</v>
      </c>
      <c r="B49" s="126">
        <v>5.0000000000000001E-4</v>
      </c>
      <c r="C49" s="2908" t="s">
        <v>3060</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4">
      <c r="A50" s="1929" t="s">
        <v>1929</v>
      </c>
      <c r="B50" s="131">
        <v>1.2E-2</v>
      </c>
      <c r="C50" s="2889"/>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22" t="s">
        <v>1930</v>
      </c>
      <c r="B51" s="132">
        <v>0.12</v>
      </c>
      <c r="C51" s="2889"/>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4">
      <c r="A52" s="1929" t="s">
        <v>1931</v>
      </c>
      <c r="B52" s="133">
        <f>SUMIF(A54:A63,B53,B54:B63)</f>
        <v>3</v>
      </c>
      <c r="C52" s="2889"/>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8.8">
      <c r="A53" s="1921" t="s">
        <v>1932</v>
      </c>
      <c r="B53" s="1930" t="s">
        <v>523</v>
      </c>
      <c r="C53" s="2889" t="s">
        <v>1933</v>
      </c>
      <c r="D53" s="2914" t="s">
        <v>1934</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4">
      <c r="A54" s="1931" t="s">
        <v>1935</v>
      </c>
      <c r="B54" s="84"/>
      <c r="C54" s="2889">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4">
      <c r="A55" s="1931" t="s">
        <v>1936</v>
      </c>
      <c r="B55" s="84"/>
      <c r="C55" s="2889">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4">
      <c r="A56" s="1931" t="s">
        <v>1937</v>
      </c>
      <c r="B56" s="84"/>
      <c r="C56" s="2889">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4">
      <c r="A57" s="1931" t="s">
        <v>1938</v>
      </c>
      <c r="B57" s="84"/>
      <c r="C57" s="2889">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4">
      <c r="A58" s="1931" t="s">
        <v>1939</v>
      </c>
      <c r="B58" s="84">
        <v>3</v>
      </c>
      <c r="C58" s="2889">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4">
      <c r="A59" s="1931" t="s">
        <v>1940</v>
      </c>
      <c r="B59" s="84">
        <v>1.5</v>
      </c>
      <c r="C59" s="2889">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4">
      <c r="A60" s="1931" t="s">
        <v>1941</v>
      </c>
      <c r="B60" s="84"/>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4">
      <c r="A61" s="1931" t="s">
        <v>1942</v>
      </c>
      <c r="B61" s="84"/>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4">
      <c r="A62" s="1931" t="s">
        <v>1943</v>
      </c>
      <c r="B62" s="84"/>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32" t="s">
        <v>1944</v>
      </c>
      <c r="B63" s="134"/>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5" customFormat="1">
      <c r="A64" s="2892"/>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5" customFormat="1">
      <c r="A65" s="2892"/>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5" customFormat="1">
      <c r="A66" s="2892"/>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5" customFormat="1">
      <c r="A67" s="2892"/>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5" customFormat="1">
      <c r="A68" s="2892"/>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5" customFormat="1">
      <c r="A69" s="1933"/>
      <c r="D69" s="1934"/>
      <c r="K69" s="741"/>
      <c r="L69" s="741"/>
    </row>
    <row r="70" spans="1:44" s="905" customFormat="1">
      <c r="A70" s="1933"/>
      <c r="D70" s="1934"/>
      <c r="K70" s="741"/>
      <c r="L70" s="741"/>
    </row>
    <row r="71" spans="1:44" s="905" customFormat="1">
      <c r="A71" s="1933"/>
      <c r="D71" s="1934"/>
      <c r="K71" s="741"/>
      <c r="L71" s="741"/>
    </row>
    <row r="72" spans="1:44" s="905" customFormat="1">
      <c r="A72" s="1933"/>
      <c r="D72" s="1934"/>
      <c r="K72" s="741"/>
      <c r="L72" s="741"/>
    </row>
    <row r="73" spans="1:44" s="905" customFormat="1">
      <c r="A73" s="1933"/>
      <c r="D73" s="1934"/>
      <c r="K73" s="741"/>
      <c r="L73" s="741"/>
    </row>
    <row r="74" spans="1:44" s="905" customFormat="1">
      <c r="A74" s="1933"/>
      <c r="D74" s="1934"/>
      <c r="K74" s="741"/>
      <c r="L74" s="741"/>
    </row>
    <row r="75" spans="1:44" s="905" customFormat="1">
      <c r="A75" s="1933"/>
      <c r="D75" s="1934"/>
      <c r="K75" s="741"/>
      <c r="L75" s="741"/>
    </row>
    <row r="76" spans="1:44" s="905" customFormat="1">
      <c r="A76" s="1933"/>
      <c r="D76" s="1934"/>
      <c r="K76" s="741"/>
      <c r="L76" s="741"/>
    </row>
    <row r="77" spans="1:44" s="905" customFormat="1">
      <c r="A77" s="1933"/>
      <c r="D77" s="1934"/>
      <c r="K77" s="741"/>
      <c r="L77" s="741"/>
    </row>
    <row r="78" spans="1:44" s="905" customFormat="1">
      <c r="A78" s="1933"/>
      <c r="D78" s="1934"/>
      <c r="K78" s="741"/>
      <c r="L78" s="741"/>
    </row>
    <row r="79" spans="1:44" s="905" customFormat="1">
      <c r="A79" s="1933"/>
      <c r="D79" s="1934"/>
      <c r="K79" s="741"/>
      <c r="L79" s="741"/>
    </row>
    <row r="80" spans="1:44" s="905" customFormat="1">
      <c r="A80" s="1933"/>
      <c r="D80" s="1934"/>
      <c r="K80" s="741"/>
      <c r="L80" s="741"/>
    </row>
    <row r="81" spans="1:12" s="905" customFormat="1">
      <c r="A81" s="1933"/>
      <c r="D81" s="1934"/>
      <c r="K81" s="741"/>
      <c r="L81" s="741"/>
    </row>
    <row r="82" spans="1:12" s="905" customFormat="1">
      <c r="A82" s="1933"/>
      <c r="D82" s="1934"/>
      <c r="K82" s="741"/>
      <c r="L82" s="741"/>
    </row>
    <row r="83" spans="1:12" s="905" customFormat="1">
      <c r="A83" s="1933"/>
      <c r="D83" s="1934"/>
      <c r="K83" s="741"/>
      <c r="L83" s="741"/>
    </row>
    <row r="84" spans="1:12" s="905" customFormat="1">
      <c r="A84" s="1933"/>
      <c r="D84" s="1934"/>
      <c r="K84" s="741"/>
      <c r="L84" s="741"/>
    </row>
    <row r="85" spans="1:12" s="905" customFormat="1">
      <c r="A85" s="1933"/>
      <c r="D85" s="1934"/>
      <c r="K85" s="741"/>
      <c r="L85" s="741"/>
    </row>
    <row r="86" spans="1:12" s="905" customFormat="1">
      <c r="A86" s="1933"/>
      <c r="D86" s="1934"/>
      <c r="K86" s="741"/>
      <c r="L86" s="741"/>
    </row>
    <row r="87" spans="1:12" s="905" customFormat="1">
      <c r="A87" s="1933"/>
      <c r="D87" s="1934"/>
      <c r="K87" s="741"/>
      <c r="L87" s="741"/>
    </row>
    <row r="88" spans="1:12" s="905" customFormat="1">
      <c r="A88" s="1933"/>
      <c r="D88" s="1934"/>
      <c r="K88" s="741"/>
      <c r="L88" s="741"/>
    </row>
    <row r="89" spans="1:12" s="905" customFormat="1">
      <c r="A89" s="1933"/>
      <c r="D89" s="1934"/>
      <c r="K89" s="741"/>
      <c r="L89" s="741"/>
    </row>
    <row r="90" spans="1:12" s="905" customFormat="1">
      <c r="A90" s="1933"/>
      <c r="D90" s="1934"/>
      <c r="K90" s="741"/>
      <c r="L90" s="741"/>
    </row>
    <row r="91" spans="1:12" s="905" customFormat="1">
      <c r="A91" s="1933"/>
      <c r="D91" s="1934"/>
      <c r="K91" s="741"/>
      <c r="L91" s="741"/>
    </row>
    <row r="92" spans="1:12" s="905" customFormat="1">
      <c r="A92" s="1933"/>
      <c r="D92" s="1934"/>
      <c r="K92" s="741"/>
      <c r="L92" s="741"/>
    </row>
    <row r="93" spans="1:12" s="905" customFormat="1">
      <c r="A93" s="1933"/>
      <c r="D93" s="1934"/>
      <c r="K93" s="741"/>
      <c r="L93" s="741"/>
    </row>
    <row r="94" spans="1:12" s="905" customFormat="1">
      <c r="A94" s="1933"/>
      <c r="D94" s="1934"/>
      <c r="K94" s="741"/>
      <c r="L94" s="741"/>
    </row>
    <row r="95" spans="1:12" s="905" customFormat="1">
      <c r="A95" s="1933"/>
      <c r="D95" s="1934"/>
      <c r="K95" s="741"/>
      <c r="L95" s="741"/>
    </row>
    <row r="96" spans="1:12" s="905" customFormat="1">
      <c r="A96" s="1933"/>
      <c r="D96" s="1934"/>
      <c r="K96" s="741"/>
      <c r="L96" s="741"/>
    </row>
    <row r="97" spans="1:12" s="905" customFormat="1">
      <c r="A97" s="1933"/>
      <c r="D97" s="1934"/>
      <c r="K97" s="741"/>
      <c r="L97" s="741"/>
    </row>
    <row r="98" spans="1:12" s="905" customFormat="1">
      <c r="A98" s="1933"/>
      <c r="D98" s="1934"/>
      <c r="K98" s="741"/>
      <c r="L98" s="741"/>
    </row>
    <row r="99" spans="1:12" s="905" customFormat="1">
      <c r="A99" s="1933"/>
      <c r="D99" s="1934"/>
      <c r="K99" s="741"/>
      <c r="L99" s="741"/>
    </row>
    <row r="100" spans="1:12" s="905" customFormat="1">
      <c r="A100" s="1933"/>
      <c r="D100" s="1934"/>
      <c r="K100" s="741"/>
      <c r="L100" s="741"/>
    </row>
    <row r="101" spans="1:12" s="905" customFormat="1">
      <c r="A101" s="1933"/>
      <c r="D101" s="1934"/>
      <c r="K101" s="741"/>
      <c r="L101" s="741"/>
    </row>
    <row r="102" spans="1:12" s="905" customFormat="1">
      <c r="A102" s="1933"/>
      <c r="D102" s="1934"/>
      <c r="K102" s="741"/>
      <c r="L102" s="741"/>
    </row>
    <row r="103" spans="1:12" s="905" customFormat="1">
      <c r="A103" s="1933"/>
      <c r="D103" s="1934"/>
      <c r="K103" s="741"/>
      <c r="L103" s="741"/>
    </row>
    <row r="104" spans="1:12" s="905" customFormat="1">
      <c r="A104" s="1933"/>
      <c r="D104" s="1934"/>
      <c r="K104" s="741"/>
      <c r="L104" s="741"/>
    </row>
    <row r="105" spans="1:12" s="905" customFormat="1">
      <c r="A105" s="1933"/>
      <c r="D105" s="1934"/>
      <c r="K105" s="741"/>
      <c r="L105" s="741"/>
    </row>
    <row r="106" spans="1:12" s="905" customFormat="1">
      <c r="A106" s="1933"/>
      <c r="D106" s="1934"/>
      <c r="K106" s="741"/>
      <c r="L106" s="741"/>
    </row>
    <row r="107" spans="1:12" s="905" customFormat="1">
      <c r="A107" s="1933"/>
      <c r="D107" s="1934"/>
      <c r="K107" s="741"/>
      <c r="L107" s="741"/>
    </row>
    <row r="108" spans="1:12" s="905" customFormat="1">
      <c r="A108" s="1933"/>
      <c r="D108" s="1934"/>
      <c r="K108" s="741"/>
      <c r="L108" s="741"/>
    </row>
    <row r="109" spans="1:12" s="905" customFormat="1">
      <c r="A109" s="1933"/>
      <c r="D109" s="1934"/>
      <c r="K109" s="741"/>
      <c r="L109" s="741"/>
    </row>
    <row r="110" spans="1:12" s="905" customFormat="1">
      <c r="A110" s="1933"/>
      <c r="D110" s="1934"/>
      <c r="K110" s="741"/>
      <c r="L110" s="741"/>
    </row>
    <row r="111" spans="1:12" s="905" customFormat="1">
      <c r="A111" s="1933"/>
      <c r="D111" s="1934"/>
      <c r="K111" s="741"/>
      <c r="L111" s="741"/>
    </row>
    <row r="112" spans="1:12" s="905" customFormat="1">
      <c r="A112" s="1933"/>
      <c r="D112" s="1934"/>
      <c r="K112" s="741"/>
      <c r="L112" s="741"/>
    </row>
    <row r="113" spans="1:12" s="905" customFormat="1">
      <c r="A113" s="1933"/>
      <c r="D113" s="1934"/>
      <c r="K113" s="741"/>
      <c r="L113" s="741"/>
    </row>
    <row r="114" spans="1:12" s="905" customFormat="1">
      <c r="A114" s="1933"/>
      <c r="D114" s="1934"/>
      <c r="K114" s="741"/>
      <c r="L114" s="741"/>
    </row>
    <row r="115" spans="1:12" s="905" customFormat="1">
      <c r="A115" s="1933"/>
      <c r="D115" s="1934"/>
      <c r="K115" s="741"/>
      <c r="L115" s="741"/>
    </row>
    <row r="116" spans="1:12" s="905" customFormat="1">
      <c r="A116" s="1933"/>
      <c r="D116" s="1934"/>
      <c r="K116" s="741"/>
      <c r="L116" s="741"/>
    </row>
    <row r="117" spans="1:12" s="905" customFormat="1">
      <c r="A117" s="1933"/>
      <c r="D117" s="1934"/>
      <c r="K117" s="741"/>
      <c r="L117" s="741"/>
    </row>
    <row r="118" spans="1:12" s="905" customFormat="1">
      <c r="A118" s="1933"/>
      <c r="D118" s="1934"/>
      <c r="K118" s="741"/>
      <c r="L118" s="741"/>
    </row>
    <row r="119" spans="1:12" s="905" customFormat="1">
      <c r="A119" s="1933"/>
      <c r="D119" s="1934"/>
      <c r="K119" s="741"/>
      <c r="L119" s="741"/>
    </row>
    <row r="120" spans="1:12" s="905" customFormat="1">
      <c r="A120" s="1933"/>
      <c r="D120" s="1934"/>
      <c r="K120" s="741"/>
      <c r="L120" s="741"/>
    </row>
    <row r="121" spans="1:12" s="905" customFormat="1">
      <c r="A121" s="1933"/>
      <c r="D121" s="1934"/>
      <c r="K121" s="741"/>
      <c r="L121" s="741"/>
    </row>
    <row r="122" spans="1:12" s="905" customFormat="1">
      <c r="A122" s="1933"/>
      <c r="D122" s="1934"/>
      <c r="K122" s="741"/>
      <c r="L122" s="741"/>
    </row>
    <row r="123" spans="1:12" s="905" customFormat="1">
      <c r="A123" s="1933"/>
      <c r="D123" s="1934"/>
      <c r="K123" s="741"/>
      <c r="L123" s="741"/>
    </row>
    <row r="124" spans="1:12" s="905" customFormat="1">
      <c r="A124" s="1933"/>
      <c r="D124" s="1934"/>
      <c r="K124" s="741"/>
      <c r="L124" s="741"/>
    </row>
    <row r="125" spans="1:12" s="905" customFormat="1">
      <c r="A125" s="1933"/>
      <c r="D125" s="1934"/>
      <c r="K125" s="741"/>
      <c r="L125" s="741"/>
    </row>
    <row r="126" spans="1:12" s="905" customFormat="1">
      <c r="A126" s="1933"/>
      <c r="D126" s="1934"/>
      <c r="K126" s="741"/>
      <c r="L126" s="741"/>
    </row>
    <row r="127" spans="1:12" s="905" customFormat="1">
      <c r="A127" s="1933"/>
      <c r="D127" s="1934"/>
      <c r="K127" s="741"/>
      <c r="L127" s="741"/>
    </row>
    <row r="128" spans="1:12" s="905" customFormat="1">
      <c r="A128" s="1933"/>
      <c r="D128" s="1934"/>
      <c r="K128" s="741"/>
      <c r="L128" s="741"/>
    </row>
    <row r="129" spans="1:12" s="905" customFormat="1">
      <c r="A129" s="1933"/>
      <c r="D129" s="1934"/>
      <c r="K129" s="741"/>
      <c r="L129" s="741"/>
    </row>
    <row r="130" spans="1:12" s="905" customFormat="1">
      <c r="A130" s="1933"/>
      <c r="D130" s="1934"/>
      <c r="K130" s="741"/>
      <c r="L130" s="741"/>
    </row>
    <row r="131" spans="1:12" s="905" customFormat="1">
      <c r="A131" s="1933"/>
      <c r="D131" s="1934"/>
      <c r="K131" s="741"/>
      <c r="L131" s="741"/>
    </row>
    <row r="132" spans="1:12" s="905" customFormat="1">
      <c r="A132" s="1933"/>
      <c r="D132" s="1934"/>
      <c r="K132" s="741"/>
      <c r="L132" s="741"/>
    </row>
    <row r="133" spans="1:12" s="905" customFormat="1">
      <c r="A133" s="1933"/>
      <c r="D133" s="1934"/>
      <c r="K133" s="741"/>
      <c r="L133" s="741"/>
    </row>
    <row r="134" spans="1:12" s="1873" customFormat="1">
      <c r="A134" s="1935"/>
      <c r="D134" s="1936"/>
      <c r="K134" s="27"/>
      <c r="L134" s="27"/>
    </row>
    <row r="135" spans="1:12" s="1873" customFormat="1">
      <c r="A135" s="1935"/>
      <c r="D135" s="1936"/>
      <c r="K135" s="27"/>
      <c r="L135" s="27"/>
    </row>
    <row r="136" spans="1:12" s="1873" customFormat="1">
      <c r="A136" s="1935"/>
      <c r="D136" s="1936"/>
      <c r="K136" s="27"/>
      <c r="L136" s="27"/>
    </row>
    <row r="137" spans="1:12" s="1873" customFormat="1">
      <c r="A137" s="1935"/>
      <c r="D137" s="1936"/>
      <c r="K137" s="27"/>
      <c r="L137" s="27"/>
    </row>
    <row r="138" spans="1:12" s="1873" customFormat="1">
      <c r="A138" s="1935"/>
      <c r="D138" s="1936"/>
      <c r="K138" s="27"/>
      <c r="L138" s="27"/>
    </row>
    <row r="139" spans="1:12" s="1873" customFormat="1">
      <c r="A139" s="1935"/>
      <c r="D139" s="1936"/>
      <c r="K139" s="27"/>
      <c r="L139" s="27"/>
    </row>
    <row r="140" spans="1:12" s="1873" customFormat="1">
      <c r="A140" s="1935"/>
      <c r="D140" s="1936"/>
      <c r="K140" s="27"/>
      <c r="L140" s="27"/>
    </row>
    <row r="141" spans="1:12" s="1873" customFormat="1">
      <c r="A141" s="1935"/>
      <c r="D141" s="1936"/>
      <c r="K141" s="27"/>
      <c r="L141" s="27"/>
    </row>
    <row r="142" spans="1:12" s="1873" customFormat="1">
      <c r="A142" s="1935"/>
      <c r="D142" s="1936"/>
      <c r="K142" s="27"/>
      <c r="L142" s="27"/>
    </row>
    <row r="143" spans="1:12" s="1873" customFormat="1">
      <c r="A143" s="1935"/>
      <c r="D143" s="1936"/>
      <c r="K143" s="27"/>
      <c r="L143" s="27"/>
    </row>
    <row r="144" spans="1:12" s="1873" customFormat="1">
      <c r="A144" s="1935"/>
      <c r="D144" s="1936"/>
      <c r="K144" s="27"/>
      <c r="L144" s="27"/>
    </row>
    <row r="145" spans="1:12" s="1873" customFormat="1">
      <c r="A145" s="1935"/>
      <c r="D145" s="1936"/>
      <c r="K145" s="27"/>
      <c r="L145" s="27"/>
    </row>
    <row r="146" spans="1:12" s="1873" customFormat="1">
      <c r="A146" s="1935"/>
      <c r="D146" s="1936"/>
      <c r="K146" s="27"/>
      <c r="L146" s="27"/>
    </row>
    <row r="147" spans="1:12" s="1873" customFormat="1">
      <c r="A147" s="1935"/>
      <c r="D147" s="1936"/>
      <c r="K147" s="27"/>
      <c r="L147" s="27"/>
    </row>
    <row r="148" spans="1:12" s="1873" customFormat="1">
      <c r="A148" s="1935"/>
      <c r="D148" s="1936"/>
      <c r="K148" s="27"/>
      <c r="L148" s="27"/>
    </row>
    <row r="149" spans="1:12" s="1873" customFormat="1">
      <c r="A149" s="1935"/>
      <c r="D149" s="1936"/>
      <c r="K149" s="27"/>
      <c r="L149" s="27"/>
    </row>
    <row r="150" spans="1:12" s="1873" customFormat="1">
      <c r="A150" s="1935"/>
      <c r="D150" s="1936"/>
      <c r="K150" s="27"/>
      <c r="L150" s="27"/>
    </row>
    <row r="151" spans="1:12" s="1873" customFormat="1">
      <c r="A151" s="1935"/>
      <c r="D151" s="1936"/>
      <c r="K151" s="27"/>
      <c r="L151" s="27"/>
    </row>
    <row r="152" spans="1:12" s="1873" customFormat="1">
      <c r="A152" s="1935"/>
      <c r="D152" s="1936"/>
      <c r="K152" s="27"/>
      <c r="L152" s="27"/>
    </row>
    <row r="153" spans="1:12" s="1873" customFormat="1">
      <c r="A153" s="1935"/>
      <c r="D153" s="1936"/>
      <c r="K153" s="27"/>
      <c r="L153" s="27"/>
    </row>
    <row r="154" spans="1:12" s="1873" customFormat="1">
      <c r="A154" s="1935"/>
      <c r="D154" s="1936"/>
      <c r="K154" s="27"/>
      <c r="L154" s="27"/>
    </row>
    <row r="155" spans="1:12" s="1873" customFormat="1">
      <c r="A155" s="1935"/>
      <c r="D155" s="1936"/>
      <c r="K155" s="27"/>
      <c r="L155" s="27"/>
    </row>
    <row r="156" spans="1:12" s="1873" customFormat="1">
      <c r="A156" s="1935"/>
      <c r="D156" s="1936"/>
      <c r="K156" s="27"/>
      <c r="L156" s="27"/>
    </row>
    <row r="157" spans="1:12" s="1873" customFormat="1">
      <c r="A157" s="1935"/>
      <c r="D157" s="1936"/>
      <c r="K157" s="27"/>
      <c r="L157" s="27"/>
    </row>
    <row r="158" spans="1:12" s="1873" customFormat="1">
      <c r="A158" s="1935"/>
      <c r="D158" s="1936"/>
      <c r="K158" s="27"/>
      <c r="L158" s="27"/>
    </row>
    <row r="159" spans="1:12" s="1873" customFormat="1">
      <c r="A159" s="1935"/>
      <c r="D159" s="1936"/>
      <c r="K159" s="27"/>
      <c r="L159" s="27"/>
    </row>
    <row r="160" spans="1:12" s="1873" customFormat="1">
      <c r="A160" s="1935"/>
      <c r="D160" s="1936"/>
      <c r="K160" s="27"/>
      <c r="L160" s="27"/>
    </row>
    <row r="161" spans="1:12" s="1873" customFormat="1">
      <c r="A161" s="1935"/>
      <c r="D161" s="1936"/>
      <c r="K161" s="27"/>
      <c r="L161" s="27"/>
    </row>
    <row r="162" spans="1:12" s="1873" customFormat="1">
      <c r="A162" s="1935"/>
      <c r="D162" s="1936"/>
      <c r="K162" s="27"/>
      <c r="L162" s="27"/>
    </row>
    <row r="163" spans="1:12" s="1873" customFormat="1">
      <c r="A163" s="1935"/>
      <c r="D163" s="1936"/>
      <c r="K163" s="27"/>
      <c r="L163" s="27"/>
    </row>
    <row r="164" spans="1:12" s="1873" customFormat="1">
      <c r="A164" s="1935"/>
      <c r="D164" s="1936"/>
      <c r="K164" s="27"/>
      <c r="L164" s="27"/>
    </row>
    <row r="165" spans="1:12" s="1873" customFormat="1">
      <c r="A165" s="1935"/>
      <c r="D165" s="1936"/>
      <c r="K165" s="27"/>
      <c r="L165" s="27"/>
    </row>
    <row r="166" spans="1:12" s="1873" customFormat="1">
      <c r="A166" s="1935"/>
      <c r="D166" s="1936"/>
      <c r="K166" s="27"/>
      <c r="L166" s="27"/>
    </row>
    <row r="167" spans="1:12" s="1873" customFormat="1">
      <c r="A167" s="1935"/>
      <c r="D167" s="1936"/>
      <c r="K167" s="27"/>
      <c r="L167" s="27"/>
    </row>
    <row r="168" spans="1:12" s="1873" customFormat="1">
      <c r="A168" s="1935"/>
      <c r="D168" s="1936"/>
      <c r="K168" s="27"/>
      <c r="L168" s="27"/>
    </row>
    <row r="169" spans="1:12" s="1873" customFormat="1">
      <c r="A169" s="1935"/>
      <c r="D169" s="1936"/>
      <c r="K169" s="27"/>
      <c r="L169" s="27"/>
    </row>
    <row r="170" spans="1:12" s="1873" customFormat="1">
      <c r="A170" s="1935"/>
      <c r="D170" s="1936"/>
      <c r="K170" s="27"/>
      <c r="L170" s="27"/>
    </row>
    <row r="171" spans="1:12" s="1873" customFormat="1">
      <c r="A171" s="1935"/>
      <c r="D171" s="1936"/>
      <c r="K171" s="27"/>
      <c r="L171" s="27"/>
    </row>
    <row r="172" spans="1:12" s="1873" customFormat="1">
      <c r="A172" s="1935"/>
      <c r="D172" s="1936"/>
      <c r="K172" s="27"/>
      <c r="L172" s="27"/>
    </row>
    <row r="173" spans="1:12" s="1873" customFormat="1">
      <c r="A173" s="1935"/>
      <c r="D173" s="1936"/>
      <c r="K173" s="27"/>
      <c r="L173" s="27"/>
    </row>
    <row r="174" spans="1:12" s="1873" customFormat="1">
      <c r="A174" s="1935"/>
      <c r="D174" s="1936"/>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6" sqref="G6"/>
    </sheetView>
  </sheetViews>
  <sheetFormatPr defaultColWidth="9" defaultRowHeight="13.8"/>
  <cols>
    <col min="1" max="1" width="9.44140625" style="1878" customWidth="1"/>
    <col min="2" max="2" width="24.44140625" style="1763" customWidth="1"/>
    <col min="3" max="3" width="24.44140625" style="2737" customWidth="1"/>
    <col min="4" max="4" width="2.6640625" style="2737" customWidth="1"/>
    <col min="5" max="5" width="5.88671875" style="2737" customWidth="1"/>
    <col min="6" max="6" width="27" style="1763" customWidth="1"/>
    <col min="7" max="7" width="27" style="2738" customWidth="1"/>
    <col min="8" max="8" width="11.88671875" style="2719" customWidth="1"/>
    <col min="9" max="9" width="16.77734375" style="2720" customWidth="1"/>
    <col min="10" max="10" width="2.6640625" style="2719" customWidth="1"/>
    <col min="11" max="11" width="11.88671875" style="2719" customWidth="1"/>
    <col min="12" max="12" width="16.77734375" style="2720" customWidth="1"/>
    <col min="13" max="13" width="2.6640625" style="2719" customWidth="1"/>
    <col min="14" max="14" width="11.88671875" style="2719" customWidth="1"/>
    <col min="15" max="15" width="16.77734375" style="2720" customWidth="1"/>
    <col min="16" max="16" width="2.6640625" style="2719" customWidth="1"/>
    <col min="17" max="17" width="11.88671875" style="2719" customWidth="1"/>
    <col min="18" max="18" width="16.77734375" style="2721" customWidth="1"/>
    <col min="19" max="29" width="9" style="911"/>
    <col min="30" max="16384" width="9" style="1878"/>
  </cols>
  <sheetData>
    <row r="1" spans="1:29" s="2687" customFormat="1" ht="18" thickBot="1">
      <c r="A1" s="3207" t="s">
        <v>3041</v>
      </c>
      <c r="B1" s="3208"/>
      <c r="C1" s="3208"/>
      <c r="D1" s="3208"/>
      <c r="E1" s="3208"/>
      <c r="F1" s="3208"/>
      <c r="G1" s="3208"/>
      <c r="H1" s="2682"/>
      <c r="I1" s="2683"/>
      <c r="J1" s="2682"/>
      <c r="K1" s="2682"/>
      <c r="L1" s="2683"/>
      <c r="M1" s="2682"/>
      <c r="N1" s="2682"/>
      <c r="O1" s="2683"/>
      <c r="P1" s="2682"/>
      <c r="Q1" s="2684"/>
      <c r="R1" s="2685"/>
      <c r="S1" s="2686"/>
      <c r="T1" s="2686"/>
      <c r="U1" s="2686"/>
      <c r="V1" s="2686"/>
      <c r="W1" s="2686"/>
      <c r="X1" s="2686"/>
      <c r="Y1" s="2686"/>
      <c r="Z1" s="2686"/>
      <c r="AA1" s="2686"/>
      <c r="AB1" s="2686"/>
      <c r="AC1" s="2686"/>
    </row>
    <row r="2" spans="1:29" ht="14.4" thickBot="1">
      <c r="A2" s="2688"/>
      <c r="B2" s="2689"/>
      <c r="C2" s="2690" t="s">
        <v>3037</v>
      </c>
      <c r="D2" s="2691"/>
      <c r="E2" s="2688"/>
      <c r="F2" s="2692"/>
      <c r="G2" s="2690" t="s">
        <v>3038</v>
      </c>
      <c r="H2" s="911"/>
      <c r="I2" s="911"/>
      <c r="J2" s="911"/>
      <c r="K2" s="911"/>
      <c r="L2" s="911"/>
      <c r="M2" s="911"/>
      <c r="N2" s="911"/>
      <c r="O2" s="911"/>
      <c r="P2" s="911"/>
      <c r="Q2" s="911"/>
      <c r="R2" s="911"/>
    </row>
    <row r="3" spans="1:29" ht="48">
      <c r="A3" s="2671" t="s">
        <v>3039</v>
      </c>
      <c r="B3" s="2693" t="s">
        <v>3009</v>
      </c>
      <c r="C3" s="2694" t="s">
        <v>3040</v>
      </c>
      <c r="D3" s="2695"/>
      <c r="E3" s="2672" t="s">
        <v>3039</v>
      </c>
      <c r="F3" s="2696" t="s">
        <v>3010</v>
      </c>
      <c r="G3" s="3037" t="s">
        <v>3161</v>
      </c>
      <c r="H3" s="911"/>
      <c r="I3" s="911"/>
      <c r="J3" s="911"/>
      <c r="K3" s="911"/>
      <c r="L3" s="911"/>
      <c r="M3" s="911"/>
      <c r="N3" s="911"/>
      <c r="O3" s="911"/>
      <c r="P3" s="911"/>
      <c r="Q3" s="911"/>
      <c r="R3" s="911"/>
    </row>
    <row r="4" spans="1:29" ht="43.2">
      <c r="A4" s="2672"/>
      <c r="B4" s="333" t="s">
        <v>3011</v>
      </c>
      <c r="C4" s="2697" t="s">
        <v>3012</v>
      </c>
      <c r="D4" s="2695"/>
      <c r="E4" s="2698"/>
      <c r="F4" s="1563" t="s">
        <v>3013</v>
      </c>
      <c r="G4" s="3038" t="s">
        <v>3162</v>
      </c>
      <c r="H4" s="911"/>
      <c r="I4" s="911"/>
      <c r="J4" s="911"/>
      <c r="K4" s="911"/>
      <c r="L4" s="911"/>
      <c r="M4" s="911"/>
      <c r="N4" s="911"/>
      <c r="O4" s="911"/>
      <c r="P4" s="911"/>
      <c r="Q4" s="911"/>
      <c r="R4" s="911"/>
    </row>
    <row r="5" spans="1:29" ht="37.200000000000003">
      <c r="A5" s="2672"/>
      <c r="B5" s="333" t="s">
        <v>3015</v>
      </c>
      <c r="C5" s="2697" t="s">
        <v>3016</v>
      </c>
      <c r="D5" s="2695"/>
      <c r="E5" s="2698"/>
      <c r="F5" s="333" t="s">
        <v>3017</v>
      </c>
      <c r="G5" s="3038" t="s">
        <v>3188</v>
      </c>
      <c r="H5" s="911"/>
      <c r="I5" s="911"/>
      <c r="J5" s="911"/>
      <c r="K5" s="911"/>
      <c r="L5" s="911"/>
      <c r="M5" s="911"/>
      <c r="N5" s="911"/>
      <c r="O5" s="911"/>
      <c r="P5" s="911"/>
      <c r="Q5" s="911"/>
      <c r="R5" s="911"/>
    </row>
    <row r="6" spans="1:29" ht="48.6" thickBot="1">
      <c r="A6" s="2672"/>
      <c r="B6" s="333" t="s">
        <v>3019</v>
      </c>
      <c r="C6" s="2699" t="s">
        <v>3014</v>
      </c>
      <c r="D6" s="2695"/>
      <c r="E6" s="2698"/>
      <c r="F6" s="333" t="s">
        <v>3020</v>
      </c>
      <c r="G6" s="3039" t="s">
        <v>3163</v>
      </c>
      <c r="H6" s="911"/>
      <c r="I6" s="911"/>
      <c r="J6" s="911"/>
      <c r="K6" s="911"/>
      <c r="L6" s="911"/>
      <c r="M6" s="911"/>
      <c r="N6" s="911"/>
      <c r="O6" s="911"/>
      <c r="P6" s="911"/>
      <c r="Q6" s="911"/>
      <c r="R6" s="911"/>
    </row>
    <row r="7" spans="1:29" ht="43.8" thickBot="1">
      <c r="A7" s="2672"/>
      <c r="B7" s="333" t="s">
        <v>3017</v>
      </c>
      <c r="C7" s="2699" t="s">
        <v>3018</v>
      </c>
      <c r="D7" s="2700"/>
      <c r="E7" s="2701"/>
      <c r="F7" s="2702" t="s">
        <v>3022</v>
      </c>
      <c r="G7" s="3039" t="s">
        <v>3164</v>
      </c>
      <c r="H7" s="911"/>
      <c r="I7" s="911"/>
      <c r="J7" s="911"/>
      <c r="K7" s="911"/>
      <c r="L7" s="911"/>
      <c r="M7" s="911"/>
      <c r="N7" s="911"/>
      <c r="O7" s="911"/>
      <c r="P7" s="911"/>
      <c r="Q7" s="911"/>
      <c r="R7" s="911"/>
    </row>
    <row r="8" spans="1:29" ht="24">
      <c r="A8" s="2672"/>
      <c r="B8" s="333" t="s">
        <v>3020</v>
      </c>
      <c r="C8" s="2699" t="s">
        <v>3021</v>
      </c>
      <c r="D8" s="2700"/>
      <c r="E8" s="2700"/>
      <c r="F8" s="2703"/>
      <c r="G8" s="2703"/>
      <c r="H8" s="911"/>
      <c r="I8" s="911"/>
      <c r="J8" s="911"/>
      <c r="K8" s="911"/>
      <c r="L8" s="911"/>
      <c r="M8" s="911"/>
      <c r="N8" s="911"/>
      <c r="O8" s="911"/>
      <c r="P8" s="911"/>
      <c r="Q8" s="911"/>
      <c r="R8" s="911"/>
    </row>
    <row r="9" spans="1:29" ht="24">
      <c r="A9" s="2672"/>
      <c r="B9" s="333" t="s">
        <v>3023</v>
      </c>
      <c r="C9" s="2697" t="s">
        <v>3024</v>
      </c>
      <c r="D9" s="2695"/>
      <c r="E9" s="2700"/>
      <c r="F9" s="2703"/>
      <c r="G9" s="2703"/>
      <c r="H9" s="911"/>
      <c r="I9" s="911"/>
      <c r="J9" s="911"/>
      <c r="K9" s="911"/>
      <c r="L9" s="911"/>
      <c r="M9" s="911"/>
      <c r="N9" s="911"/>
      <c r="O9" s="911"/>
      <c r="P9" s="911"/>
      <c r="Q9" s="911"/>
      <c r="R9" s="911"/>
    </row>
    <row r="10" spans="1:29" s="2709" customFormat="1" ht="14.4" thickBot="1">
      <c r="A10" s="2673"/>
      <c r="B10" s="2704" t="s">
        <v>3025</v>
      </c>
      <c r="C10" s="2705"/>
      <c r="D10" s="2695"/>
      <c r="E10" s="2695"/>
      <c r="F10" s="2703"/>
      <c r="G10" s="2703"/>
      <c r="H10" s="2706"/>
      <c r="I10" s="2707"/>
      <c r="J10" s="2708"/>
      <c r="K10" s="2706"/>
      <c r="L10" s="2707"/>
      <c r="M10" s="2708"/>
      <c r="N10" s="2706"/>
      <c r="O10" s="2707"/>
      <c r="P10" s="2708"/>
      <c r="Q10" s="2706"/>
      <c r="R10" s="2707"/>
      <c r="S10" s="911"/>
      <c r="T10" s="911"/>
      <c r="U10" s="911"/>
      <c r="V10" s="911"/>
      <c r="W10" s="911"/>
      <c r="X10" s="911"/>
      <c r="Y10" s="911"/>
      <c r="Z10" s="911"/>
      <c r="AA10" s="911"/>
      <c r="AB10" s="911"/>
      <c r="AC10" s="911"/>
    </row>
    <row r="11" spans="1:29" s="2709" customFormat="1">
      <c r="A11" s="2710"/>
      <c r="B11" s="2700"/>
      <c r="C11" s="2695"/>
      <c r="D11" s="2695"/>
      <c r="E11" s="2695"/>
      <c r="F11" s="2700"/>
      <c r="G11" s="2711"/>
      <c r="H11" s="2706"/>
      <c r="I11" s="2707"/>
      <c r="J11" s="2708"/>
      <c r="K11" s="2706"/>
      <c r="L11" s="2707"/>
      <c r="M11" s="2708"/>
      <c r="N11" s="2706"/>
      <c r="O11" s="2707"/>
      <c r="P11" s="2708"/>
      <c r="Q11" s="2706"/>
      <c r="R11" s="2707"/>
      <c r="S11" s="911"/>
      <c r="T11" s="911"/>
      <c r="U11" s="911"/>
      <c r="V11" s="911"/>
      <c r="W11" s="911"/>
      <c r="X11" s="911"/>
      <c r="Y11" s="911"/>
      <c r="Z11" s="911"/>
      <c r="AA11" s="911"/>
      <c r="AB11" s="911"/>
      <c r="AC11" s="911"/>
    </row>
    <row r="12" spans="1:29" s="2687" customFormat="1" ht="17.399999999999999">
      <c r="A12" s="2710"/>
      <c r="B12" s="2700"/>
      <c r="C12" s="2695"/>
      <c r="D12" s="2712"/>
      <c r="E12" s="2695"/>
      <c r="F12" s="2700"/>
      <c r="G12" s="2711"/>
      <c r="H12" s="2713"/>
      <c r="I12" s="2714"/>
      <c r="J12" s="2713"/>
      <c r="K12" s="2713"/>
      <c r="L12" s="2715"/>
      <c r="M12" s="2713"/>
      <c r="N12" s="2716"/>
      <c r="O12" s="2717"/>
      <c r="P12" s="2716"/>
      <c r="Q12" s="2716"/>
      <c r="R12" s="2685"/>
      <c r="S12" s="2686"/>
      <c r="T12" s="2686"/>
      <c r="U12" s="2686"/>
      <c r="V12" s="2686"/>
      <c r="W12" s="2686"/>
      <c r="X12" s="2686"/>
      <c r="Y12" s="2686"/>
      <c r="Z12" s="2686"/>
      <c r="AA12" s="2686"/>
      <c r="AB12" s="2686"/>
      <c r="AC12" s="2686"/>
    </row>
    <row r="13" spans="1:29" ht="15" thickBot="1">
      <c r="A13" s="2718" t="s">
        <v>3042</v>
      </c>
      <c r="B13" s="2712"/>
      <c r="C13" s="2712"/>
      <c r="D13" s="2710"/>
      <c r="E13" s="2712"/>
      <c r="F13" s="2712"/>
      <c r="G13" s="2712"/>
    </row>
    <row r="14" spans="1:29" ht="14.4" thickBot="1">
      <c r="A14" s="2722"/>
      <c r="B14" s="2722"/>
      <c r="C14" s="2723" t="s">
        <v>3026</v>
      </c>
      <c r="D14" s="2695"/>
      <c r="E14" s="2724"/>
      <c r="F14" s="2724"/>
      <c r="G14" s="2690" t="s">
        <v>3027</v>
      </c>
    </row>
    <row r="15" spans="1:29" ht="52.8">
      <c r="A15" s="2674" t="s">
        <v>3028</v>
      </c>
      <c r="B15" s="2725" t="s">
        <v>3009</v>
      </c>
      <c r="C15" s="2726" t="str">
        <f>C3</f>
        <v>估价对象周边居住用地比例、居住小区规模和社区发展完善程度，综合评价居住社区成熟度一般</v>
      </c>
      <c r="D15" s="2695"/>
      <c r="E15" s="2675" t="s">
        <v>3029</v>
      </c>
      <c r="F15" s="2725" t="s">
        <v>3030</v>
      </c>
      <c r="G15" s="2727" t="str">
        <f>G3</f>
        <v>估价对象位于北京经济技术开发区，园区建设成熟，产业集聚程度较好</v>
      </c>
    </row>
    <row r="16" spans="1:29" ht="39.6">
      <c r="A16" s="2676"/>
      <c r="B16" s="2728" t="s">
        <v>3011</v>
      </c>
      <c r="C16" s="2729" t="str">
        <f>C4</f>
        <v>估价对象位于XX商圈，周边商业氛围成熟，人流量大，商业繁华度好</v>
      </c>
      <c r="D16" s="2695"/>
      <c r="E16" s="2677"/>
      <c r="F16" s="2730" t="s">
        <v>3013</v>
      </c>
      <c r="G16" s="2731" t="str">
        <f>G4</f>
        <v>估价对象周边道路状况、公共交通通达情况、停车便捷程度，综合评价交通便捷度较好</v>
      </c>
    </row>
    <row r="17" spans="1:18" ht="39.6">
      <c r="A17" s="2676"/>
      <c r="B17" s="2728" t="s">
        <v>3015</v>
      </c>
      <c r="C17" s="2729" t="str">
        <f>C5</f>
        <v>估价对象位于XX商圈，周边办公楼项目较多，入驻率高，办公集聚程度较好</v>
      </c>
      <c r="D17" s="2700"/>
      <c r="E17" s="2677"/>
      <c r="F17" s="2730" t="s">
        <v>3031</v>
      </c>
      <c r="G17" s="3040" t="s">
        <v>3165</v>
      </c>
    </row>
    <row r="18" spans="1:18" ht="52.8">
      <c r="A18" s="2676"/>
      <c r="B18" s="2730" t="s">
        <v>3019</v>
      </c>
      <c r="C18" s="2731" t="str">
        <f>C6</f>
        <v>估价对象周边道路状况、公共交通通达情况、停车便捷程度，综合评价交通便捷度较好</v>
      </c>
      <c r="D18" s="2700"/>
      <c r="E18" s="2677"/>
      <c r="F18" s="2730" t="s">
        <v>3022</v>
      </c>
      <c r="G18" s="2731" t="str">
        <f>G7</f>
        <v>该园区内无污染型企业，绿化较好，卫生条件良好，整体环境状况较好</v>
      </c>
    </row>
    <row r="19" spans="1:18" ht="26.4">
      <c r="A19" s="2676"/>
      <c r="B19" s="2730" t="s">
        <v>3032</v>
      </c>
      <c r="C19" s="2732"/>
      <c r="D19" s="2695"/>
      <c r="E19" s="2677"/>
      <c r="F19" s="333" t="s">
        <v>3017</v>
      </c>
      <c r="G19" s="2731" t="str">
        <f>G5</f>
        <v>估价对象所在区域公共配套设施齐备情况较好</v>
      </c>
    </row>
    <row r="20" spans="1:18" ht="26.4">
      <c r="A20" s="2676"/>
      <c r="B20" s="2730" t="s">
        <v>3033</v>
      </c>
      <c r="C20" s="2729" t="str">
        <f>C9</f>
        <v>区域自然环境：；人文环境；综合评价环境状况一般</v>
      </c>
      <c r="D20" s="2700"/>
      <c r="E20" s="2677"/>
      <c r="F20" s="333" t="s">
        <v>3020</v>
      </c>
      <c r="G20" s="2731" t="str">
        <f>G6</f>
        <v>七通</v>
      </c>
    </row>
    <row r="21" spans="1:18" ht="26.4">
      <c r="A21" s="2676"/>
      <c r="B21" s="333" t="s">
        <v>3017</v>
      </c>
      <c r="C21" s="2731" t="str">
        <f>C7</f>
        <v>估价对象所在区域公共配套设施齐备情况</v>
      </c>
      <c r="D21" s="2695"/>
      <c r="E21" s="2677"/>
      <c r="F21" s="2730" t="s">
        <v>3034</v>
      </c>
      <c r="G21" s="3041" t="s">
        <v>3166</v>
      </c>
    </row>
    <row r="22" spans="1:18" ht="13.5" customHeight="1">
      <c r="A22" s="2676"/>
      <c r="B22" s="333" t="s">
        <v>3020</v>
      </c>
      <c r="C22" s="2731" t="str">
        <f>C8</f>
        <v>估价对象所在区域基础设施水平</v>
      </c>
      <c r="D22" s="2695"/>
      <c r="E22" s="2677"/>
      <c r="F22" s="2730" t="s">
        <v>3025</v>
      </c>
      <c r="G22" s="1346" t="s">
        <v>3167</v>
      </c>
    </row>
    <row r="23" spans="1:18" s="911" customFormat="1" ht="14.4" thickBot="1">
      <c r="A23" s="2676"/>
      <c r="B23" s="2730" t="s">
        <v>3034</v>
      </c>
      <c r="C23" s="2733"/>
      <c r="D23" s="1933"/>
      <c r="E23" s="2678"/>
      <c r="F23" s="2734" t="s">
        <v>3035</v>
      </c>
      <c r="G23" s="3042"/>
      <c r="H23" s="2719"/>
      <c r="I23" s="2720"/>
      <c r="J23" s="2719"/>
      <c r="K23" s="2719"/>
      <c r="L23" s="2720"/>
      <c r="M23" s="2719"/>
      <c r="N23" s="2719"/>
      <c r="O23" s="2720"/>
      <c r="P23" s="2719"/>
      <c r="Q23" s="2719"/>
      <c r="R23" s="2721"/>
    </row>
    <row r="24" spans="1:18" s="911" customFormat="1" ht="14.4" thickBot="1">
      <c r="A24" s="2679"/>
      <c r="B24" s="2734" t="s">
        <v>3036</v>
      </c>
      <c r="C24" s="2735">
        <f>C10</f>
        <v>0</v>
      </c>
      <c r="D24" s="1933"/>
      <c r="E24" s="2669"/>
      <c r="F24" s="2669"/>
      <c r="G24" s="2736"/>
      <c r="H24" s="2719"/>
      <c r="I24" s="2720"/>
      <c r="J24" s="2719"/>
      <c r="K24" s="2719"/>
      <c r="L24" s="2720"/>
      <c r="M24" s="2719"/>
      <c r="N24" s="2719"/>
      <c r="O24" s="2720"/>
      <c r="P24" s="2719"/>
      <c r="Q24" s="2719"/>
      <c r="R24" s="2721"/>
    </row>
    <row r="25" spans="1:18" s="911" customFormat="1">
      <c r="B25" s="2719"/>
      <c r="C25" s="2719"/>
      <c r="D25" s="2719"/>
      <c r="H25" s="2719"/>
      <c r="I25" s="2720"/>
      <c r="J25" s="2719"/>
      <c r="K25" s="2719"/>
      <c r="L25" s="2720"/>
      <c r="M25" s="2719"/>
      <c r="N25" s="2719"/>
      <c r="O25" s="2720"/>
      <c r="P25" s="2719"/>
      <c r="Q25" s="2719"/>
      <c r="R25" s="2721"/>
    </row>
    <row r="26" spans="1:18" s="911" customFormat="1">
      <c r="B26" s="2719"/>
      <c r="C26" s="2719"/>
      <c r="D26" s="2719"/>
      <c r="H26" s="2719"/>
      <c r="I26" s="2720"/>
      <c r="J26" s="2719"/>
      <c r="K26" s="2719"/>
      <c r="L26" s="2720"/>
      <c r="M26" s="2719"/>
      <c r="N26" s="2719"/>
      <c r="O26" s="2720"/>
      <c r="P26" s="2719"/>
      <c r="Q26" s="2719"/>
      <c r="R26" s="2721"/>
    </row>
    <row r="27" spans="1:18" s="911" customFormat="1">
      <c r="B27" s="2719"/>
      <c r="C27" s="2719"/>
      <c r="D27" s="2719"/>
      <c r="H27" s="2719"/>
      <c r="I27" s="2720"/>
      <c r="J27" s="2719"/>
      <c r="K27" s="2719"/>
      <c r="L27" s="2720"/>
      <c r="M27" s="2719"/>
      <c r="N27" s="2719"/>
      <c r="O27" s="2720"/>
      <c r="P27" s="2719"/>
      <c r="Q27" s="2719"/>
      <c r="R27" s="2721"/>
    </row>
    <row r="28" spans="1:18" s="911" customFormat="1">
      <c r="B28" s="2719"/>
      <c r="C28" s="2719"/>
      <c r="D28" s="2719"/>
      <c r="H28" s="2719"/>
      <c r="I28" s="2720"/>
      <c r="J28" s="2719"/>
      <c r="K28" s="2719"/>
      <c r="L28" s="2720"/>
      <c r="M28" s="2719"/>
      <c r="N28" s="2719"/>
      <c r="O28" s="2720"/>
      <c r="P28" s="2719"/>
      <c r="Q28" s="2719"/>
      <c r="R28" s="2721"/>
    </row>
    <row r="29" spans="1:18" s="911" customFormat="1">
      <c r="B29" s="2719"/>
      <c r="C29" s="2719"/>
      <c r="D29" s="2719"/>
      <c r="H29" s="2719"/>
      <c r="I29" s="2720"/>
      <c r="J29" s="2719"/>
      <c r="K29" s="2719"/>
      <c r="L29" s="2720"/>
      <c r="M29" s="2719"/>
      <c r="N29" s="2719"/>
      <c r="O29" s="2720"/>
      <c r="P29" s="2719"/>
      <c r="Q29" s="2719"/>
      <c r="R29" s="2721"/>
    </row>
    <row r="30" spans="1:18" s="911" customFormat="1">
      <c r="B30" s="2719"/>
      <c r="C30" s="2719"/>
      <c r="D30" s="2719"/>
      <c r="H30" s="2719"/>
      <c r="I30" s="2720"/>
      <c r="J30" s="2719"/>
      <c r="K30" s="2719"/>
      <c r="L30" s="2720"/>
      <c r="M30" s="2719"/>
      <c r="N30" s="2719"/>
      <c r="O30" s="2720"/>
      <c r="P30" s="2719"/>
      <c r="Q30" s="2719"/>
      <c r="R30" s="2721"/>
    </row>
    <row r="31" spans="1:18" s="911" customFormat="1">
      <c r="B31" s="2719"/>
      <c r="C31" s="2719"/>
      <c r="D31" s="2719"/>
      <c r="H31" s="2719"/>
      <c r="I31" s="2720"/>
      <c r="J31" s="2719"/>
      <c r="K31" s="2719"/>
      <c r="L31" s="2720"/>
      <c r="M31" s="2719"/>
      <c r="N31" s="2719"/>
      <c r="O31" s="2720"/>
      <c r="P31" s="2719"/>
      <c r="Q31" s="2719"/>
      <c r="R31" s="2721"/>
    </row>
    <row r="32" spans="1:18" s="911" customFormat="1">
      <c r="B32" s="2719"/>
      <c r="C32" s="2719"/>
      <c r="D32" s="2719"/>
      <c r="H32" s="2719"/>
      <c r="I32" s="2720"/>
      <c r="J32" s="2719"/>
      <c r="K32" s="2719"/>
      <c r="L32" s="2720"/>
      <c r="M32" s="2719"/>
      <c r="N32" s="2719"/>
      <c r="O32" s="2720"/>
      <c r="P32" s="2719"/>
      <c r="Q32" s="2719"/>
      <c r="R32" s="2721"/>
    </row>
    <row r="33" spans="2:18" s="911" customFormat="1">
      <c r="B33" s="2719"/>
      <c r="C33" s="2719"/>
      <c r="D33" s="2719"/>
      <c r="H33" s="2719"/>
      <c r="I33" s="2720"/>
      <c r="J33" s="2719"/>
      <c r="K33" s="2719"/>
      <c r="L33" s="2720"/>
      <c r="M33" s="2719"/>
      <c r="N33" s="2719"/>
      <c r="O33" s="2720"/>
      <c r="P33" s="2719"/>
      <c r="Q33" s="2719"/>
      <c r="R33" s="2721"/>
    </row>
    <row r="34" spans="2:18" s="911" customFormat="1">
      <c r="B34" s="2719"/>
      <c r="C34" s="2719"/>
      <c r="D34" s="2719"/>
      <c r="H34" s="2719"/>
      <c r="I34" s="2720"/>
      <c r="J34" s="2719"/>
      <c r="K34" s="2719"/>
      <c r="L34" s="2720"/>
      <c r="M34" s="2719"/>
      <c r="N34" s="2719"/>
      <c r="O34" s="2720"/>
      <c r="P34" s="2719"/>
      <c r="Q34" s="2719"/>
      <c r="R34" s="2721"/>
    </row>
    <row r="35" spans="2:18" s="911" customFormat="1">
      <c r="B35" s="2719"/>
      <c r="C35" s="2719"/>
      <c r="D35" s="2719"/>
      <c r="H35" s="2719"/>
      <c r="I35" s="2720"/>
      <c r="J35" s="2719"/>
      <c r="K35" s="2719"/>
      <c r="L35" s="2720"/>
      <c r="M35" s="2719"/>
      <c r="N35" s="2719"/>
      <c r="O35" s="2720"/>
      <c r="P35" s="2719"/>
      <c r="Q35" s="2719"/>
      <c r="R35" s="2721"/>
    </row>
    <row r="36" spans="2:18" s="911" customFormat="1">
      <c r="B36" s="2719"/>
      <c r="C36" s="2719"/>
      <c r="D36" s="2719"/>
      <c r="H36" s="2719"/>
      <c r="I36" s="2720"/>
      <c r="J36" s="2719"/>
      <c r="K36" s="2719"/>
      <c r="L36" s="2720"/>
      <c r="M36" s="2719"/>
      <c r="N36" s="2719"/>
      <c r="O36" s="2720"/>
      <c r="P36" s="2719"/>
      <c r="Q36" s="2719"/>
      <c r="R36" s="2721"/>
    </row>
    <row r="37" spans="2:18" s="911" customFormat="1">
      <c r="B37" s="2719"/>
      <c r="C37" s="2719"/>
      <c r="D37" s="2719"/>
      <c r="H37" s="2719"/>
      <c r="I37" s="2720"/>
      <c r="J37" s="2719"/>
      <c r="K37" s="2719"/>
      <c r="L37" s="2720"/>
      <c r="M37" s="2719"/>
      <c r="N37" s="2719"/>
      <c r="O37" s="2720"/>
      <c r="P37" s="2719"/>
      <c r="Q37" s="2719"/>
      <c r="R37" s="2721"/>
    </row>
    <row r="38" spans="2:18" s="911" customFormat="1">
      <c r="B38" s="2719"/>
      <c r="C38" s="2719"/>
      <c r="D38" s="2719"/>
      <c r="E38" s="2719"/>
      <c r="F38" s="2719"/>
      <c r="G38" s="2720"/>
      <c r="H38" s="2719"/>
      <c r="I38" s="2720"/>
      <c r="J38" s="2719"/>
      <c r="K38" s="2719"/>
      <c r="L38" s="2720"/>
      <c r="M38" s="2719"/>
      <c r="N38" s="2719"/>
      <c r="O38" s="2720"/>
      <c r="P38" s="2719"/>
      <c r="Q38" s="2719"/>
      <c r="R38" s="2721"/>
    </row>
    <row r="39" spans="2:18" s="911" customFormat="1">
      <c r="B39" s="2719"/>
      <c r="C39" s="2719"/>
      <c r="D39" s="2719"/>
      <c r="E39" s="2719"/>
      <c r="F39" s="2719"/>
      <c r="G39" s="2720"/>
      <c r="H39" s="2719"/>
      <c r="I39" s="2720"/>
      <c r="J39" s="2719"/>
      <c r="K39" s="2719"/>
      <c r="L39" s="2720"/>
      <c r="M39" s="2719"/>
      <c r="N39" s="2719"/>
      <c r="O39" s="2720"/>
      <c r="P39" s="2719"/>
      <c r="Q39" s="2719"/>
      <c r="R39" s="2721"/>
    </row>
    <row r="40" spans="2:18" s="911" customFormat="1">
      <c r="B40" s="2719"/>
      <c r="C40" s="2719"/>
      <c r="D40" s="2719"/>
      <c r="E40" s="2719"/>
      <c r="F40" s="2719"/>
      <c r="G40" s="2720"/>
      <c r="H40" s="2719"/>
      <c r="I40" s="2720"/>
      <c r="J40" s="2719"/>
      <c r="K40" s="2719"/>
      <c r="L40" s="2720"/>
      <c r="M40" s="2719"/>
      <c r="N40" s="2719"/>
      <c r="O40" s="2720"/>
      <c r="P40" s="2719"/>
      <c r="Q40" s="2719"/>
      <c r="R40" s="2721"/>
    </row>
    <row r="41" spans="2:18" s="911" customFormat="1">
      <c r="B41" s="2719"/>
      <c r="C41" s="2719"/>
      <c r="D41" s="2719"/>
      <c r="E41" s="2719"/>
      <c r="F41" s="2719"/>
      <c r="G41" s="2720"/>
      <c r="H41" s="2719"/>
      <c r="I41" s="2720"/>
      <c r="J41" s="2719"/>
      <c r="K41" s="2719"/>
      <c r="L41" s="2720"/>
      <c r="M41" s="2719"/>
      <c r="N41" s="2719"/>
      <c r="O41" s="2720"/>
      <c r="P41" s="2719"/>
      <c r="Q41" s="2719"/>
      <c r="R41" s="2721"/>
    </row>
    <row r="42" spans="2:18" s="911" customFormat="1">
      <c r="B42" s="2719"/>
      <c r="C42" s="2719"/>
      <c r="D42" s="2719"/>
      <c r="E42" s="2719"/>
      <c r="F42" s="2719"/>
      <c r="G42" s="2720"/>
      <c r="H42" s="2719"/>
      <c r="I42" s="2720"/>
      <c r="J42" s="2719"/>
      <c r="K42" s="2719"/>
      <c r="L42" s="2720"/>
      <c r="M42" s="2719"/>
      <c r="N42" s="2719"/>
      <c r="O42" s="2720"/>
      <c r="P42" s="2719"/>
      <c r="Q42" s="2719"/>
      <c r="R42" s="2721"/>
    </row>
    <row r="43" spans="2:18" s="911" customFormat="1">
      <c r="B43" s="2719"/>
      <c r="C43" s="2719"/>
      <c r="D43" s="2719"/>
      <c r="E43" s="2719"/>
      <c r="F43" s="2719"/>
      <c r="G43" s="2720"/>
      <c r="H43" s="2719"/>
      <c r="I43" s="2720"/>
      <c r="J43" s="2719"/>
      <c r="K43" s="2719"/>
      <c r="L43" s="2720"/>
      <c r="M43" s="2719"/>
      <c r="N43" s="2719"/>
      <c r="O43" s="2720"/>
      <c r="P43" s="2719"/>
      <c r="Q43" s="2719"/>
      <c r="R43" s="2721"/>
    </row>
    <row r="44" spans="2:18" s="911" customFormat="1">
      <c r="B44" s="2719"/>
      <c r="C44" s="2719"/>
      <c r="D44" s="2719"/>
      <c r="E44" s="2719"/>
      <c r="F44" s="2719"/>
      <c r="G44" s="2720"/>
      <c r="H44" s="2719"/>
      <c r="I44" s="2720"/>
      <c r="J44" s="2719"/>
      <c r="K44" s="2719"/>
      <c r="L44" s="2720"/>
      <c r="M44" s="2719"/>
      <c r="N44" s="2719"/>
      <c r="O44" s="2720"/>
      <c r="P44" s="2719"/>
      <c r="Q44" s="2719"/>
      <c r="R44" s="2721"/>
    </row>
    <row r="45" spans="2:18" s="911" customFormat="1">
      <c r="B45" s="2719"/>
      <c r="C45" s="2719"/>
      <c r="D45" s="2719"/>
      <c r="E45" s="2719"/>
      <c r="F45" s="2719"/>
      <c r="G45" s="2720"/>
      <c r="H45" s="2719"/>
      <c r="I45" s="2720"/>
      <c r="J45" s="2719"/>
      <c r="K45" s="2719"/>
      <c r="L45" s="2720"/>
      <c r="M45" s="2719"/>
      <c r="N45" s="2719"/>
      <c r="O45" s="2720"/>
      <c r="P45" s="2719"/>
      <c r="Q45" s="2719"/>
      <c r="R45" s="2721"/>
    </row>
    <row r="46" spans="2:18" s="911" customFormat="1">
      <c r="B46" s="2719"/>
      <c r="C46" s="2719"/>
      <c r="D46" s="2719"/>
      <c r="E46" s="2719"/>
      <c r="F46" s="2719"/>
      <c r="G46" s="2720"/>
      <c r="H46" s="2719"/>
      <c r="I46" s="2720"/>
      <c r="J46" s="2719"/>
      <c r="K46" s="2719"/>
      <c r="L46" s="2720"/>
      <c r="M46" s="2719"/>
      <c r="N46" s="2719"/>
      <c r="O46" s="2720"/>
      <c r="P46" s="2719"/>
      <c r="Q46" s="2719"/>
      <c r="R46" s="2721"/>
    </row>
    <row r="47" spans="2:18" s="911" customFormat="1">
      <c r="B47" s="2719"/>
      <c r="C47" s="2719"/>
      <c r="D47" s="2719"/>
      <c r="E47" s="2719"/>
      <c r="F47" s="2719"/>
      <c r="G47" s="2720"/>
      <c r="H47" s="2719"/>
      <c r="I47" s="2720"/>
      <c r="J47" s="2719"/>
      <c r="K47" s="2719"/>
      <c r="L47" s="2720"/>
      <c r="M47" s="2719"/>
      <c r="N47" s="2719"/>
      <c r="O47" s="2720"/>
      <c r="P47" s="2719"/>
      <c r="Q47" s="2719"/>
      <c r="R47" s="2721"/>
    </row>
    <row r="48" spans="2:18" s="911" customFormat="1">
      <c r="B48" s="2719"/>
      <c r="C48" s="2719"/>
      <c r="D48" s="2719"/>
      <c r="E48" s="2719"/>
      <c r="F48" s="2719"/>
      <c r="G48" s="2720"/>
      <c r="H48" s="2719"/>
      <c r="I48" s="2720"/>
      <c r="J48" s="2719"/>
      <c r="K48" s="2719"/>
      <c r="L48" s="2720"/>
      <c r="M48" s="2719"/>
      <c r="N48" s="2719"/>
      <c r="O48" s="2720"/>
      <c r="P48" s="2719"/>
      <c r="Q48" s="2719"/>
      <c r="R48" s="2721"/>
    </row>
    <row r="49" spans="2:18" s="911" customFormat="1">
      <c r="B49" s="2719"/>
      <c r="C49" s="2719"/>
      <c r="D49" s="2719"/>
      <c r="E49" s="2719"/>
      <c r="F49" s="2719"/>
      <c r="G49" s="2720"/>
      <c r="H49" s="2719"/>
      <c r="I49" s="2720"/>
      <c r="J49" s="2719"/>
      <c r="K49" s="2719"/>
      <c r="L49" s="2720"/>
      <c r="M49" s="2719"/>
      <c r="N49" s="2719"/>
      <c r="O49" s="2720"/>
      <c r="P49" s="2719"/>
      <c r="Q49" s="2719"/>
      <c r="R49" s="2721"/>
    </row>
    <row r="50" spans="2:18" s="911" customFormat="1">
      <c r="B50" s="2719"/>
      <c r="C50" s="2719"/>
      <c r="D50" s="2719"/>
      <c r="E50" s="2719"/>
      <c r="F50" s="2719"/>
      <c r="G50" s="2720"/>
      <c r="H50" s="2719"/>
      <c r="I50" s="2720"/>
      <c r="J50" s="2719"/>
      <c r="K50" s="2719"/>
      <c r="L50" s="2720"/>
      <c r="M50" s="2719"/>
      <c r="N50" s="2719"/>
      <c r="O50" s="2720"/>
      <c r="P50" s="2719"/>
      <c r="Q50" s="2719"/>
      <c r="R50" s="2721"/>
    </row>
    <row r="51" spans="2:18" s="911" customFormat="1">
      <c r="B51" s="2719"/>
      <c r="C51" s="2719"/>
      <c r="D51" s="2719"/>
      <c r="E51" s="2719"/>
      <c r="F51" s="2719"/>
      <c r="G51" s="2720"/>
      <c r="H51" s="2719"/>
      <c r="I51" s="2720"/>
      <c r="J51" s="2719"/>
      <c r="K51" s="2719"/>
      <c r="L51" s="2720"/>
      <c r="M51" s="2719"/>
      <c r="N51" s="2719"/>
      <c r="O51" s="2720"/>
      <c r="P51" s="2719"/>
      <c r="Q51" s="2719"/>
      <c r="R51" s="2721"/>
    </row>
    <row r="52" spans="2:18" s="911" customFormat="1">
      <c r="B52" s="2719"/>
      <c r="C52" s="2719"/>
      <c r="D52" s="2719"/>
      <c r="E52" s="2719"/>
      <c r="F52" s="2719"/>
      <c r="G52" s="2720"/>
      <c r="H52" s="2719"/>
      <c r="I52" s="2720"/>
      <c r="J52" s="2719"/>
      <c r="K52" s="2719"/>
      <c r="L52" s="2720"/>
      <c r="M52" s="2719"/>
      <c r="N52" s="2719"/>
      <c r="O52" s="2720"/>
      <c r="P52" s="2719"/>
      <c r="Q52" s="2719"/>
      <c r="R52" s="2721"/>
    </row>
    <row r="53" spans="2:18" s="911" customFormat="1">
      <c r="B53" s="2719"/>
      <c r="C53" s="2719"/>
      <c r="D53" s="2719"/>
      <c r="E53" s="2719"/>
      <c r="F53" s="2719"/>
      <c r="G53" s="2720"/>
      <c r="H53" s="2719"/>
      <c r="I53" s="2720"/>
      <c r="J53" s="2719"/>
      <c r="K53" s="2719"/>
      <c r="L53" s="2720"/>
      <c r="M53" s="2719"/>
      <c r="N53" s="2719"/>
      <c r="O53" s="2720"/>
      <c r="P53" s="2719"/>
      <c r="Q53" s="2719"/>
      <c r="R53" s="2721"/>
    </row>
    <row r="54" spans="2:18" s="911" customFormat="1">
      <c r="B54" s="2719"/>
      <c r="C54" s="2719"/>
      <c r="D54" s="2719"/>
      <c r="E54" s="2719"/>
      <c r="F54" s="2719"/>
      <c r="G54" s="2720"/>
      <c r="H54" s="2719"/>
      <c r="I54" s="2720"/>
      <c r="J54" s="2719"/>
      <c r="K54" s="2719"/>
      <c r="L54" s="2720"/>
      <c r="M54" s="2719"/>
      <c r="N54" s="2719"/>
      <c r="O54" s="2720"/>
      <c r="P54" s="2719"/>
      <c r="Q54" s="2719"/>
      <c r="R54" s="2721"/>
    </row>
    <row r="55" spans="2:18" s="911" customFormat="1">
      <c r="B55" s="2719"/>
      <c r="C55" s="2719"/>
      <c r="D55" s="2719"/>
      <c r="E55" s="2719"/>
      <c r="F55" s="2719"/>
      <c r="G55" s="2720"/>
      <c r="H55" s="2719"/>
      <c r="I55" s="2720"/>
      <c r="J55" s="2719"/>
      <c r="K55" s="2719"/>
      <c r="L55" s="2720"/>
      <c r="M55" s="2719"/>
      <c r="N55" s="2719"/>
      <c r="O55" s="2720"/>
      <c r="P55" s="2719"/>
      <c r="Q55" s="2719"/>
      <c r="R55" s="2721"/>
    </row>
    <row r="56" spans="2:18" s="911" customFormat="1">
      <c r="B56" s="2719"/>
      <c r="C56" s="2719"/>
      <c r="D56" s="2719"/>
      <c r="E56" s="2719"/>
      <c r="F56" s="2719"/>
      <c r="G56" s="2720"/>
      <c r="H56" s="2719"/>
      <c r="I56" s="2720"/>
      <c r="J56" s="2719"/>
      <c r="K56" s="2719"/>
      <c r="L56" s="2720"/>
      <c r="M56" s="2719"/>
      <c r="N56" s="2719"/>
      <c r="O56" s="2720"/>
      <c r="P56" s="2719"/>
      <c r="Q56" s="2719"/>
      <c r="R56" s="2721"/>
    </row>
    <row r="57" spans="2:18" s="911" customFormat="1">
      <c r="B57" s="2719"/>
      <c r="C57" s="2719"/>
      <c r="D57" s="2719"/>
      <c r="E57" s="2719"/>
      <c r="F57" s="2719"/>
      <c r="G57" s="2720"/>
      <c r="H57" s="2719"/>
      <c r="I57" s="2720"/>
      <c r="J57" s="2719"/>
      <c r="K57" s="2719"/>
      <c r="L57" s="2720"/>
      <c r="M57" s="2719"/>
      <c r="N57" s="2719"/>
      <c r="O57" s="2720"/>
      <c r="P57" s="2719"/>
      <c r="Q57" s="2719"/>
      <c r="R57" s="2721"/>
    </row>
    <row r="58" spans="2:18" s="911" customFormat="1">
      <c r="B58" s="2719"/>
      <c r="C58" s="2719"/>
      <c r="D58" s="2719"/>
      <c r="E58" s="2719"/>
      <c r="F58" s="2719"/>
      <c r="G58" s="2720"/>
      <c r="H58" s="2719"/>
      <c r="I58" s="2720"/>
      <c r="J58" s="2719"/>
      <c r="K58" s="2719"/>
      <c r="L58" s="2720"/>
      <c r="M58" s="2719"/>
      <c r="N58" s="2719"/>
      <c r="O58" s="2720"/>
      <c r="P58" s="2719"/>
      <c r="Q58" s="2719"/>
      <c r="R58" s="2721"/>
    </row>
    <row r="59" spans="2:18" s="911" customFormat="1">
      <c r="B59" s="2719"/>
      <c r="C59" s="2719"/>
      <c r="D59" s="2719"/>
      <c r="E59" s="2719"/>
      <c r="F59" s="2719"/>
      <c r="G59" s="2720"/>
      <c r="H59" s="2719"/>
      <c r="I59" s="2720"/>
      <c r="J59" s="2719"/>
      <c r="K59" s="2719"/>
      <c r="L59" s="2720"/>
      <c r="M59" s="2719"/>
      <c r="N59" s="2719"/>
      <c r="O59" s="2720"/>
      <c r="P59" s="2719"/>
      <c r="Q59" s="2719"/>
      <c r="R59" s="2721"/>
    </row>
    <row r="60" spans="2:18" s="911" customFormat="1">
      <c r="B60" s="2719"/>
      <c r="C60" s="2719"/>
      <c r="D60" s="2719"/>
      <c r="E60" s="2719"/>
      <c r="F60" s="2719"/>
      <c r="G60" s="2720"/>
      <c r="H60" s="2719"/>
      <c r="I60" s="2720"/>
      <c r="J60" s="2719"/>
      <c r="K60" s="2719"/>
      <c r="L60" s="2720"/>
      <c r="M60" s="2719"/>
      <c r="N60" s="2719"/>
      <c r="O60" s="2720"/>
      <c r="P60" s="2719"/>
      <c r="Q60" s="2719"/>
      <c r="R60" s="2721"/>
    </row>
    <row r="61" spans="2:18" s="911" customFormat="1">
      <c r="B61" s="2719"/>
      <c r="C61" s="2719"/>
      <c r="D61" s="2719"/>
      <c r="E61" s="2719"/>
      <c r="F61" s="2719"/>
      <c r="G61" s="2720"/>
      <c r="H61" s="2719"/>
      <c r="I61" s="2720"/>
      <c r="J61" s="2719"/>
      <c r="K61" s="2719"/>
      <c r="L61" s="2720"/>
      <c r="M61" s="2719"/>
      <c r="N61" s="2719"/>
      <c r="O61" s="2720"/>
      <c r="P61" s="2719"/>
      <c r="Q61" s="2719"/>
      <c r="R61" s="2721"/>
    </row>
    <row r="62" spans="2:18" s="911" customFormat="1">
      <c r="B62" s="2719"/>
      <c r="C62" s="2719"/>
      <c r="D62" s="2719"/>
      <c r="E62" s="2719"/>
      <c r="F62" s="2719"/>
      <c r="G62" s="2720"/>
      <c r="H62" s="2719"/>
      <c r="I62" s="2720"/>
      <c r="J62" s="2719"/>
      <c r="K62" s="2719"/>
      <c r="L62" s="2720"/>
      <c r="M62" s="2719"/>
      <c r="N62" s="2719"/>
      <c r="O62" s="2720"/>
      <c r="P62" s="2719"/>
      <c r="Q62" s="2719"/>
      <c r="R62" s="2721"/>
    </row>
    <row r="63" spans="2:18" s="911" customFormat="1">
      <c r="B63" s="2719"/>
      <c r="C63" s="2719"/>
      <c r="D63" s="2719"/>
      <c r="E63" s="2719"/>
      <c r="F63" s="2719"/>
      <c r="G63" s="2720"/>
      <c r="H63" s="2719"/>
      <c r="I63" s="2720"/>
      <c r="J63" s="2719"/>
      <c r="K63" s="2719"/>
      <c r="L63" s="2720"/>
      <c r="M63" s="2719"/>
      <c r="N63" s="2719"/>
      <c r="O63" s="2720"/>
      <c r="P63" s="2719"/>
      <c r="Q63" s="2719"/>
      <c r="R63" s="2721"/>
    </row>
    <row r="64" spans="2:18" s="911" customFormat="1">
      <c r="B64" s="2719"/>
      <c r="C64" s="2719"/>
      <c r="D64" s="2719"/>
      <c r="E64" s="2719"/>
      <c r="F64" s="2719"/>
      <c r="G64" s="2720"/>
      <c r="H64" s="2719"/>
      <c r="I64" s="2720"/>
      <c r="J64" s="2719"/>
      <c r="K64" s="2719"/>
      <c r="L64" s="2720"/>
      <c r="M64" s="2719"/>
      <c r="N64" s="2719"/>
      <c r="O64" s="2720"/>
      <c r="P64" s="2719"/>
      <c r="Q64" s="2719"/>
      <c r="R64" s="2721"/>
    </row>
    <row r="65" spans="2:18" s="911" customFormat="1">
      <c r="B65" s="2719"/>
      <c r="C65" s="2719"/>
      <c r="D65" s="2719"/>
      <c r="E65" s="2719"/>
      <c r="F65" s="2719"/>
      <c r="G65" s="2720"/>
      <c r="H65" s="2719"/>
      <c r="I65" s="2720"/>
      <c r="J65" s="2719"/>
      <c r="K65" s="2719"/>
      <c r="L65" s="2720"/>
      <c r="M65" s="2719"/>
      <c r="N65" s="2719"/>
      <c r="O65" s="2720"/>
      <c r="P65" s="2719"/>
      <c r="Q65" s="2719"/>
      <c r="R65" s="2721"/>
    </row>
    <row r="66" spans="2:18" s="911" customFormat="1">
      <c r="B66" s="2719"/>
      <c r="C66" s="2719"/>
      <c r="D66" s="2719"/>
      <c r="E66" s="2719"/>
      <c r="F66" s="2719"/>
      <c r="G66" s="2720"/>
      <c r="H66" s="2719"/>
      <c r="I66" s="2720"/>
      <c r="J66" s="2719"/>
      <c r="K66" s="2719"/>
      <c r="L66" s="2720"/>
      <c r="M66" s="2719"/>
      <c r="N66" s="2719"/>
      <c r="O66" s="2720"/>
      <c r="P66" s="2719"/>
      <c r="Q66" s="2719"/>
      <c r="R66" s="2721"/>
    </row>
    <row r="67" spans="2:18" s="911" customFormat="1">
      <c r="B67" s="2719"/>
      <c r="C67" s="2719"/>
      <c r="D67" s="2719"/>
      <c r="E67" s="2719"/>
      <c r="F67" s="2719"/>
      <c r="G67" s="2720"/>
      <c r="H67" s="2719"/>
      <c r="I67" s="2720"/>
      <c r="J67" s="2719"/>
      <c r="K67" s="2719"/>
      <c r="L67" s="2720"/>
      <c r="M67" s="2719"/>
      <c r="N67" s="2719"/>
      <c r="O67" s="2720"/>
      <c r="P67" s="2719"/>
      <c r="Q67" s="2719"/>
      <c r="R67" s="2721"/>
    </row>
    <row r="68" spans="2:18" s="911" customFormat="1">
      <c r="B68" s="2719"/>
      <c r="C68" s="2719"/>
      <c r="D68" s="2719"/>
      <c r="E68" s="2719"/>
      <c r="F68" s="2719"/>
      <c r="G68" s="2720"/>
      <c r="H68" s="2719"/>
      <c r="I68" s="2720"/>
      <c r="J68" s="2719"/>
      <c r="K68" s="2719"/>
      <c r="L68" s="2720"/>
      <c r="M68" s="2719"/>
      <c r="N68" s="2719"/>
      <c r="O68" s="2720"/>
      <c r="P68" s="2719"/>
      <c r="Q68" s="2719"/>
      <c r="R68" s="2721"/>
    </row>
    <row r="69" spans="2:18" s="911" customFormat="1">
      <c r="B69" s="2719"/>
      <c r="C69" s="2719"/>
      <c r="D69" s="2719"/>
      <c r="E69" s="2719"/>
      <c r="F69" s="2719"/>
      <c r="G69" s="2720"/>
      <c r="H69" s="2719"/>
      <c r="I69" s="2720"/>
      <c r="J69" s="2719"/>
      <c r="K69" s="2719"/>
      <c r="L69" s="2720"/>
      <c r="M69" s="2719"/>
      <c r="N69" s="2719"/>
      <c r="O69" s="2720"/>
      <c r="P69" s="2719"/>
      <c r="Q69" s="2719"/>
      <c r="R69" s="2721"/>
    </row>
    <row r="70" spans="2:18" s="911" customFormat="1">
      <c r="B70" s="2719"/>
      <c r="C70" s="2719"/>
      <c r="D70" s="2719"/>
      <c r="E70" s="2719"/>
      <c r="F70" s="2719"/>
      <c r="G70" s="2720"/>
      <c r="H70" s="2719"/>
      <c r="I70" s="2720"/>
      <c r="J70" s="2719"/>
      <c r="K70" s="2719"/>
      <c r="L70" s="2720"/>
      <c r="M70" s="2719"/>
      <c r="N70" s="2719"/>
      <c r="O70" s="2720"/>
      <c r="P70" s="2719"/>
      <c r="Q70" s="2719"/>
      <c r="R70" s="2721"/>
    </row>
    <row r="71" spans="2:18" s="911" customFormat="1">
      <c r="B71" s="2719"/>
      <c r="C71" s="2719"/>
      <c r="D71" s="2719"/>
      <c r="E71" s="2719"/>
      <c r="F71" s="2719"/>
      <c r="G71" s="2720"/>
      <c r="H71" s="2719"/>
      <c r="I71" s="2720"/>
      <c r="J71" s="2719"/>
      <c r="K71" s="2719"/>
      <c r="L71" s="2720"/>
      <c r="M71" s="2719"/>
      <c r="N71" s="2719"/>
      <c r="O71" s="2720"/>
      <c r="P71" s="2719"/>
      <c r="Q71" s="2719"/>
      <c r="R71" s="2721"/>
    </row>
    <row r="72" spans="2:18" s="911" customFormat="1">
      <c r="B72" s="2719"/>
      <c r="C72" s="2719"/>
      <c r="D72" s="2719"/>
      <c r="E72" s="2719"/>
      <c r="F72" s="2719"/>
      <c r="G72" s="2720"/>
      <c r="H72" s="2719"/>
      <c r="I72" s="2720"/>
      <c r="J72" s="2719"/>
      <c r="K72" s="2719"/>
      <c r="L72" s="2720"/>
      <c r="M72" s="2719"/>
      <c r="N72" s="2719"/>
      <c r="O72" s="2720"/>
      <c r="P72" s="2719"/>
      <c r="Q72" s="2719"/>
      <c r="R72" s="2721"/>
    </row>
    <row r="73" spans="2:18" s="911" customFormat="1">
      <c r="B73" s="2719"/>
      <c r="C73" s="2719"/>
      <c r="D73" s="2719"/>
      <c r="E73" s="2719"/>
      <c r="F73" s="2719"/>
      <c r="G73" s="2720"/>
      <c r="H73" s="2719"/>
      <c r="I73" s="2720"/>
      <c r="J73" s="2719"/>
      <c r="K73" s="2719"/>
      <c r="L73" s="2720"/>
      <c r="M73" s="2719"/>
      <c r="N73" s="2719"/>
      <c r="O73" s="2720"/>
      <c r="P73" s="2719"/>
      <c r="Q73" s="2719"/>
      <c r="R73" s="2721"/>
    </row>
    <row r="74" spans="2:18" s="911" customFormat="1">
      <c r="B74" s="2719"/>
      <c r="C74" s="2719"/>
      <c r="D74" s="2719"/>
      <c r="E74" s="2719"/>
      <c r="F74" s="2719"/>
      <c r="G74" s="2720"/>
      <c r="H74" s="2719"/>
      <c r="I74" s="2720"/>
      <c r="J74" s="2719"/>
      <c r="K74" s="2719"/>
      <c r="L74" s="2720"/>
      <c r="M74" s="2719"/>
      <c r="N74" s="2719"/>
      <c r="O74" s="2720"/>
      <c r="P74" s="2719"/>
      <c r="Q74" s="2719"/>
      <c r="R74" s="2721"/>
    </row>
    <row r="75" spans="2:18" s="911" customFormat="1">
      <c r="B75" s="2719"/>
      <c r="C75" s="2719"/>
      <c r="D75" s="2719"/>
      <c r="E75" s="2719"/>
      <c r="F75" s="2719"/>
      <c r="G75" s="2720"/>
      <c r="H75" s="2719"/>
      <c r="I75" s="2720"/>
      <c r="J75" s="2719"/>
      <c r="K75" s="2719"/>
      <c r="L75" s="2720"/>
      <c r="M75" s="2719"/>
      <c r="N75" s="2719"/>
      <c r="O75" s="2720"/>
      <c r="P75" s="2719"/>
      <c r="Q75" s="2719"/>
      <c r="R75" s="2721"/>
    </row>
    <row r="76" spans="2:18" s="911" customFormat="1">
      <c r="B76" s="2719"/>
      <c r="C76" s="2719"/>
      <c r="D76" s="2719"/>
      <c r="E76" s="2719"/>
      <c r="F76" s="2719"/>
      <c r="G76" s="2720"/>
      <c r="H76" s="2719"/>
      <c r="I76" s="2720"/>
      <c r="J76" s="2719"/>
      <c r="K76" s="2719"/>
      <c r="L76" s="2720"/>
      <c r="M76" s="2719"/>
      <c r="N76" s="2719"/>
      <c r="O76" s="2720"/>
      <c r="P76" s="2719"/>
      <c r="Q76" s="2719"/>
      <c r="R76" s="2721"/>
    </row>
    <row r="77" spans="2:18" s="911" customFormat="1">
      <c r="B77" s="2719"/>
      <c r="C77" s="2719"/>
      <c r="D77" s="2719"/>
      <c r="E77" s="2719"/>
      <c r="F77" s="2719"/>
      <c r="G77" s="2720"/>
      <c r="H77" s="2719"/>
      <c r="I77" s="2720"/>
      <c r="J77" s="2719"/>
      <c r="K77" s="2719"/>
      <c r="L77" s="2720"/>
      <c r="M77" s="2719"/>
      <c r="N77" s="2719"/>
      <c r="O77" s="2720"/>
      <c r="P77" s="2719"/>
      <c r="Q77" s="2719"/>
      <c r="R77" s="2721"/>
    </row>
    <row r="78" spans="2:18" s="911" customFormat="1">
      <c r="B78" s="2719"/>
      <c r="C78" s="2719"/>
      <c r="D78" s="2719"/>
      <c r="E78" s="2719"/>
      <c r="F78" s="2719"/>
      <c r="G78" s="2720"/>
      <c r="H78" s="2719"/>
      <c r="I78" s="2720"/>
      <c r="J78" s="2719"/>
      <c r="K78" s="2719"/>
      <c r="L78" s="2720"/>
      <c r="M78" s="2719"/>
      <c r="N78" s="2719"/>
      <c r="O78" s="2720"/>
      <c r="P78" s="2719"/>
      <c r="Q78" s="2719"/>
      <c r="R78" s="2721"/>
    </row>
    <row r="79" spans="2:18" s="911" customFormat="1">
      <c r="B79" s="2719"/>
      <c r="C79" s="2719"/>
      <c r="D79" s="2719"/>
      <c r="E79" s="2719"/>
      <c r="F79" s="2719"/>
      <c r="G79" s="2720"/>
      <c r="H79" s="2719"/>
      <c r="I79" s="2720"/>
      <c r="J79" s="2719"/>
      <c r="K79" s="2719"/>
      <c r="L79" s="2720"/>
      <c r="M79" s="2719"/>
      <c r="N79" s="2719"/>
      <c r="O79" s="2720"/>
      <c r="P79" s="2719"/>
      <c r="Q79" s="2719"/>
      <c r="R79" s="2721"/>
    </row>
    <row r="80" spans="2:18" s="911" customFormat="1">
      <c r="B80" s="2719"/>
      <c r="C80" s="2719"/>
      <c r="D80" s="2719"/>
      <c r="E80" s="2719"/>
      <c r="F80" s="2719"/>
      <c r="G80" s="2720"/>
      <c r="H80" s="2719"/>
      <c r="I80" s="2720"/>
      <c r="J80" s="2719"/>
      <c r="K80" s="2719"/>
      <c r="L80" s="2720"/>
      <c r="M80" s="2719"/>
      <c r="N80" s="2719"/>
      <c r="O80" s="2720"/>
      <c r="P80" s="2719"/>
      <c r="Q80" s="2719"/>
      <c r="R80" s="2721"/>
    </row>
    <row r="81" spans="2:18" s="911" customFormat="1">
      <c r="B81" s="2719"/>
      <c r="C81" s="2719"/>
      <c r="D81" s="2719"/>
      <c r="E81" s="2719"/>
      <c r="F81" s="2719"/>
      <c r="G81" s="2720"/>
      <c r="H81" s="2719"/>
      <c r="I81" s="2720"/>
      <c r="J81" s="2719"/>
      <c r="K81" s="2719"/>
      <c r="L81" s="2720"/>
      <c r="M81" s="2719"/>
      <c r="N81" s="2719"/>
      <c r="O81" s="2720"/>
      <c r="P81" s="2719"/>
      <c r="Q81" s="2719"/>
      <c r="R81" s="2721"/>
    </row>
    <row r="82" spans="2:18" s="911" customFormat="1">
      <c r="B82" s="2719"/>
      <c r="C82" s="2719"/>
      <c r="D82" s="2719"/>
      <c r="E82" s="2719"/>
      <c r="F82" s="2719"/>
      <c r="G82" s="2720"/>
      <c r="H82" s="2719"/>
      <c r="I82" s="2720"/>
      <c r="J82" s="2719"/>
      <c r="K82" s="2719"/>
      <c r="L82" s="2720"/>
      <c r="M82" s="2719"/>
      <c r="N82" s="2719"/>
      <c r="O82" s="2720"/>
      <c r="P82" s="2719"/>
      <c r="Q82" s="2719"/>
      <c r="R82" s="2721"/>
    </row>
    <row r="83" spans="2:18" s="911" customFormat="1">
      <c r="B83" s="2719"/>
      <c r="C83" s="2719"/>
      <c r="D83" s="2719"/>
      <c r="E83" s="2719"/>
      <c r="F83" s="2719"/>
      <c r="G83" s="2720"/>
      <c r="H83" s="2719"/>
      <c r="I83" s="2720"/>
      <c r="J83" s="2719"/>
      <c r="K83" s="2719"/>
      <c r="L83" s="2720"/>
      <c r="M83" s="2719"/>
      <c r="N83" s="2719"/>
      <c r="O83" s="2720"/>
      <c r="P83" s="2719"/>
      <c r="Q83" s="2719"/>
      <c r="R83" s="2721"/>
    </row>
    <row r="84" spans="2:18" s="911" customFormat="1">
      <c r="B84" s="2719"/>
      <c r="C84" s="2719"/>
      <c r="D84" s="2719"/>
      <c r="E84" s="2719"/>
      <c r="F84" s="2719"/>
      <c r="G84" s="2720"/>
      <c r="H84" s="2719"/>
      <c r="I84" s="2720"/>
      <c r="J84" s="2719"/>
      <c r="K84" s="2719"/>
      <c r="L84" s="2720"/>
      <c r="M84" s="2719"/>
      <c r="N84" s="2719"/>
      <c r="O84" s="2720"/>
      <c r="P84" s="2719"/>
      <c r="Q84" s="2719"/>
      <c r="R84" s="2721"/>
    </row>
    <row r="85" spans="2:18" s="911" customFormat="1">
      <c r="B85" s="2719"/>
      <c r="C85" s="2719"/>
      <c r="D85" s="2719"/>
      <c r="E85" s="2719"/>
      <c r="F85" s="2719"/>
      <c r="G85" s="2720"/>
      <c r="H85" s="2719"/>
      <c r="I85" s="2720"/>
      <c r="J85" s="2719"/>
      <c r="K85" s="2719"/>
      <c r="L85" s="2720"/>
      <c r="M85" s="2719"/>
      <c r="N85" s="2719"/>
      <c r="O85" s="2720"/>
      <c r="P85" s="2719"/>
      <c r="Q85" s="2719"/>
      <c r="R85" s="2721"/>
    </row>
    <row r="86" spans="2:18" s="911" customFormat="1">
      <c r="B86" s="2719"/>
      <c r="C86" s="2719"/>
      <c r="D86" s="2719"/>
      <c r="E86" s="2719"/>
      <c r="F86" s="2719"/>
      <c r="G86" s="2720"/>
      <c r="H86" s="2719"/>
      <c r="I86" s="2720"/>
      <c r="J86" s="2719"/>
      <c r="K86" s="2719"/>
      <c r="L86" s="2720"/>
      <c r="M86" s="2719"/>
      <c r="N86" s="2719"/>
      <c r="O86" s="2720"/>
      <c r="P86" s="2719"/>
      <c r="Q86" s="2719"/>
      <c r="R86" s="2721"/>
    </row>
    <row r="87" spans="2:18" s="911" customFormat="1">
      <c r="B87" s="2719"/>
      <c r="C87" s="2719"/>
      <c r="D87" s="2719"/>
      <c r="E87" s="2719"/>
      <c r="F87" s="2719"/>
      <c r="G87" s="2720"/>
      <c r="H87" s="2719"/>
      <c r="I87" s="2720"/>
      <c r="J87" s="2719"/>
      <c r="K87" s="2719"/>
      <c r="L87" s="2720"/>
      <c r="M87" s="2719"/>
      <c r="N87" s="2719"/>
      <c r="O87" s="2720"/>
      <c r="P87" s="2719"/>
      <c r="Q87" s="2719"/>
      <c r="R87" s="2721"/>
    </row>
    <row r="88" spans="2:18" s="911" customFormat="1">
      <c r="B88" s="2719"/>
      <c r="C88" s="2719"/>
      <c r="D88" s="2719"/>
      <c r="E88" s="2719"/>
      <c r="F88" s="2719"/>
      <c r="G88" s="2720"/>
      <c r="H88" s="2719"/>
      <c r="I88" s="2720"/>
      <c r="J88" s="2719"/>
      <c r="K88" s="2719"/>
      <c r="L88" s="2720"/>
      <c r="M88" s="2719"/>
      <c r="N88" s="2719"/>
      <c r="O88" s="2720"/>
      <c r="P88" s="2719"/>
      <c r="Q88" s="2719"/>
      <c r="R88" s="2721"/>
    </row>
    <row r="89" spans="2:18" s="911" customFormat="1">
      <c r="B89" s="2719"/>
      <c r="C89" s="2719"/>
      <c r="D89" s="2719"/>
      <c r="E89" s="2719"/>
      <c r="F89" s="2719"/>
      <c r="G89" s="2720"/>
      <c r="H89" s="2719"/>
      <c r="I89" s="2720"/>
      <c r="J89" s="2719"/>
      <c r="K89" s="2719"/>
      <c r="L89" s="2720"/>
      <c r="M89" s="2719"/>
      <c r="N89" s="2719"/>
      <c r="O89" s="2720"/>
      <c r="P89" s="2719"/>
      <c r="Q89" s="2719"/>
      <c r="R89" s="2721"/>
    </row>
    <row r="90" spans="2:18" s="911" customFormat="1">
      <c r="B90" s="2719"/>
      <c r="C90" s="2719"/>
      <c r="D90" s="2719"/>
      <c r="E90" s="2719"/>
      <c r="F90" s="2719"/>
      <c r="G90" s="2720"/>
      <c r="H90" s="2719"/>
      <c r="I90" s="2720"/>
      <c r="J90" s="2719"/>
      <c r="K90" s="2719"/>
      <c r="L90" s="2720"/>
      <c r="M90" s="2719"/>
      <c r="N90" s="2719"/>
      <c r="O90" s="2720"/>
      <c r="P90" s="2719"/>
      <c r="Q90" s="2719"/>
      <c r="R90" s="2721"/>
    </row>
    <row r="91" spans="2:18" s="911" customFormat="1">
      <c r="B91" s="2719"/>
      <c r="C91" s="2719"/>
      <c r="D91" s="2719"/>
      <c r="E91" s="2719"/>
      <c r="F91" s="2719"/>
      <c r="G91" s="2720"/>
      <c r="H91" s="2719"/>
      <c r="I91" s="2720"/>
      <c r="J91" s="2719"/>
      <c r="K91" s="2719"/>
      <c r="L91" s="2720"/>
      <c r="M91" s="2719"/>
      <c r="N91" s="2719"/>
      <c r="O91" s="2720"/>
      <c r="P91" s="2719"/>
      <c r="Q91" s="2719"/>
      <c r="R91" s="2721"/>
    </row>
    <row r="92" spans="2:18" s="911" customFormat="1">
      <c r="B92" s="2719"/>
      <c r="C92" s="2719"/>
      <c r="D92" s="2719"/>
      <c r="E92" s="2719"/>
      <c r="F92" s="2719"/>
      <c r="G92" s="2720"/>
      <c r="H92" s="2719"/>
      <c r="I92" s="2720"/>
      <c r="J92" s="2719"/>
      <c r="K92" s="2719"/>
      <c r="L92" s="2720"/>
      <c r="M92" s="2719"/>
      <c r="N92" s="2719"/>
      <c r="O92" s="2720"/>
      <c r="P92" s="2719"/>
      <c r="Q92" s="2719"/>
      <c r="R92" s="2721"/>
    </row>
    <row r="93" spans="2:18" s="911" customFormat="1">
      <c r="B93" s="2719"/>
      <c r="C93" s="2719"/>
      <c r="D93" s="2719"/>
      <c r="E93" s="2719"/>
      <c r="F93" s="2719"/>
      <c r="G93" s="2720"/>
      <c r="H93" s="2719"/>
      <c r="I93" s="2720"/>
      <c r="J93" s="2719"/>
      <c r="K93" s="2719"/>
      <c r="L93" s="2720"/>
      <c r="M93" s="2719"/>
      <c r="N93" s="2719"/>
      <c r="O93" s="2720"/>
      <c r="P93" s="2719"/>
      <c r="Q93" s="2719"/>
      <c r="R93" s="2721"/>
    </row>
    <row r="94" spans="2:18" s="911" customFormat="1">
      <c r="B94" s="2719"/>
      <c r="C94" s="2719"/>
      <c r="D94" s="2719"/>
      <c r="E94" s="2719"/>
      <c r="F94" s="2719"/>
      <c r="G94" s="2720"/>
      <c r="H94" s="2719"/>
      <c r="I94" s="2720"/>
      <c r="J94" s="2719"/>
      <c r="K94" s="2719"/>
      <c r="L94" s="2720"/>
      <c r="M94" s="2719"/>
      <c r="N94" s="2719"/>
      <c r="O94" s="2720"/>
      <c r="P94" s="2719"/>
      <c r="Q94" s="2719"/>
      <c r="R94" s="2721"/>
    </row>
    <row r="95" spans="2:18" s="911" customFormat="1">
      <c r="B95" s="2719"/>
      <c r="C95" s="2719"/>
      <c r="D95" s="2719"/>
      <c r="E95" s="2719"/>
      <c r="F95" s="2719"/>
      <c r="G95" s="2720"/>
      <c r="H95" s="2719"/>
      <c r="I95" s="2720"/>
      <c r="J95" s="2719"/>
      <c r="K95" s="2719"/>
      <c r="L95" s="2720"/>
      <c r="M95" s="2719"/>
      <c r="N95" s="2719"/>
      <c r="O95" s="2720"/>
      <c r="P95" s="2719"/>
      <c r="Q95" s="2719"/>
      <c r="R95" s="2721"/>
    </row>
    <row r="96" spans="2:18" s="911" customFormat="1">
      <c r="B96" s="2719"/>
      <c r="C96" s="2719"/>
      <c r="D96" s="2719"/>
      <c r="E96" s="2719"/>
      <c r="F96" s="2719"/>
      <c r="G96" s="2720"/>
      <c r="H96" s="2719"/>
      <c r="I96" s="2720"/>
      <c r="J96" s="2719"/>
      <c r="K96" s="2719"/>
      <c r="L96" s="2720"/>
      <c r="M96" s="2719"/>
      <c r="N96" s="2719"/>
      <c r="O96" s="2720"/>
      <c r="P96" s="2719"/>
      <c r="Q96" s="2719"/>
      <c r="R96" s="2721"/>
    </row>
    <row r="97" spans="2:18" s="911" customFormat="1">
      <c r="B97" s="2719"/>
      <c r="C97" s="2719"/>
      <c r="D97" s="2719"/>
      <c r="E97" s="2719"/>
      <c r="F97" s="2719"/>
      <c r="G97" s="2720"/>
      <c r="H97" s="2719"/>
      <c r="I97" s="2720"/>
      <c r="J97" s="2719"/>
      <c r="K97" s="2719"/>
      <c r="L97" s="2720"/>
      <c r="M97" s="2719"/>
      <c r="N97" s="2719"/>
      <c r="O97" s="2720"/>
      <c r="P97" s="2719"/>
      <c r="Q97" s="2719"/>
      <c r="R97" s="2721"/>
    </row>
    <row r="98" spans="2:18" s="911" customFormat="1">
      <c r="B98" s="2719"/>
      <c r="C98" s="2719"/>
      <c r="D98" s="2719"/>
      <c r="E98" s="2719"/>
      <c r="F98" s="2719"/>
      <c r="G98" s="2720"/>
      <c r="H98" s="2719"/>
      <c r="I98" s="2720"/>
      <c r="J98" s="2719"/>
      <c r="K98" s="2719"/>
      <c r="L98" s="2720"/>
      <c r="M98" s="2719"/>
      <c r="N98" s="2719"/>
      <c r="O98" s="2720"/>
      <c r="P98" s="2719"/>
      <c r="Q98" s="2719"/>
      <c r="R98" s="2721"/>
    </row>
    <row r="99" spans="2:18" s="911" customFormat="1">
      <c r="B99" s="2719"/>
      <c r="C99" s="2719"/>
      <c r="D99" s="2719"/>
      <c r="E99" s="2719"/>
      <c r="F99" s="2719"/>
      <c r="G99" s="2720"/>
      <c r="H99" s="2719"/>
      <c r="I99" s="2720"/>
      <c r="J99" s="2719"/>
      <c r="K99" s="2719"/>
      <c r="L99" s="2720"/>
      <c r="M99" s="2719"/>
      <c r="N99" s="2719"/>
      <c r="O99" s="2720"/>
      <c r="P99" s="2719"/>
      <c r="Q99" s="2719"/>
      <c r="R99" s="2721"/>
    </row>
    <row r="100" spans="2:18" s="911" customFormat="1">
      <c r="B100" s="2719"/>
      <c r="C100" s="2719"/>
      <c r="D100" s="2719"/>
      <c r="E100" s="2719"/>
      <c r="F100" s="2719"/>
      <c r="G100" s="2720"/>
      <c r="H100" s="2719"/>
      <c r="I100" s="2720"/>
      <c r="J100" s="2719"/>
      <c r="K100" s="2719"/>
      <c r="L100" s="2720"/>
      <c r="M100" s="2719"/>
      <c r="N100" s="2719"/>
      <c r="O100" s="2720"/>
      <c r="P100" s="2719"/>
      <c r="Q100" s="2719"/>
      <c r="R100" s="2721"/>
    </row>
    <row r="101" spans="2:18" s="911" customFormat="1">
      <c r="B101" s="2719"/>
      <c r="C101" s="2719"/>
      <c r="D101" s="2719"/>
      <c r="E101" s="2719"/>
      <c r="F101" s="2719"/>
      <c r="G101" s="2720"/>
      <c r="H101" s="2719"/>
      <c r="I101" s="2720"/>
      <c r="J101" s="2719"/>
      <c r="K101" s="2719"/>
      <c r="L101" s="2720"/>
      <c r="M101" s="2719"/>
      <c r="N101" s="2719"/>
      <c r="O101" s="2720"/>
      <c r="P101" s="2719"/>
      <c r="Q101" s="2719"/>
      <c r="R101" s="2721"/>
    </row>
    <row r="102" spans="2:18" s="911" customFormat="1">
      <c r="B102" s="2719"/>
      <c r="C102" s="2719"/>
      <c r="D102" s="2719"/>
      <c r="E102" s="2719"/>
      <c r="F102" s="2719"/>
      <c r="G102" s="2720"/>
      <c r="H102" s="2719"/>
      <c r="I102" s="2720"/>
      <c r="J102" s="2719"/>
      <c r="K102" s="2719"/>
      <c r="L102" s="2720"/>
      <c r="M102" s="2719"/>
      <c r="N102" s="2719"/>
      <c r="O102" s="2720"/>
      <c r="P102" s="2719"/>
      <c r="Q102" s="2719"/>
      <c r="R102" s="2721"/>
    </row>
    <row r="103" spans="2:18" s="911" customFormat="1">
      <c r="B103" s="2719"/>
      <c r="C103" s="2719"/>
      <c r="D103" s="2719"/>
      <c r="E103" s="2719"/>
      <c r="F103" s="2719"/>
      <c r="G103" s="2720"/>
      <c r="H103" s="2719"/>
      <c r="I103" s="2720"/>
      <c r="J103" s="2719"/>
      <c r="K103" s="2719"/>
      <c r="L103" s="2720"/>
      <c r="M103" s="2719"/>
      <c r="N103" s="2719"/>
      <c r="O103" s="2720"/>
      <c r="P103" s="2719"/>
      <c r="Q103" s="2719"/>
      <c r="R103" s="2721"/>
    </row>
    <row r="104" spans="2:18" s="911" customFormat="1">
      <c r="B104" s="2719"/>
      <c r="C104" s="2719"/>
      <c r="D104" s="2719"/>
      <c r="E104" s="2719"/>
      <c r="F104" s="2719"/>
      <c r="G104" s="2720"/>
      <c r="H104" s="2719"/>
      <c r="I104" s="2720"/>
      <c r="J104" s="2719"/>
      <c r="K104" s="2719"/>
      <c r="L104" s="2720"/>
      <c r="M104" s="2719"/>
      <c r="N104" s="2719"/>
      <c r="O104" s="2720"/>
      <c r="P104" s="2719"/>
      <c r="Q104" s="2719"/>
      <c r="R104" s="2721"/>
    </row>
    <row r="105" spans="2:18" s="911" customFormat="1">
      <c r="B105" s="2719"/>
      <c r="C105" s="2719"/>
      <c r="D105" s="2719"/>
      <c r="E105" s="2719"/>
      <c r="F105" s="2719"/>
      <c r="G105" s="2720"/>
      <c r="H105" s="2719"/>
      <c r="I105" s="2720"/>
      <c r="J105" s="2719"/>
      <c r="K105" s="2719"/>
      <c r="L105" s="2720"/>
      <c r="M105" s="2719"/>
      <c r="N105" s="2719"/>
      <c r="O105" s="2720"/>
      <c r="P105" s="2719"/>
      <c r="Q105" s="2719"/>
      <c r="R105" s="2721"/>
    </row>
    <row r="106" spans="2:18" s="911" customFormat="1">
      <c r="B106" s="2719"/>
      <c r="C106" s="2719"/>
      <c r="D106" s="2719"/>
      <c r="E106" s="2719"/>
      <c r="F106" s="2719"/>
      <c r="G106" s="2720"/>
      <c r="H106" s="2719"/>
      <c r="I106" s="2720"/>
      <c r="J106" s="2719"/>
      <c r="K106" s="2719"/>
      <c r="L106" s="2720"/>
      <c r="M106" s="2719"/>
      <c r="N106" s="2719"/>
      <c r="O106" s="2720"/>
      <c r="P106" s="2719"/>
      <c r="Q106" s="2719"/>
      <c r="R106" s="2721"/>
    </row>
    <row r="107" spans="2:18" s="911" customFormat="1">
      <c r="B107" s="2719"/>
      <c r="C107" s="2719"/>
      <c r="D107" s="2719"/>
      <c r="E107" s="2719"/>
      <c r="F107" s="2719"/>
      <c r="G107" s="2720"/>
      <c r="H107" s="2719"/>
      <c r="I107" s="2720"/>
      <c r="J107" s="2719"/>
      <c r="K107" s="2719"/>
      <c r="L107" s="2720"/>
      <c r="M107" s="2719"/>
      <c r="N107" s="2719"/>
      <c r="O107" s="2720"/>
      <c r="P107" s="2719"/>
      <c r="Q107" s="2719"/>
      <c r="R107" s="2721"/>
    </row>
    <row r="108" spans="2:18" s="911" customFormat="1">
      <c r="B108" s="2719"/>
      <c r="C108" s="2719"/>
      <c r="D108" s="2719"/>
      <c r="E108" s="2719"/>
      <c r="F108" s="2719"/>
      <c r="G108" s="2720"/>
      <c r="H108" s="2719"/>
      <c r="I108" s="2720"/>
      <c r="J108" s="2719"/>
      <c r="K108" s="2719"/>
      <c r="L108" s="2720"/>
      <c r="M108" s="2719"/>
      <c r="N108" s="2719"/>
      <c r="O108" s="2720"/>
      <c r="P108" s="2719"/>
      <c r="Q108" s="2719"/>
      <c r="R108" s="2721"/>
    </row>
    <row r="109" spans="2:18" s="911" customFormat="1">
      <c r="B109" s="2719"/>
      <c r="C109" s="2719"/>
      <c r="D109" s="2719"/>
      <c r="E109" s="2719"/>
      <c r="F109" s="2719"/>
      <c r="G109" s="2720"/>
      <c r="H109" s="2719"/>
      <c r="I109" s="2720"/>
      <c r="J109" s="2719"/>
      <c r="K109" s="2719"/>
      <c r="L109" s="2720"/>
      <c r="M109" s="2719"/>
      <c r="N109" s="2719"/>
      <c r="O109" s="2720"/>
      <c r="P109" s="2719"/>
      <c r="Q109" s="2719"/>
      <c r="R109" s="2721"/>
    </row>
    <row r="110" spans="2:18" s="911" customFormat="1">
      <c r="B110" s="2719"/>
      <c r="C110" s="2719"/>
      <c r="D110" s="2719"/>
      <c r="E110" s="2719"/>
      <c r="F110" s="2719"/>
      <c r="G110" s="2720"/>
      <c r="H110" s="2719"/>
      <c r="I110" s="2720"/>
      <c r="J110" s="2719"/>
      <c r="K110" s="2719"/>
      <c r="L110" s="2720"/>
      <c r="M110" s="2719"/>
      <c r="N110" s="2719"/>
      <c r="O110" s="2720"/>
      <c r="P110" s="2719"/>
      <c r="Q110" s="2719"/>
      <c r="R110" s="2721"/>
    </row>
    <row r="111" spans="2:18" s="911" customFormat="1">
      <c r="B111" s="2719"/>
      <c r="C111" s="2719"/>
      <c r="D111" s="2719"/>
      <c r="E111" s="2719"/>
      <c r="F111" s="2719"/>
      <c r="G111" s="2720"/>
      <c r="H111" s="2719"/>
      <c r="I111" s="2720"/>
      <c r="J111" s="2719"/>
      <c r="K111" s="2719"/>
      <c r="L111" s="2720"/>
      <c r="M111" s="2719"/>
      <c r="N111" s="2719"/>
      <c r="O111" s="2720"/>
      <c r="P111" s="2719"/>
      <c r="Q111" s="2719"/>
      <c r="R111" s="2721"/>
    </row>
    <row r="112" spans="2:18" s="911" customFormat="1">
      <c r="B112" s="2719"/>
      <c r="C112" s="2719"/>
      <c r="D112" s="2719"/>
      <c r="E112" s="2719"/>
      <c r="F112" s="2719"/>
      <c r="G112" s="2720"/>
      <c r="H112" s="2719"/>
      <c r="I112" s="2720"/>
      <c r="J112" s="2719"/>
      <c r="K112" s="2719"/>
      <c r="L112" s="2720"/>
      <c r="M112" s="2719"/>
      <c r="N112" s="2719"/>
      <c r="O112" s="2720"/>
      <c r="P112" s="2719"/>
      <c r="Q112" s="2719"/>
      <c r="R112" s="2721"/>
    </row>
    <row r="113" spans="2:18" s="911" customFormat="1">
      <c r="B113" s="2719"/>
      <c r="C113" s="2719"/>
      <c r="D113" s="2719"/>
      <c r="E113" s="2719"/>
      <c r="F113" s="2719"/>
      <c r="G113" s="2720"/>
      <c r="H113" s="2719"/>
      <c r="I113" s="2720"/>
      <c r="J113" s="2719"/>
      <c r="K113" s="2719"/>
      <c r="L113" s="2720"/>
      <c r="M113" s="2719"/>
      <c r="N113" s="2719"/>
      <c r="O113" s="2720"/>
      <c r="P113" s="2719"/>
      <c r="Q113" s="2719"/>
      <c r="R113" s="2721"/>
    </row>
    <row r="114" spans="2:18" s="911" customFormat="1">
      <c r="B114" s="2719"/>
      <c r="C114" s="2719"/>
      <c r="D114" s="2719"/>
      <c r="E114" s="2719"/>
      <c r="F114" s="2719"/>
      <c r="G114" s="2720"/>
      <c r="H114" s="2719"/>
      <c r="I114" s="2720"/>
      <c r="J114" s="2719"/>
      <c r="K114" s="2719"/>
      <c r="L114" s="2720"/>
      <c r="M114" s="2719"/>
      <c r="N114" s="2719"/>
      <c r="O114" s="2720"/>
      <c r="P114" s="2719"/>
      <c r="Q114" s="2719"/>
      <c r="R114" s="2721"/>
    </row>
    <row r="115" spans="2:18" s="911" customFormat="1">
      <c r="B115" s="2719"/>
      <c r="C115" s="2719"/>
      <c r="D115" s="2719"/>
      <c r="E115" s="2719"/>
      <c r="F115" s="2719"/>
      <c r="G115" s="2720"/>
      <c r="H115" s="2719"/>
      <c r="I115" s="2720"/>
      <c r="J115" s="2719"/>
      <c r="K115" s="2719"/>
      <c r="L115" s="2720"/>
      <c r="M115" s="2719"/>
      <c r="N115" s="2719"/>
      <c r="O115" s="2720"/>
      <c r="P115" s="2719"/>
      <c r="Q115" s="2719"/>
      <c r="R115" s="2721"/>
    </row>
    <row r="116" spans="2:18" s="911" customFormat="1">
      <c r="B116" s="2719"/>
      <c r="C116" s="2719"/>
      <c r="D116" s="2719"/>
      <c r="E116" s="2719"/>
      <c r="F116" s="2719"/>
      <c r="G116" s="2720"/>
      <c r="H116" s="2719"/>
      <c r="I116" s="2720"/>
      <c r="J116" s="2719"/>
      <c r="K116" s="2719"/>
      <c r="L116" s="2720"/>
      <c r="M116" s="2719"/>
      <c r="N116" s="2719"/>
      <c r="O116" s="2720"/>
      <c r="P116" s="2719"/>
      <c r="Q116" s="2719"/>
      <c r="R116" s="2721"/>
    </row>
    <row r="117" spans="2:18" s="911" customFormat="1">
      <c r="B117" s="2719"/>
      <c r="C117" s="2719"/>
      <c r="D117" s="2719"/>
      <c r="E117" s="2719"/>
      <c r="F117" s="2719"/>
      <c r="G117" s="2720"/>
      <c r="H117" s="2719"/>
      <c r="I117" s="2720"/>
      <c r="J117" s="2719"/>
      <c r="K117" s="2719"/>
      <c r="L117" s="2720"/>
      <c r="M117" s="2719"/>
      <c r="N117" s="2719"/>
      <c r="O117" s="2720"/>
      <c r="P117" s="2719"/>
      <c r="Q117" s="2719"/>
      <c r="R117" s="2721"/>
    </row>
    <row r="118" spans="2:18" s="911" customFormat="1">
      <c r="B118" s="2719"/>
      <c r="C118" s="2719"/>
      <c r="D118" s="2719"/>
      <c r="E118" s="2719"/>
      <c r="F118" s="2719"/>
      <c r="G118" s="2720"/>
      <c r="H118" s="2719"/>
      <c r="I118" s="2720"/>
      <c r="J118" s="2719"/>
      <c r="K118" s="2719"/>
      <c r="L118" s="2720"/>
      <c r="M118" s="2719"/>
      <c r="N118" s="2719"/>
      <c r="O118" s="2720"/>
      <c r="P118" s="2719"/>
      <c r="Q118" s="2719"/>
      <c r="R118" s="2721"/>
    </row>
    <row r="119" spans="2:18" s="911" customFormat="1">
      <c r="B119" s="2719"/>
      <c r="C119" s="2719"/>
      <c r="D119" s="2719"/>
      <c r="E119" s="2719"/>
      <c r="F119" s="2719"/>
      <c r="G119" s="2720"/>
      <c r="H119" s="2719"/>
      <c r="I119" s="2720"/>
      <c r="J119" s="2719"/>
      <c r="K119" s="2719"/>
      <c r="L119" s="2720"/>
      <c r="M119" s="2719"/>
      <c r="N119" s="2719"/>
      <c r="O119" s="2720"/>
      <c r="P119" s="2719"/>
      <c r="Q119" s="2719"/>
      <c r="R119" s="2721"/>
    </row>
    <row r="120" spans="2:18" s="911" customFormat="1">
      <c r="B120" s="2719"/>
      <c r="C120" s="2719"/>
      <c r="D120" s="2719"/>
      <c r="E120" s="2719"/>
      <c r="F120" s="2719"/>
      <c r="G120" s="2720"/>
      <c r="H120" s="2719"/>
      <c r="I120" s="2720"/>
      <c r="J120" s="2719"/>
      <c r="K120" s="2719"/>
      <c r="L120" s="2720"/>
      <c r="M120" s="2719"/>
      <c r="N120" s="2719"/>
      <c r="O120" s="2720"/>
      <c r="P120" s="2719"/>
      <c r="Q120" s="2719"/>
      <c r="R120" s="2721"/>
    </row>
    <row r="121" spans="2:18" s="911" customFormat="1">
      <c r="B121" s="2719"/>
      <c r="C121" s="2719"/>
      <c r="D121" s="2719"/>
      <c r="E121" s="2719"/>
      <c r="F121" s="2719"/>
      <c r="G121" s="2720"/>
      <c r="H121" s="2719"/>
      <c r="I121" s="2720"/>
      <c r="J121" s="2719"/>
      <c r="K121" s="2719"/>
      <c r="L121" s="2720"/>
      <c r="M121" s="2719"/>
      <c r="N121" s="2719"/>
      <c r="O121" s="2720"/>
      <c r="P121" s="2719"/>
      <c r="Q121" s="2719"/>
      <c r="R121" s="2721"/>
    </row>
    <row r="122" spans="2:18" s="911" customFormat="1">
      <c r="B122" s="2719"/>
      <c r="C122" s="2719"/>
      <c r="D122" s="2719"/>
      <c r="E122" s="2719"/>
      <c r="F122" s="2719"/>
      <c r="G122" s="2720"/>
      <c r="H122" s="2719"/>
      <c r="I122" s="2720"/>
      <c r="J122" s="2719"/>
      <c r="K122" s="2719"/>
      <c r="L122" s="2720"/>
      <c r="M122" s="2719"/>
      <c r="N122" s="2719"/>
      <c r="O122" s="2720"/>
      <c r="P122" s="2719"/>
      <c r="Q122" s="2719"/>
      <c r="R122" s="2721"/>
    </row>
    <row r="123" spans="2:18" s="911" customFormat="1">
      <c r="B123" s="2719"/>
      <c r="C123" s="2719"/>
      <c r="D123" s="2719"/>
      <c r="E123" s="2719"/>
      <c r="F123" s="2719"/>
      <c r="G123" s="2720"/>
      <c r="H123" s="2719"/>
      <c r="I123" s="2720"/>
      <c r="J123" s="2719"/>
      <c r="K123" s="2719"/>
      <c r="L123" s="2720"/>
      <c r="M123" s="2719"/>
      <c r="N123" s="2719"/>
      <c r="O123" s="2720"/>
      <c r="P123" s="2719"/>
      <c r="Q123" s="2719"/>
      <c r="R123" s="2721"/>
    </row>
    <row r="124" spans="2:18" s="911" customFormat="1">
      <c r="B124" s="2719"/>
      <c r="C124" s="2719"/>
      <c r="D124" s="2719"/>
      <c r="E124" s="2719"/>
      <c r="F124" s="2719"/>
      <c r="G124" s="2720"/>
      <c r="H124" s="2719"/>
      <c r="I124" s="2720"/>
      <c r="J124" s="2719"/>
      <c r="K124" s="2719"/>
      <c r="L124" s="2720"/>
      <c r="M124" s="2719"/>
      <c r="N124" s="2719"/>
      <c r="O124" s="2720"/>
      <c r="P124" s="2719"/>
      <c r="Q124" s="2719"/>
      <c r="R124" s="2721"/>
    </row>
    <row r="125" spans="2:18" s="911" customFormat="1">
      <c r="B125" s="2719"/>
      <c r="C125" s="2719"/>
      <c r="D125" s="2719"/>
      <c r="E125" s="2719"/>
      <c r="F125" s="2719"/>
      <c r="G125" s="2720"/>
      <c r="H125" s="2719"/>
      <c r="I125" s="2720"/>
      <c r="J125" s="2719"/>
      <c r="K125" s="2719"/>
      <c r="L125" s="2720"/>
      <c r="M125" s="2719"/>
      <c r="N125" s="2719"/>
      <c r="O125" s="2720"/>
      <c r="P125" s="2719"/>
      <c r="Q125" s="2719"/>
      <c r="R125" s="2721"/>
    </row>
    <row r="126" spans="2:18" s="911" customFormat="1">
      <c r="B126" s="2719"/>
      <c r="C126" s="2719"/>
      <c r="D126" s="2719"/>
      <c r="E126" s="2719"/>
      <c r="F126" s="2719"/>
      <c r="G126" s="2720"/>
      <c r="H126" s="2719"/>
      <c r="I126" s="2720"/>
      <c r="J126" s="2719"/>
      <c r="K126" s="2719"/>
      <c r="L126" s="2720"/>
      <c r="M126" s="2719"/>
      <c r="N126" s="2719"/>
      <c r="O126" s="2720"/>
      <c r="P126" s="2719"/>
      <c r="Q126" s="2719"/>
      <c r="R126" s="2721"/>
    </row>
    <row r="127" spans="2:18" s="911" customFormat="1">
      <c r="B127" s="2719"/>
      <c r="C127" s="2719"/>
      <c r="D127" s="2719"/>
      <c r="E127" s="2719"/>
      <c r="F127" s="2719"/>
      <c r="G127" s="2720"/>
      <c r="H127" s="2719"/>
      <c r="I127" s="2720"/>
      <c r="J127" s="2719"/>
      <c r="K127" s="2719"/>
      <c r="L127" s="2720"/>
      <c r="M127" s="2719"/>
      <c r="N127" s="2719"/>
      <c r="O127" s="2720"/>
      <c r="P127" s="2719"/>
      <c r="Q127" s="2719"/>
      <c r="R127" s="2721"/>
    </row>
    <row r="128" spans="2:18" s="911" customFormat="1">
      <c r="B128" s="2719"/>
      <c r="C128" s="2719"/>
      <c r="D128" s="2719"/>
      <c r="E128" s="2719"/>
      <c r="F128" s="2719"/>
      <c r="G128" s="2720"/>
      <c r="H128" s="2719"/>
      <c r="I128" s="2720"/>
      <c r="J128" s="2719"/>
      <c r="K128" s="2719"/>
      <c r="L128" s="2720"/>
      <c r="M128" s="2719"/>
      <c r="N128" s="2719"/>
      <c r="O128" s="2720"/>
      <c r="P128" s="2719"/>
      <c r="Q128" s="2719"/>
      <c r="R128" s="2721"/>
    </row>
    <row r="129" spans="2:18" s="911" customFormat="1">
      <c r="B129" s="2719"/>
      <c r="C129" s="2719"/>
      <c r="D129" s="2719"/>
      <c r="E129" s="2719"/>
      <c r="F129" s="2719"/>
      <c r="G129" s="2720"/>
      <c r="H129" s="2719"/>
      <c r="I129" s="2720"/>
      <c r="J129" s="2719"/>
      <c r="K129" s="2719"/>
      <c r="L129" s="2720"/>
      <c r="M129" s="2719"/>
      <c r="N129" s="2719"/>
      <c r="O129" s="2720"/>
      <c r="P129" s="2719"/>
      <c r="Q129" s="2719"/>
      <c r="R129" s="2721"/>
    </row>
    <row r="130" spans="2:18" s="911" customFormat="1">
      <c r="B130" s="2719"/>
      <c r="C130" s="2719"/>
      <c r="D130" s="2719"/>
      <c r="E130" s="2719"/>
      <c r="F130" s="2719"/>
      <c r="G130" s="2720"/>
      <c r="H130" s="2719"/>
      <c r="I130" s="2720"/>
      <c r="J130" s="2719"/>
      <c r="K130" s="2719"/>
      <c r="L130" s="2720"/>
      <c r="M130" s="2719"/>
      <c r="N130" s="2719"/>
      <c r="O130" s="2720"/>
      <c r="P130" s="2719"/>
      <c r="Q130" s="2719"/>
      <c r="R130" s="2721"/>
    </row>
    <row r="131" spans="2:18" s="911" customFormat="1">
      <c r="B131" s="2719"/>
      <c r="C131" s="2719"/>
      <c r="D131" s="2719"/>
      <c r="E131" s="2719"/>
      <c r="F131" s="2719"/>
      <c r="G131" s="2720"/>
      <c r="H131" s="2719"/>
      <c r="I131" s="2720"/>
      <c r="J131" s="2719"/>
      <c r="K131" s="2719"/>
      <c r="L131" s="2720"/>
      <c r="M131" s="2719"/>
      <c r="N131" s="2719"/>
      <c r="O131" s="2720"/>
      <c r="P131" s="2719"/>
      <c r="Q131" s="2719"/>
      <c r="R131" s="2721"/>
    </row>
    <row r="132" spans="2:18" s="911" customFormat="1">
      <c r="B132" s="2719"/>
      <c r="C132" s="2719"/>
      <c r="D132" s="2719"/>
      <c r="E132" s="2719"/>
      <c r="F132" s="2719"/>
      <c r="G132" s="2720"/>
      <c r="H132" s="2719"/>
      <c r="I132" s="2720"/>
      <c r="J132" s="2719"/>
      <c r="K132" s="2719"/>
      <c r="L132" s="2720"/>
      <c r="M132" s="2719"/>
      <c r="N132" s="2719"/>
      <c r="O132" s="2720"/>
      <c r="P132" s="2719"/>
      <c r="Q132" s="2719"/>
      <c r="R132" s="2721"/>
    </row>
    <row r="133" spans="2:18" s="911" customFormat="1">
      <c r="B133" s="2719"/>
      <c r="C133" s="2719"/>
      <c r="D133" s="2719"/>
      <c r="E133" s="2719"/>
      <c r="F133" s="2719"/>
      <c r="G133" s="2720"/>
      <c r="H133" s="2719"/>
      <c r="I133" s="2720"/>
      <c r="J133" s="2719"/>
      <c r="K133" s="2719"/>
      <c r="L133" s="2720"/>
      <c r="M133" s="2719"/>
      <c r="N133" s="2719"/>
      <c r="O133" s="2720"/>
      <c r="P133" s="2719"/>
      <c r="Q133" s="2719"/>
      <c r="R133" s="2721"/>
    </row>
    <row r="134" spans="2:18" s="911" customFormat="1">
      <c r="B134" s="2719"/>
      <c r="C134" s="2719"/>
      <c r="D134" s="2719"/>
      <c r="E134" s="2719"/>
      <c r="F134" s="2719"/>
      <c r="G134" s="2720"/>
      <c r="H134" s="2719"/>
      <c r="I134" s="2720"/>
      <c r="J134" s="2719"/>
      <c r="K134" s="2719"/>
      <c r="L134" s="2720"/>
      <c r="M134" s="2719"/>
      <c r="N134" s="2719"/>
      <c r="O134" s="2720"/>
      <c r="P134" s="2719"/>
      <c r="Q134" s="2719"/>
      <c r="R134" s="2721"/>
    </row>
    <row r="135" spans="2:18" s="911" customFormat="1">
      <c r="B135" s="2719"/>
      <c r="C135" s="2719"/>
      <c r="D135" s="2719"/>
      <c r="E135" s="2719"/>
      <c r="F135" s="2719"/>
      <c r="G135" s="2720"/>
      <c r="H135" s="2719"/>
      <c r="I135" s="2720"/>
      <c r="J135" s="2719"/>
      <c r="K135" s="2719"/>
      <c r="L135" s="2720"/>
      <c r="M135" s="2719"/>
      <c r="N135" s="2719"/>
      <c r="O135" s="2720"/>
      <c r="P135" s="2719"/>
      <c r="Q135" s="2719"/>
      <c r="R135" s="2721"/>
    </row>
    <row r="136" spans="2:18" s="911" customFormat="1">
      <c r="B136" s="2719"/>
      <c r="C136" s="2719"/>
      <c r="D136" s="2719"/>
      <c r="E136" s="2719"/>
      <c r="F136" s="2719"/>
      <c r="G136" s="2720"/>
      <c r="H136" s="2719"/>
      <c r="I136" s="2720"/>
      <c r="J136" s="2719"/>
      <c r="K136" s="2719"/>
      <c r="L136" s="2720"/>
      <c r="M136" s="2719"/>
      <c r="N136" s="2719"/>
      <c r="O136" s="2720"/>
      <c r="P136" s="2719"/>
      <c r="Q136" s="2719"/>
      <c r="R136" s="2721"/>
    </row>
    <row r="137" spans="2:18" s="911" customFormat="1">
      <c r="B137" s="2719"/>
      <c r="C137" s="2719"/>
      <c r="D137" s="2719"/>
      <c r="E137" s="2719"/>
      <c r="F137" s="2719"/>
      <c r="G137" s="2720"/>
      <c r="H137" s="2719"/>
      <c r="I137" s="2720"/>
      <c r="J137" s="2719"/>
      <c r="K137" s="2719"/>
      <c r="L137" s="2720"/>
      <c r="M137" s="2719"/>
      <c r="N137" s="2719"/>
      <c r="O137" s="2720"/>
      <c r="P137" s="2719"/>
      <c r="Q137" s="2719"/>
      <c r="R137" s="2721"/>
    </row>
    <row r="138" spans="2:18" s="911" customFormat="1">
      <c r="B138" s="2719"/>
      <c r="C138" s="2719"/>
      <c r="D138" s="2719"/>
      <c r="E138" s="2719"/>
      <c r="F138" s="2719"/>
      <c r="G138" s="2720"/>
      <c r="H138" s="2719"/>
      <c r="I138" s="2720"/>
      <c r="J138" s="2719"/>
      <c r="K138" s="2719"/>
      <c r="L138" s="2720"/>
      <c r="M138" s="2719"/>
      <c r="N138" s="2719"/>
      <c r="O138" s="2720"/>
      <c r="P138" s="2719"/>
      <c r="Q138" s="2719"/>
      <c r="R138" s="2721"/>
    </row>
    <row r="139" spans="2:18" s="911" customFormat="1">
      <c r="B139" s="2719"/>
      <c r="C139" s="2719"/>
      <c r="D139" s="2719"/>
      <c r="E139" s="2719"/>
      <c r="F139" s="2719"/>
      <c r="G139" s="2720"/>
      <c r="H139" s="2719"/>
      <c r="I139" s="2720"/>
      <c r="J139" s="2719"/>
      <c r="K139" s="2719"/>
      <c r="L139" s="2720"/>
      <c r="M139" s="2719"/>
      <c r="N139" s="2719"/>
      <c r="O139" s="2720"/>
      <c r="P139" s="2719"/>
      <c r="Q139" s="2719"/>
      <c r="R139" s="2721"/>
    </row>
    <row r="140" spans="2:18" s="911" customFormat="1">
      <c r="B140" s="2719"/>
      <c r="C140" s="2719"/>
      <c r="D140" s="2719"/>
      <c r="E140" s="2719"/>
      <c r="F140" s="2719"/>
      <c r="G140" s="2720"/>
      <c r="H140" s="2719"/>
      <c r="I140" s="2720"/>
      <c r="J140" s="2719"/>
      <c r="K140" s="2719"/>
      <c r="L140" s="2720"/>
      <c r="M140" s="2719"/>
      <c r="N140" s="2719"/>
      <c r="O140" s="2720"/>
      <c r="P140" s="2719"/>
      <c r="Q140" s="2719"/>
      <c r="R140" s="2721"/>
    </row>
    <row r="141" spans="2:18" s="911" customFormat="1">
      <c r="B141" s="2719"/>
      <c r="C141" s="2719"/>
      <c r="D141" s="2719"/>
      <c r="E141" s="2719"/>
      <c r="F141" s="2719"/>
      <c r="G141" s="2720"/>
      <c r="H141" s="2719"/>
      <c r="I141" s="2720"/>
      <c r="J141" s="2719"/>
      <c r="K141" s="2719"/>
      <c r="L141" s="2720"/>
      <c r="M141" s="2719"/>
      <c r="N141" s="2719"/>
      <c r="O141" s="2720"/>
      <c r="P141" s="2719"/>
      <c r="Q141" s="2719"/>
      <c r="R141" s="2721"/>
    </row>
    <row r="142" spans="2:18" s="911" customFormat="1">
      <c r="B142" s="2719"/>
      <c r="C142" s="2719"/>
      <c r="D142" s="2719"/>
      <c r="E142" s="2719"/>
      <c r="F142" s="2719"/>
      <c r="G142" s="2720"/>
      <c r="H142" s="2719"/>
      <c r="I142" s="2720"/>
      <c r="J142" s="2719"/>
      <c r="K142" s="2719"/>
      <c r="L142" s="2720"/>
      <c r="M142" s="2719"/>
      <c r="N142" s="2719"/>
      <c r="O142" s="2720"/>
      <c r="P142" s="2719"/>
      <c r="Q142" s="2719"/>
      <c r="R142" s="2721"/>
    </row>
    <row r="143" spans="2:18" s="911" customFormat="1">
      <c r="B143" s="2719"/>
      <c r="C143" s="2719"/>
      <c r="D143" s="2719"/>
      <c r="E143" s="2719"/>
      <c r="F143" s="2719"/>
      <c r="G143" s="2720"/>
      <c r="H143" s="2719"/>
      <c r="I143" s="2720"/>
      <c r="J143" s="2719"/>
      <c r="K143" s="2719"/>
      <c r="L143" s="2720"/>
      <c r="M143" s="2719"/>
      <c r="N143" s="2719"/>
      <c r="O143" s="2720"/>
      <c r="P143" s="2719"/>
      <c r="Q143" s="2719"/>
      <c r="R143" s="2721"/>
    </row>
    <row r="144" spans="2:18" s="911" customFormat="1">
      <c r="B144" s="2719"/>
      <c r="C144" s="2719"/>
      <c r="D144" s="2719"/>
      <c r="E144" s="2719"/>
      <c r="F144" s="2719"/>
      <c r="G144" s="2720"/>
      <c r="H144" s="2719"/>
      <c r="I144" s="2720"/>
      <c r="J144" s="2719"/>
      <c r="K144" s="2719"/>
      <c r="L144" s="2720"/>
      <c r="M144" s="2719"/>
      <c r="N144" s="2719"/>
      <c r="O144" s="2720"/>
      <c r="P144" s="2719"/>
      <c r="Q144" s="2719"/>
      <c r="R144" s="2721"/>
    </row>
    <row r="145" spans="2:18" s="911" customFormat="1">
      <c r="B145" s="2719"/>
      <c r="C145" s="2719"/>
      <c r="D145" s="2719"/>
      <c r="E145" s="2719"/>
      <c r="F145" s="2719"/>
      <c r="G145" s="2720"/>
      <c r="H145" s="2719"/>
      <c r="I145" s="2720"/>
      <c r="J145" s="2719"/>
      <c r="K145" s="2719"/>
      <c r="L145" s="2720"/>
      <c r="M145" s="2719"/>
      <c r="N145" s="2719"/>
      <c r="O145" s="2720"/>
      <c r="P145" s="2719"/>
      <c r="Q145" s="2719"/>
      <c r="R145" s="2721"/>
    </row>
    <row r="146" spans="2:18" s="911" customFormat="1">
      <c r="B146" s="2719"/>
      <c r="C146" s="2719"/>
      <c r="D146" s="2719"/>
      <c r="E146" s="2719"/>
      <c r="F146" s="2719"/>
      <c r="G146" s="2720"/>
      <c r="H146" s="2719"/>
      <c r="I146" s="2720"/>
      <c r="J146" s="2719"/>
      <c r="K146" s="2719"/>
      <c r="L146" s="2720"/>
      <c r="M146" s="2719"/>
      <c r="N146" s="2719"/>
      <c r="O146" s="2720"/>
      <c r="P146" s="2719"/>
      <c r="Q146" s="2719"/>
      <c r="R146" s="2721"/>
    </row>
    <row r="147" spans="2:18" s="911" customFormat="1">
      <c r="B147" s="2719"/>
      <c r="C147" s="2719"/>
      <c r="D147" s="2719"/>
      <c r="E147" s="2719"/>
      <c r="F147" s="2719"/>
      <c r="G147" s="2720"/>
      <c r="H147" s="2719"/>
      <c r="I147" s="2720"/>
      <c r="J147" s="2719"/>
      <c r="K147" s="2719"/>
      <c r="L147" s="2720"/>
      <c r="M147" s="2719"/>
      <c r="N147" s="2719"/>
      <c r="O147" s="2720"/>
      <c r="P147" s="2719"/>
      <c r="Q147" s="2719"/>
      <c r="R147" s="2721"/>
    </row>
    <row r="148" spans="2:18" s="911" customFormat="1">
      <c r="B148" s="2719"/>
      <c r="C148" s="2719"/>
      <c r="D148" s="2719"/>
      <c r="E148" s="2719"/>
      <c r="F148" s="2719"/>
      <c r="G148" s="2720"/>
      <c r="H148" s="2719"/>
      <c r="I148" s="2720"/>
      <c r="J148" s="2719"/>
      <c r="K148" s="2719"/>
      <c r="L148" s="2720"/>
      <c r="M148" s="2719"/>
      <c r="N148" s="2719"/>
      <c r="O148" s="2720"/>
      <c r="P148" s="2719"/>
      <c r="Q148" s="2719"/>
      <c r="R148" s="2721"/>
    </row>
    <row r="149" spans="2:18" s="911" customFormat="1">
      <c r="B149" s="2719"/>
      <c r="C149" s="2719"/>
      <c r="D149" s="2719"/>
      <c r="E149" s="2719"/>
      <c r="F149" s="2719"/>
      <c r="G149" s="2720"/>
      <c r="H149" s="2719"/>
      <c r="I149" s="2720"/>
      <c r="J149" s="2719"/>
      <c r="K149" s="2719"/>
      <c r="L149" s="2720"/>
      <c r="M149" s="2719"/>
      <c r="N149" s="2719"/>
      <c r="O149" s="2720"/>
      <c r="P149" s="2719"/>
      <c r="Q149" s="2719"/>
      <c r="R149" s="2721"/>
    </row>
    <row r="150" spans="2:18" s="911" customFormat="1">
      <c r="B150" s="2719"/>
      <c r="C150" s="2719"/>
      <c r="D150" s="2719"/>
      <c r="E150" s="2719"/>
      <c r="F150" s="2719"/>
      <c r="G150" s="2720"/>
      <c r="H150" s="2719"/>
      <c r="I150" s="2720"/>
      <c r="J150" s="2719"/>
      <c r="K150" s="2719"/>
      <c r="L150" s="2720"/>
      <c r="M150" s="2719"/>
      <c r="N150" s="2719"/>
      <c r="O150" s="2720"/>
      <c r="P150" s="2719"/>
      <c r="Q150" s="2719"/>
      <c r="R150" s="2721"/>
    </row>
    <row r="151" spans="2:18" s="911" customFormat="1">
      <c r="B151" s="2719"/>
      <c r="C151" s="2719"/>
      <c r="D151" s="2719"/>
      <c r="E151" s="2719"/>
      <c r="F151" s="2719"/>
      <c r="G151" s="2720"/>
      <c r="H151" s="2719"/>
      <c r="I151" s="2720"/>
      <c r="J151" s="2719"/>
      <c r="K151" s="2719"/>
      <c r="L151" s="2720"/>
      <c r="M151" s="2719"/>
      <c r="N151" s="2719"/>
      <c r="O151" s="2720"/>
      <c r="P151" s="2719"/>
      <c r="Q151" s="2719"/>
      <c r="R151" s="2721"/>
    </row>
    <row r="152" spans="2:18" s="911" customFormat="1">
      <c r="B152" s="2719"/>
      <c r="C152" s="2719"/>
      <c r="D152" s="2719"/>
      <c r="E152" s="2719"/>
      <c r="F152" s="2719"/>
      <c r="G152" s="2720"/>
      <c r="H152" s="2719"/>
      <c r="I152" s="2720"/>
      <c r="J152" s="2719"/>
      <c r="K152" s="2719"/>
      <c r="L152" s="2720"/>
      <c r="M152" s="2719"/>
      <c r="N152" s="2719"/>
      <c r="O152" s="2720"/>
      <c r="P152" s="2719"/>
      <c r="Q152" s="2719"/>
      <c r="R152" s="2721"/>
    </row>
    <row r="153" spans="2:18" s="911" customFormat="1">
      <c r="B153" s="2719"/>
      <c r="C153" s="2719"/>
      <c r="D153" s="2719"/>
      <c r="E153" s="2719"/>
      <c r="F153" s="2719"/>
      <c r="G153" s="2720"/>
      <c r="H153" s="2719"/>
      <c r="I153" s="2720"/>
      <c r="J153" s="2719"/>
      <c r="K153" s="2719"/>
      <c r="L153" s="2720"/>
      <c r="M153" s="2719"/>
      <c r="N153" s="2719"/>
      <c r="O153" s="2720"/>
      <c r="P153" s="2719"/>
      <c r="Q153" s="2719"/>
      <c r="R153" s="2721"/>
    </row>
    <row r="154" spans="2:18" s="911" customFormat="1">
      <c r="B154" s="2719"/>
      <c r="C154" s="2719"/>
      <c r="D154" s="2719"/>
      <c r="E154" s="2719"/>
      <c r="F154" s="2719"/>
      <c r="G154" s="2720"/>
      <c r="H154" s="2719"/>
      <c r="I154" s="2720"/>
      <c r="J154" s="2719"/>
      <c r="K154" s="2719"/>
      <c r="L154" s="2720"/>
      <c r="M154" s="2719"/>
      <c r="N154" s="2719"/>
      <c r="O154" s="2720"/>
      <c r="P154" s="2719"/>
      <c r="Q154" s="2719"/>
      <c r="R154" s="2721"/>
    </row>
    <row r="155" spans="2:18" s="911" customFormat="1">
      <c r="B155" s="2719"/>
      <c r="C155" s="2719"/>
      <c r="D155" s="2719"/>
      <c r="E155" s="2719"/>
      <c r="F155" s="2719"/>
      <c r="G155" s="2720"/>
      <c r="H155" s="2719"/>
      <c r="I155" s="2720"/>
      <c r="J155" s="2719"/>
      <c r="K155" s="2719"/>
      <c r="L155" s="2720"/>
      <c r="M155" s="2719"/>
      <c r="N155" s="2719"/>
      <c r="O155" s="2720"/>
      <c r="P155" s="2719"/>
      <c r="Q155" s="2719"/>
      <c r="R155" s="2721"/>
    </row>
    <row r="156" spans="2:18" s="911" customFormat="1">
      <c r="B156" s="2719"/>
      <c r="C156" s="2719"/>
      <c r="D156" s="2719"/>
      <c r="E156" s="2719"/>
      <c r="F156" s="2719"/>
      <c r="G156" s="2720"/>
      <c r="H156" s="2719"/>
      <c r="I156" s="2720"/>
      <c r="J156" s="2719"/>
      <c r="K156" s="2719"/>
      <c r="L156" s="2720"/>
      <c r="M156" s="2719"/>
      <c r="N156" s="2719"/>
      <c r="O156" s="2720"/>
      <c r="P156" s="2719"/>
      <c r="Q156" s="2719"/>
      <c r="R156" s="2721"/>
    </row>
    <row r="157" spans="2:18" s="911" customFormat="1">
      <c r="B157" s="2719"/>
      <c r="C157" s="2719"/>
      <c r="D157" s="2719"/>
      <c r="E157" s="2719"/>
      <c r="F157" s="2719"/>
      <c r="G157" s="2720"/>
      <c r="H157" s="2719"/>
      <c r="I157" s="2720"/>
      <c r="J157" s="2719"/>
      <c r="K157" s="2719"/>
      <c r="L157" s="2720"/>
      <c r="M157" s="2719"/>
      <c r="N157" s="2719"/>
      <c r="O157" s="2720"/>
      <c r="P157" s="2719"/>
      <c r="Q157" s="2719"/>
      <c r="R157" s="2721"/>
    </row>
    <row r="158" spans="2:18" s="911" customFormat="1">
      <c r="B158" s="2719"/>
      <c r="C158" s="2719"/>
      <c r="D158" s="2719"/>
      <c r="E158" s="2719"/>
      <c r="F158" s="2719"/>
      <c r="G158" s="2720"/>
      <c r="H158" s="2719"/>
      <c r="I158" s="2720"/>
      <c r="J158" s="2719"/>
      <c r="K158" s="2719"/>
      <c r="L158" s="2720"/>
      <c r="M158" s="2719"/>
      <c r="N158" s="2719"/>
      <c r="O158" s="2720"/>
      <c r="P158" s="2719"/>
      <c r="Q158" s="2719"/>
      <c r="R158" s="2721"/>
    </row>
    <row r="159" spans="2:18" s="911" customFormat="1">
      <c r="B159" s="2719"/>
      <c r="C159" s="2719"/>
      <c r="D159" s="2719"/>
      <c r="E159" s="2719"/>
      <c r="F159" s="2719"/>
      <c r="G159" s="2720"/>
      <c r="H159" s="2719"/>
      <c r="I159" s="2720"/>
      <c r="J159" s="2719"/>
      <c r="K159" s="2719"/>
      <c r="L159" s="2720"/>
      <c r="M159" s="2719"/>
      <c r="N159" s="2719"/>
      <c r="O159" s="2720"/>
      <c r="P159" s="2719"/>
      <c r="Q159" s="2719"/>
      <c r="R159" s="2721"/>
    </row>
    <row r="160" spans="2:18" s="911" customFormat="1">
      <c r="B160" s="2719"/>
      <c r="C160" s="2719"/>
      <c r="D160" s="2719"/>
      <c r="E160" s="2719"/>
      <c r="F160" s="2719"/>
      <c r="G160" s="2720"/>
      <c r="H160" s="2719"/>
      <c r="I160" s="2720"/>
      <c r="J160" s="2719"/>
      <c r="K160" s="2719"/>
      <c r="L160" s="2720"/>
      <c r="M160" s="2719"/>
      <c r="N160" s="2719"/>
      <c r="O160" s="2720"/>
      <c r="P160" s="2719"/>
      <c r="Q160" s="2719"/>
      <c r="R160" s="2721"/>
    </row>
    <row r="161" spans="2:18" s="911" customFormat="1">
      <c r="B161" s="2719"/>
      <c r="C161" s="2719"/>
      <c r="D161" s="2719"/>
      <c r="E161" s="2719"/>
      <c r="F161" s="2719"/>
      <c r="G161" s="2720"/>
      <c r="H161" s="2719"/>
      <c r="I161" s="2720"/>
      <c r="J161" s="2719"/>
      <c r="K161" s="2719"/>
      <c r="L161" s="2720"/>
      <c r="M161" s="2719"/>
      <c r="N161" s="2719"/>
      <c r="O161" s="2720"/>
      <c r="P161" s="2719"/>
      <c r="Q161" s="2719"/>
      <c r="R161" s="2721"/>
    </row>
    <row r="162" spans="2:18" s="911" customFormat="1">
      <c r="B162" s="2719"/>
      <c r="C162" s="2719"/>
      <c r="D162" s="2719"/>
      <c r="E162" s="2719"/>
      <c r="F162" s="2719"/>
      <c r="G162" s="2720"/>
      <c r="H162" s="2719"/>
      <c r="I162" s="2720"/>
      <c r="J162" s="2719"/>
      <c r="K162" s="2719"/>
      <c r="L162" s="2720"/>
      <c r="M162" s="2719"/>
      <c r="N162" s="2719"/>
      <c r="O162" s="2720"/>
      <c r="P162" s="2719"/>
      <c r="Q162" s="2719"/>
      <c r="R162" s="2721"/>
    </row>
    <row r="163" spans="2:18" s="911" customFormat="1">
      <c r="B163" s="2719"/>
      <c r="C163" s="2719"/>
      <c r="D163" s="2719"/>
      <c r="E163" s="2719"/>
      <c r="F163" s="2719"/>
      <c r="G163" s="2720"/>
      <c r="H163" s="2719"/>
      <c r="I163" s="2720"/>
      <c r="J163" s="2719"/>
      <c r="K163" s="2719"/>
      <c r="L163" s="2720"/>
      <c r="M163" s="2719"/>
      <c r="N163" s="2719"/>
      <c r="O163" s="2720"/>
      <c r="P163" s="2719"/>
      <c r="Q163" s="2719"/>
      <c r="R163" s="2721"/>
    </row>
    <row r="164" spans="2:18" s="911" customFormat="1">
      <c r="B164" s="2719"/>
      <c r="C164" s="2719"/>
      <c r="D164" s="2719"/>
      <c r="E164" s="2719"/>
      <c r="F164" s="2719"/>
      <c r="G164" s="2720"/>
      <c r="H164" s="2719"/>
      <c r="I164" s="2720"/>
      <c r="J164" s="2719"/>
      <c r="K164" s="2719"/>
      <c r="L164" s="2720"/>
      <c r="M164" s="2719"/>
      <c r="N164" s="2719"/>
      <c r="O164" s="2720"/>
      <c r="P164" s="2719"/>
      <c r="Q164" s="2719"/>
      <c r="R164" s="2721"/>
    </row>
    <row r="165" spans="2:18" s="911" customFormat="1">
      <c r="B165" s="2719"/>
      <c r="C165" s="2719"/>
      <c r="D165" s="2719"/>
      <c r="E165" s="2719"/>
      <c r="F165" s="2719"/>
      <c r="G165" s="2720"/>
      <c r="H165" s="2719"/>
      <c r="I165" s="2720"/>
      <c r="J165" s="2719"/>
      <c r="K165" s="2719"/>
      <c r="L165" s="2720"/>
      <c r="M165" s="2719"/>
      <c r="N165" s="2719"/>
      <c r="O165" s="2720"/>
      <c r="P165" s="2719"/>
      <c r="Q165" s="2719"/>
      <c r="R165" s="2721"/>
    </row>
    <row r="166" spans="2:18" s="911" customFormat="1">
      <c r="B166" s="2719"/>
      <c r="C166" s="2719"/>
      <c r="D166" s="2719"/>
      <c r="E166" s="2719"/>
      <c r="F166" s="2719"/>
      <c r="G166" s="2720"/>
      <c r="H166" s="2719"/>
      <c r="I166" s="2720"/>
      <c r="J166" s="2719"/>
      <c r="K166" s="2719"/>
      <c r="L166" s="2720"/>
      <c r="M166" s="2719"/>
      <c r="N166" s="2719"/>
      <c r="O166" s="2720"/>
      <c r="P166" s="2719"/>
      <c r="Q166" s="2719"/>
      <c r="R166" s="2721"/>
    </row>
    <row r="167" spans="2:18" s="911" customFormat="1">
      <c r="B167" s="2719"/>
      <c r="C167" s="2719"/>
      <c r="D167" s="2719"/>
      <c r="E167" s="2719"/>
      <c r="F167" s="2719"/>
      <c r="G167" s="2720"/>
      <c r="H167" s="2719"/>
      <c r="I167" s="2720"/>
      <c r="J167" s="2719"/>
      <c r="K167" s="2719"/>
      <c r="L167" s="2720"/>
      <c r="M167" s="2719"/>
      <c r="N167" s="2719"/>
      <c r="O167" s="2720"/>
      <c r="P167" s="2719"/>
      <c r="Q167" s="2719"/>
      <c r="R167" s="2721"/>
    </row>
    <row r="168" spans="2:18" s="911" customFormat="1">
      <c r="B168" s="2719"/>
      <c r="C168" s="2719"/>
      <c r="D168" s="2719"/>
      <c r="E168" s="2719"/>
      <c r="F168" s="2719"/>
      <c r="G168" s="2720"/>
      <c r="H168" s="2719"/>
      <c r="I168" s="2720"/>
      <c r="J168" s="2719"/>
      <c r="K168" s="2719"/>
      <c r="L168" s="2720"/>
      <c r="M168" s="2719"/>
      <c r="N168" s="2719"/>
      <c r="O168" s="2720"/>
      <c r="P168" s="2719"/>
      <c r="Q168" s="2719"/>
      <c r="R168" s="2721"/>
    </row>
    <row r="169" spans="2:18" s="911" customFormat="1">
      <c r="B169" s="2719"/>
      <c r="C169" s="2719"/>
      <c r="D169" s="2719"/>
      <c r="E169" s="2719"/>
      <c r="F169" s="2719"/>
      <c r="G169" s="2720"/>
      <c r="H169" s="2719"/>
      <c r="I169" s="2720"/>
      <c r="J169" s="2719"/>
      <c r="K169" s="2719"/>
      <c r="L169" s="2720"/>
      <c r="M169" s="2719"/>
      <c r="N169" s="2719"/>
      <c r="O169" s="2720"/>
      <c r="P169" s="2719"/>
      <c r="Q169" s="2719"/>
      <c r="R169" s="2721"/>
    </row>
    <row r="170" spans="2:18" s="911" customFormat="1">
      <c r="B170" s="2719"/>
      <c r="C170" s="2719"/>
      <c r="D170" s="2719"/>
      <c r="E170" s="2719"/>
      <c r="F170" s="2719"/>
      <c r="G170" s="2720"/>
      <c r="H170" s="2719"/>
      <c r="I170" s="2720"/>
      <c r="J170" s="2719"/>
      <c r="K170" s="2719"/>
      <c r="L170" s="2720"/>
      <c r="M170" s="2719"/>
      <c r="N170" s="2719"/>
      <c r="O170" s="2720"/>
      <c r="P170" s="2719"/>
      <c r="Q170" s="2719"/>
      <c r="R170" s="2721"/>
    </row>
    <row r="171" spans="2:18" s="911" customFormat="1">
      <c r="B171" s="2719"/>
      <c r="C171" s="2719"/>
      <c r="D171" s="2719"/>
      <c r="E171" s="2719"/>
      <c r="F171" s="2719"/>
      <c r="G171" s="2720"/>
      <c r="H171" s="2719"/>
      <c r="I171" s="2720"/>
      <c r="J171" s="2719"/>
      <c r="K171" s="2719"/>
      <c r="L171" s="2720"/>
      <c r="M171" s="2719"/>
      <c r="N171" s="2719"/>
      <c r="O171" s="2720"/>
      <c r="P171" s="2719"/>
      <c r="Q171" s="2719"/>
      <c r="R171" s="2721"/>
    </row>
    <row r="172" spans="2:18" s="911" customFormat="1">
      <c r="B172" s="2719"/>
      <c r="C172" s="2719"/>
      <c r="D172" s="2719"/>
      <c r="E172" s="2719"/>
      <c r="F172" s="2719"/>
      <c r="G172" s="2720"/>
      <c r="H172" s="2719"/>
      <c r="I172" s="2720"/>
      <c r="J172" s="2719"/>
      <c r="K172" s="2719"/>
      <c r="L172" s="2720"/>
      <c r="M172" s="2719"/>
      <c r="N172" s="2719"/>
      <c r="O172" s="2720"/>
      <c r="P172" s="2719"/>
      <c r="Q172" s="2719"/>
      <c r="R172" s="2721"/>
    </row>
    <row r="173" spans="2:18" s="911" customFormat="1">
      <c r="B173" s="2719"/>
      <c r="C173" s="2719"/>
      <c r="D173" s="2719"/>
      <c r="E173" s="2719"/>
      <c r="F173" s="2719"/>
      <c r="G173" s="2720"/>
      <c r="H173" s="2719"/>
      <c r="I173" s="2720"/>
      <c r="J173" s="2719"/>
      <c r="K173" s="2719"/>
      <c r="L173" s="2720"/>
      <c r="M173" s="2719"/>
      <c r="N173" s="2719"/>
      <c r="O173" s="2720"/>
      <c r="P173" s="2719"/>
      <c r="Q173" s="2719"/>
      <c r="R173" s="2721"/>
    </row>
    <row r="174" spans="2:18" s="911" customFormat="1">
      <c r="B174" s="2719"/>
      <c r="C174" s="2719"/>
      <c r="D174" s="2719"/>
      <c r="E174" s="2719"/>
      <c r="F174" s="2719"/>
      <c r="G174" s="2720"/>
      <c r="H174" s="2719"/>
      <c r="I174" s="2720"/>
      <c r="J174" s="2719"/>
      <c r="K174" s="2719"/>
      <c r="L174" s="2720"/>
      <c r="M174" s="2719"/>
      <c r="N174" s="2719"/>
      <c r="O174" s="2720"/>
      <c r="P174" s="2719"/>
      <c r="Q174" s="2719"/>
      <c r="R174" s="2721"/>
    </row>
    <row r="175" spans="2:18" s="911" customFormat="1">
      <c r="B175" s="2719"/>
      <c r="C175" s="2719"/>
      <c r="D175" s="2719"/>
      <c r="E175" s="2719"/>
      <c r="F175" s="2719"/>
      <c r="G175" s="2720"/>
      <c r="H175" s="2719"/>
      <c r="I175" s="2720"/>
      <c r="J175" s="2719"/>
      <c r="K175" s="2719"/>
      <c r="L175" s="2720"/>
      <c r="M175" s="2719"/>
      <c r="N175" s="2719"/>
      <c r="O175" s="2720"/>
      <c r="P175" s="2719"/>
      <c r="Q175" s="2719"/>
      <c r="R175" s="2721"/>
    </row>
    <row r="176" spans="2:18" s="911" customFormat="1">
      <c r="B176" s="2719"/>
      <c r="C176" s="2719"/>
      <c r="D176" s="2719"/>
      <c r="E176" s="2719"/>
      <c r="F176" s="2719"/>
      <c r="G176" s="2720"/>
      <c r="H176" s="2719"/>
      <c r="I176" s="2720"/>
      <c r="J176" s="2719"/>
      <c r="K176" s="2719"/>
      <c r="L176" s="2720"/>
      <c r="M176" s="2719"/>
      <c r="N176" s="2719"/>
      <c r="O176" s="2720"/>
      <c r="P176" s="2719"/>
      <c r="Q176" s="2719"/>
      <c r="R176" s="2721"/>
    </row>
    <row r="177" spans="1:18" s="911" customFormat="1">
      <c r="B177" s="2719"/>
      <c r="C177" s="2719"/>
      <c r="D177" s="2719"/>
      <c r="E177" s="2719"/>
      <c r="F177" s="2719"/>
      <c r="G177" s="2720"/>
      <c r="H177" s="2719"/>
      <c r="I177" s="2720"/>
      <c r="J177" s="2719"/>
      <c r="K177" s="2719"/>
      <c r="L177" s="2720"/>
      <c r="M177" s="2719"/>
      <c r="N177" s="2719"/>
      <c r="O177" s="2720"/>
      <c r="P177" s="2719"/>
      <c r="Q177" s="2719"/>
      <c r="R177" s="2721"/>
    </row>
    <row r="178" spans="1:18" s="911" customFormat="1">
      <c r="B178" s="2719"/>
      <c r="C178" s="2719"/>
      <c r="D178" s="2719"/>
      <c r="E178" s="2719"/>
      <c r="F178" s="2719"/>
      <c r="G178" s="2720"/>
      <c r="H178" s="2719"/>
      <c r="I178" s="2720"/>
      <c r="J178" s="2719"/>
      <c r="K178" s="2719"/>
      <c r="L178" s="2720"/>
      <c r="M178" s="2719"/>
      <c r="N178" s="2719"/>
      <c r="O178" s="2720"/>
      <c r="P178" s="2719"/>
      <c r="Q178" s="2719"/>
      <c r="R178" s="2721"/>
    </row>
    <row r="179" spans="1:18" s="911" customFormat="1">
      <c r="B179" s="2719"/>
      <c r="C179" s="2719"/>
      <c r="D179" s="2719"/>
      <c r="E179" s="2719"/>
      <c r="F179" s="2719"/>
      <c r="G179" s="2720"/>
      <c r="H179" s="2719"/>
      <c r="I179" s="2720"/>
      <c r="J179" s="2719"/>
      <c r="K179" s="2719"/>
      <c r="L179" s="2720"/>
      <c r="M179" s="2719"/>
      <c r="N179" s="2719"/>
      <c r="O179" s="2720"/>
      <c r="P179" s="2719"/>
      <c r="Q179" s="2719"/>
      <c r="R179" s="2721"/>
    </row>
    <row r="180" spans="1:18" s="911" customFormat="1">
      <c r="B180" s="2719"/>
      <c r="C180" s="2719"/>
      <c r="D180" s="2719"/>
      <c r="E180" s="2719"/>
      <c r="F180" s="2719"/>
      <c r="G180" s="2720"/>
      <c r="H180" s="2719"/>
      <c r="I180" s="2720"/>
      <c r="J180" s="2719"/>
      <c r="K180" s="2719"/>
      <c r="L180" s="2720"/>
      <c r="M180" s="2719"/>
      <c r="N180" s="2719"/>
      <c r="O180" s="2720"/>
      <c r="P180" s="2719"/>
      <c r="Q180" s="2719"/>
      <c r="R180" s="2721"/>
    </row>
    <row r="181" spans="1:18" s="911" customFormat="1">
      <c r="B181" s="2719"/>
      <c r="C181" s="2719"/>
      <c r="D181" s="2719"/>
      <c r="E181" s="2719"/>
      <c r="F181" s="2719"/>
      <c r="G181" s="2720"/>
      <c r="H181" s="2719"/>
      <c r="I181" s="2720"/>
      <c r="J181" s="2719"/>
      <c r="K181" s="2719"/>
      <c r="L181" s="2720"/>
      <c r="M181" s="2719"/>
      <c r="N181" s="2719"/>
      <c r="O181" s="2720"/>
      <c r="P181" s="2719"/>
      <c r="Q181" s="2719"/>
      <c r="R181" s="2721"/>
    </row>
    <row r="182" spans="1:18" s="911" customFormat="1">
      <c r="B182" s="2719"/>
      <c r="C182" s="2719"/>
      <c r="D182" s="2719"/>
      <c r="E182" s="2719"/>
      <c r="F182" s="2719"/>
      <c r="G182" s="2720"/>
      <c r="H182" s="2719"/>
      <c r="I182" s="2720"/>
      <c r="J182" s="2719"/>
      <c r="K182" s="2719"/>
      <c r="L182" s="2720"/>
      <c r="M182" s="2719"/>
      <c r="N182" s="2719"/>
      <c r="O182" s="2720"/>
      <c r="P182" s="2719"/>
      <c r="Q182" s="2719"/>
      <c r="R182" s="2721"/>
    </row>
    <row r="183" spans="1:18" s="911" customFormat="1">
      <c r="B183" s="2719"/>
      <c r="C183" s="2719"/>
      <c r="D183" s="2719"/>
      <c r="E183" s="2719"/>
      <c r="F183" s="2719"/>
      <c r="G183" s="2720"/>
      <c r="H183" s="2719"/>
      <c r="I183" s="2720"/>
      <c r="J183" s="2719"/>
      <c r="K183" s="2719"/>
      <c r="L183" s="2720"/>
      <c r="M183" s="2719"/>
      <c r="N183" s="2719"/>
      <c r="O183" s="2720"/>
      <c r="P183" s="2719"/>
      <c r="Q183" s="2719"/>
      <c r="R183" s="2721"/>
    </row>
    <row r="184" spans="1:18" s="911" customFormat="1">
      <c r="B184" s="2719"/>
      <c r="C184" s="2719"/>
      <c r="D184" s="2719"/>
      <c r="E184" s="2719"/>
      <c r="F184" s="2719"/>
      <c r="G184" s="2720"/>
      <c r="H184" s="2719"/>
      <c r="I184" s="2720"/>
      <c r="J184" s="2719"/>
      <c r="K184" s="2719"/>
      <c r="L184" s="2720"/>
      <c r="M184" s="2719"/>
      <c r="N184" s="2719"/>
      <c r="O184" s="2720"/>
      <c r="P184" s="2719"/>
      <c r="Q184" s="2719"/>
      <c r="R184" s="2721"/>
    </row>
    <row r="185" spans="1:18" s="911"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11"/>
      <c r="B186" s="2719"/>
      <c r="C186" s="2719"/>
      <c r="E186" s="2719"/>
      <c r="F186" s="2719"/>
      <c r="G186" s="2720"/>
    </row>
    <row r="187" spans="1:18">
      <c r="A187" s="911"/>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2" sqref="G32"/>
    </sheetView>
  </sheetViews>
  <sheetFormatPr defaultColWidth="9" defaultRowHeight="14.4"/>
  <cols>
    <col min="1" max="1" width="25" style="2740" customWidth="1"/>
    <col min="2" max="9" width="15.77734375" style="2740" customWidth="1"/>
    <col min="10" max="16384" width="9" style="2740"/>
  </cols>
  <sheetData>
    <row r="1" spans="1:11" ht="16.2">
      <c r="A1" s="2739" t="s">
        <v>1331</v>
      </c>
      <c r="B1" s="2739">
        <f>SUM(B14:B23)</f>
        <v>8640.14</v>
      </c>
      <c r="C1" s="2918"/>
      <c r="D1" s="2918"/>
      <c r="E1" s="2918"/>
      <c r="F1" s="2918"/>
      <c r="G1" s="2919"/>
      <c r="H1" s="2920"/>
      <c r="I1" s="2920"/>
      <c r="J1" s="2920"/>
      <c r="K1" s="2920"/>
    </row>
    <row r="2" spans="1:11" ht="16.2">
      <c r="A2" s="2739" t="s">
        <v>1319</v>
      </c>
      <c r="B2" s="2739">
        <f>SUM(C14:C23)</f>
        <v>15462.6</v>
      </c>
      <c r="C2" s="2918"/>
      <c r="D2" s="2918"/>
      <c r="E2" s="2918"/>
      <c r="F2" s="2918"/>
      <c r="G2" s="2919"/>
      <c r="H2" s="2920"/>
      <c r="I2" s="2920"/>
      <c r="J2" s="2920"/>
      <c r="K2" s="2920"/>
    </row>
    <row r="3" spans="1:11" ht="15.6">
      <c r="A3" s="2739" t="s">
        <v>1328</v>
      </c>
      <c r="B3" s="2741">
        <f>项目基本情况!D3</f>
        <v>44063</v>
      </c>
      <c r="C3" s="2918"/>
      <c r="D3" s="2918"/>
      <c r="E3" s="2918"/>
      <c r="F3" s="2918"/>
      <c r="G3" s="2919"/>
      <c r="H3" s="2920"/>
      <c r="I3" s="2920"/>
      <c r="J3" s="2920"/>
      <c r="K3" s="2920"/>
    </row>
    <row r="4" spans="1:11" ht="31.2">
      <c r="A4" s="2739" t="s">
        <v>1327</v>
      </c>
      <c r="B4" s="2739" t="s">
        <v>1326</v>
      </c>
      <c r="C4" s="2739" t="s">
        <v>1325</v>
      </c>
      <c r="D4" s="2739" t="s">
        <v>1324</v>
      </c>
      <c r="E4" s="2918"/>
      <c r="F4" s="2919"/>
      <c r="G4" s="2919"/>
      <c r="H4" s="2920"/>
      <c r="I4" s="2920"/>
      <c r="J4" s="2920"/>
      <c r="K4" s="2920"/>
    </row>
    <row r="5" spans="1:11" ht="15.6">
      <c r="A5" s="2739" t="s">
        <v>1323</v>
      </c>
      <c r="B5" s="2739">
        <f ca="1">SUM(D14:D23)</f>
        <v>12081</v>
      </c>
      <c r="C5" s="2739">
        <f ca="1">ROUND(B5*10000/$B$1,0)</f>
        <v>13982</v>
      </c>
      <c r="D5" s="2739">
        <f ca="1">ROUND(B5*10000/$B$2,0)</f>
        <v>7813</v>
      </c>
      <c r="E5" s="2918"/>
      <c r="F5" s="2919"/>
      <c r="G5" s="2919"/>
      <c r="H5" s="2920"/>
      <c r="I5" s="2920"/>
      <c r="J5" s="2920"/>
      <c r="K5" s="2920"/>
    </row>
    <row r="6" spans="1:11" ht="15.6">
      <c r="A6" s="2739" t="s">
        <v>1322</v>
      </c>
      <c r="B6" s="2739">
        <f>SUM(G14:G23)</f>
        <v>0</v>
      </c>
      <c r="C6" s="2739">
        <f>ROUND(B6*10000/$B$1,0)</f>
        <v>0</v>
      </c>
      <c r="D6" s="2739">
        <f>ROUND(B6*10000/$B$2,0)</f>
        <v>0</v>
      </c>
      <c r="E6" s="2918"/>
      <c r="F6" s="2919"/>
      <c r="G6" s="2919"/>
      <c r="H6" s="2920"/>
      <c r="I6" s="2920"/>
      <c r="J6" s="2920"/>
      <c r="K6" s="2920"/>
    </row>
    <row r="7" spans="1:11" ht="15.6">
      <c r="A7" s="2739" t="s">
        <v>1330</v>
      </c>
      <c r="B7" s="2739">
        <f ca="1">SUM(H14:H23)</f>
        <v>12081</v>
      </c>
      <c r="C7" s="2739">
        <f ca="1">ROUND(B7*10000/$B$1,0)</f>
        <v>13982</v>
      </c>
      <c r="D7" s="2739">
        <f ca="1">ROUND(B7*10000/$B$2,0)</f>
        <v>7813</v>
      </c>
      <c r="E7" s="2918"/>
      <c r="F7" s="2919"/>
      <c r="G7" s="2919"/>
      <c r="H7" s="2920"/>
      <c r="I7" s="2920"/>
      <c r="J7" s="2920"/>
      <c r="K7" s="2920"/>
    </row>
    <row r="8" spans="1:11" ht="15.6">
      <c r="A8" s="2739" t="s">
        <v>1252</v>
      </c>
      <c r="B8" s="2739">
        <f>SUM(I14:I23)</f>
        <v>0</v>
      </c>
      <c r="C8" s="2739">
        <f>ROUND(B8*10000/$B$1,0)</f>
        <v>0</v>
      </c>
      <c r="D8" s="2739">
        <f>ROUND(B8*10000/$B$2,0)</f>
        <v>0</v>
      </c>
      <c r="E8" s="2918"/>
      <c r="F8" s="2919"/>
      <c r="G8" s="2919"/>
      <c r="H8" s="2920"/>
      <c r="I8" s="2920"/>
      <c r="J8" s="2920"/>
      <c r="K8" s="2920"/>
    </row>
    <row r="9" spans="1:11" ht="15.6">
      <c r="A9" s="2739" t="s">
        <v>1321</v>
      </c>
      <c r="B9" s="2747"/>
      <c r="C9" s="2918"/>
      <c r="D9" s="2918"/>
      <c r="E9" s="2918"/>
      <c r="F9" s="2919"/>
      <c r="G9" s="2919"/>
      <c r="H9" s="2920"/>
      <c r="I9" s="2920"/>
      <c r="J9" s="2920"/>
      <c r="K9" s="2920"/>
    </row>
    <row r="10" spans="1:11" ht="15.6">
      <c r="A10" s="2739" t="s">
        <v>1320</v>
      </c>
      <c r="B10" s="2747"/>
      <c r="C10" s="2918"/>
      <c r="D10" s="2918"/>
      <c r="E10" s="2918"/>
      <c r="F10" s="2919"/>
      <c r="G10" s="2919"/>
      <c r="H10" s="2920"/>
      <c r="I10" s="2920"/>
      <c r="J10" s="2920"/>
      <c r="K10" s="2920"/>
    </row>
    <row r="11" spans="1:11" ht="15.6">
      <c r="A11" s="2739" t="s">
        <v>1336</v>
      </c>
      <c r="B11" s="2747"/>
      <c r="C11" s="2918"/>
      <c r="D11" s="2918"/>
      <c r="E11" s="2918"/>
      <c r="F11" s="2919"/>
      <c r="G11" s="2919"/>
      <c r="H11" s="2920"/>
      <c r="I11" s="2920"/>
      <c r="J11" s="2920"/>
      <c r="K11" s="2920"/>
    </row>
    <row r="12" spans="1:11" ht="15.6">
      <c r="A12" s="2918"/>
      <c r="B12" s="2918"/>
      <c r="C12" s="2918"/>
      <c r="D12" s="2918"/>
      <c r="E12" s="2918"/>
      <c r="F12" s="2919"/>
      <c r="G12" s="2919"/>
      <c r="H12" s="2920"/>
      <c r="I12" s="2920"/>
      <c r="J12" s="2920"/>
      <c r="K12" s="2920"/>
    </row>
    <row r="13" spans="1:11" ht="31.8">
      <c r="A13" s="2742" t="s">
        <v>1335</v>
      </c>
      <c r="B13" s="2743" t="s">
        <v>1332</v>
      </c>
      <c r="C13" s="2743" t="s">
        <v>1334</v>
      </c>
      <c r="D13" s="2743" t="s">
        <v>1333</v>
      </c>
      <c r="E13" s="2739" t="s">
        <v>1325</v>
      </c>
      <c r="F13" s="2739" t="s">
        <v>1324</v>
      </c>
      <c r="G13" s="2743" t="s">
        <v>1318</v>
      </c>
      <c r="H13" s="2743" t="s">
        <v>1329</v>
      </c>
      <c r="I13" s="2743" t="s">
        <v>1317</v>
      </c>
      <c r="J13" s="2919"/>
      <c r="K13" s="2920"/>
    </row>
    <row r="14" spans="1:11" ht="15.6">
      <c r="A14" s="2744" t="s">
        <v>1316</v>
      </c>
      <c r="B14" s="2745">
        <f>结果表!B118</f>
        <v>8640.14</v>
      </c>
      <c r="C14" s="2745">
        <f>结果表!C118</f>
        <v>15462.6</v>
      </c>
      <c r="D14" s="2745">
        <f ca="1">结果表!H118</f>
        <v>12081</v>
      </c>
      <c r="E14" s="2745">
        <f ca="1">ROUND(D14*10000/B14,0)</f>
        <v>13982</v>
      </c>
      <c r="F14" s="2745">
        <f ca="1">ROUND(D14*10000/C14,0)</f>
        <v>7813</v>
      </c>
      <c r="G14" s="2745" t="str">
        <f>结果表!D122</f>
        <v>——</v>
      </c>
      <c r="H14" s="2745">
        <f ca="1">结果表!D124</f>
        <v>12081</v>
      </c>
      <c r="I14" s="2745" t="str">
        <f>结果表!D126</f>
        <v>——</v>
      </c>
      <c r="J14" s="2919"/>
      <c r="K14" s="2920"/>
    </row>
    <row r="15" spans="1:11" ht="15.6">
      <c r="A15" s="2744" t="s">
        <v>1315</v>
      </c>
      <c r="B15" s="2746"/>
      <c r="C15" s="2746"/>
      <c r="D15" s="2746"/>
      <c r="E15" s="2745" t="e">
        <f t="shared" ref="E15:E23" si="0">ROUND(D15*10000/B15,0)</f>
        <v>#DIV/0!</v>
      </c>
      <c r="F15" s="2745" t="e">
        <f t="shared" ref="F15:F23" si="1">ROUND(D15*10000/C15,0)</f>
        <v>#DIV/0!</v>
      </c>
      <c r="G15" s="1506"/>
      <c r="H15" s="1506"/>
      <c r="I15" s="2746"/>
      <c r="J15" s="2919"/>
      <c r="K15" s="2920"/>
    </row>
    <row r="16" spans="1:11" ht="15.6">
      <c r="A16" s="2744" t="s">
        <v>1314</v>
      </c>
      <c r="B16" s="2746"/>
      <c r="C16" s="2746"/>
      <c r="D16" s="2746"/>
      <c r="E16" s="2745" t="e">
        <f t="shared" si="0"/>
        <v>#DIV/0!</v>
      </c>
      <c r="F16" s="2745" t="e">
        <f t="shared" si="1"/>
        <v>#DIV/0!</v>
      </c>
      <c r="G16" s="1506"/>
      <c r="H16" s="1506"/>
      <c r="I16" s="2746"/>
      <c r="J16" s="2920"/>
      <c r="K16" s="2920"/>
    </row>
    <row r="17" spans="1:11" ht="15.6">
      <c r="A17" s="2744" t="s">
        <v>1313</v>
      </c>
      <c r="B17" s="2746"/>
      <c r="C17" s="2746"/>
      <c r="D17" s="2746"/>
      <c r="E17" s="2745" t="e">
        <f t="shared" si="0"/>
        <v>#DIV/0!</v>
      </c>
      <c r="F17" s="2745" t="e">
        <f t="shared" si="1"/>
        <v>#DIV/0!</v>
      </c>
      <c r="G17" s="1506"/>
      <c r="H17" s="1506"/>
      <c r="I17" s="2746"/>
      <c r="J17" s="2920"/>
      <c r="K17" s="2920"/>
    </row>
    <row r="18" spans="1:11" ht="15.6">
      <c r="A18" s="2744" t="s">
        <v>1312</v>
      </c>
      <c r="B18" s="2746"/>
      <c r="C18" s="2746"/>
      <c r="D18" s="2746"/>
      <c r="E18" s="2745" t="e">
        <f t="shared" si="0"/>
        <v>#DIV/0!</v>
      </c>
      <c r="F18" s="2745" t="e">
        <f t="shared" si="1"/>
        <v>#DIV/0!</v>
      </c>
      <c r="G18" s="2746"/>
      <c r="H18" s="2746"/>
      <c r="I18" s="2746"/>
      <c r="J18" s="2920"/>
      <c r="K18" s="2920"/>
    </row>
    <row r="19" spans="1:11" ht="15.6">
      <c r="A19" s="2744" t="s">
        <v>1311</v>
      </c>
      <c r="B19" s="2746"/>
      <c r="C19" s="2746"/>
      <c r="D19" s="2746"/>
      <c r="E19" s="2745" t="e">
        <f t="shared" si="0"/>
        <v>#DIV/0!</v>
      </c>
      <c r="F19" s="2745" t="e">
        <f t="shared" si="1"/>
        <v>#DIV/0!</v>
      </c>
      <c r="G19" s="2746"/>
      <c r="H19" s="2746"/>
      <c r="I19" s="2746"/>
      <c r="J19" s="2920"/>
      <c r="K19" s="2920"/>
    </row>
    <row r="20" spans="1:11" ht="15.6">
      <c r="A20" s="2744" t="s">
        <v>1310</v>
      </c>
      <c r="B20" s="2746"/>
      <c r="C20" s="2746"/>
      <c r="D20" s="2746"/>
      <c r="E20" s="2745" t="e">
        <f t="shared" si="0"/>
        <v>#DIV/0!</v>
      </c>
      <c r="F20" s="2745" t="e">
        <f t="shared" si="1"/>
        <v>#DIV/0!</v>
      </c>
      <c r="G20" s="2746"/>
      <c r="H20" s="2746"/>
      <c r="I20" s="2746"/>
      <c r="J20" s="2920"/>
      <c r="K20" s="2920"/>
    </row>
    <row r="21" spans="1:11" ht="15.6">
      <c r="A21" s="2744" t="s">
        <v>1309</v>
      </c>
      <c r="B21" s="2746"/>
      <c r="C21" s="2746"/>
      <c r="D21" s="2746"/>
      <c r="E21" s="2745" t="e">
        <f t="shared" si="0"/>
        <v>#DIV/0!</v>
      </c>
      <c r="F21" s="2745" t="e">
        <f t="shared" si="1"/>
        <v>#DIV/0!</v>
      </c>
      <c r="G21" s="2746"/>
      <c r="H21" s="2746"/>
      <c r="I21" s="2746"/>
      <c r="J21" s="2920"/>
      <c r="K21" s="2920"/>
    </row>
    <row r="22" spans="1:11" ht="15.6">
      <c r="A22" s="2744" t="s">
        <v>1308</v>
      </c>
      <c r="B22" s="2746"/>
      <c r="C22" s="2746"/>
      <c r="D22" s="2746"/>
      <c r="E22" s="2745" t="e">
        <f t="shared" si="0"/>
        <v>#DIV/0!</v>
      </c>
      <c r="F22" s="2745" t="e">
        <f t="shared" si="1"/>
        <v>#DIV/0!</v>
      </c>
      <c r="G22" s="2746"/>
      <c r="H22" s="2746"/>
      <c r="I22" s="2746"/>
      <c r="J22" s="2920"/>
      <c r="K22" s="2920"/>
    </row>
    <row r="23" spans="1:11" ht="15.6">
      <c r="A23" s="2744" t="s">
        <v>1307</v>
      </c>
      <c r="B23" s="2746"/>
      <c r="C23" s="2746"/>
      <c r="D23" s="2746"/>
      <c r="E23" s="2747" t="e">
        <f t="shared" si="0"/>
        <v>#DIV/0!</v>
      </c>
      <c r="F23" s="2747" t="e">
        <f t="shared" si="1"/>
        <v>#DIV/0!</v>
      </c>
      <c r="G23" s="2746"/>
      <c r="H23" s="2746"/>
      <c r="I23" s="2746"/>
      <c r="J23" s="2920"/>
      <c r="K23" s="2920"/>
    </row>
    <row r="24" spans="1:11">
      <c r="A24" s="2920"/>
      <c r="B24" s="2920"/>
      <c r="C24" s="2920"/>
      <c r="D24" s="2920"/>
      <c r="E24" s="2920"/>
      <c r="F24" s="2920"/>
      <c r="G24" s="2920"/>
      <c r="H24" s="2920"/>
      <c r="I24" s="2920"/>
      <c r="J24" s="2920"/>
      <c r="K24" s="2920"/>
    </row>
    <row r="25" spans="1:11">
      <c r="A25" s="2920"/>
      <c r="B25" s="2920"/>
      <c r="C25" s="2920"/>
      <c r="D25" s="2920"/>
      <c r="E25" s="2920"/>
      <c r="F25" s="2920"/>
      <c r="G25" s="2920"/>
      <c r="H25" s="2920"/>
      <c r="I25" s="2920"/>
      <c r="J25" s="2920"/>
      <c r="K25" s="2920"/>
    </row>
    <row r="26" spans="1:11">
      <c r="A26" s="2920"/>
      <c r="B26" s="2920"/>
      <c r="C26" s="2920"/>
      <c r="D26" s="2920"/>
      <c r="E26" s="2920"/>
      <c r="F26" s="2920"/>
      <c r="G26" s="2920"/>
      <c r="H26" s="2920"/>
      <c r="I26" s="2920"/>
      <c r="J26" s="2920"/>
      <c r="K26" s="292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J21" sqref="J21"/>
    </sheetView>
  </sheetViews>
  <sheetFormatPr defaultColWidth="12.6640625" defaultRowHeight="21.75" customHeight="1"/>
  <cols>
    <col min="1" max="2" width="12.6640625" style="1945"/>
    <col min="3" max="4" width="12.6640625" style="1945" customWidth="1"/>
    <col min="5" max="9" width="12.6640625" style="1945"/>
    <col min="10" max="11" width="12.6640625" style="738" customWidth="1"/>
    <col min="12" max="12" width="12.6640625" style="738"/>
    <col min="13" max="13" width="14.109375" style="738" bestFit="1" customWidth="1"/>
    <col min="14" max="26" width="12.6640625" style="738"/>
    <col min="27" max="35" width="12.6640625" style="1944"/>
    <col min="36" max="16384" width="12.6640625" style="1945"/>
  </cols>
  <sheetData>
    <row r="1" spans="1:12" ht="21.75" customHeight="1" thickBot="1">
      <c r="A1" s="1828" t="s">
        <v>1950</v>
      </c>
      <c r="B1" s="1939"/>
      <c r="C1" s="1940" t="s">
        <v>3193</v>
      </c>
      <c r="D1" s="1939"/>
      <c r="E1" s="1939"/>
      <c r="F1" s="1941" t="s">
        <v>1951</v>
      </c>
      <c r="G1" s="1752" t="s">
        <v>3197</v>
      </c>
      <c r="H1" s="1942" t="str">
        <f>IF(G1="现房","——","估价对象范围")</f>
        <v>——</v>
      </c>
      <c r="I1" s="1943" t="s">
        <v>3198</v>
      </c>
    </row>
    <row r="2" spans="1:12" ht="21.75" customHeight="1" thickBot="1">
      <c r="A2" s="3279" t="str">
        <f>项目基本情况!S2</f>
        <v>北京市北京经济技术开发区东环北路1号工业用房房地产</v>
      </c>
      <c r="B2" s="3280"/>
      <c r="C2" s="3280"/>
      <c r="D2" s="3280"/>
      <c r="E2" s="3280"/>
      <c r="F2" s="3280"/>
      <c r="G2" s="3280"/>
      <c r="H2" s="3280"/>
      <c r="I2" s="3281"/>
    </row>
    <row r="3" spans="1:12" ht="13.2">
      <c r="A3" s="3283" t="s">
        <v>1952</v>
      </c>
      <c r="B3" s="3284"/>
      <c r="C3" s="3284"/>
      <c r="D3" s="3284"/>
      <c r="E3" s="3284"/>
      <c r="F3" s="3284"/>
      <c r="G3" s="3284"/>
      <c r="H3" s="3284"/>
      <c r="I3" s="3284"/>
    </row>
    <row r="4" spans="1:12" ht="14.4">
      <c r="A4" s="1946" t="s">
        <v>1953</v>
      </c>
      <c r="B4" s="1947" t="s">
        <v>1954</v>
      </c>
      <c r="C4" s="1948" t="s">
        <v>3199</v>
      </c>
      <c r="D4" s="1948" t="s">
        <v>3160</v>
      </c>
      <c r="E4" s="3288" t="s">
        <v>1955</v>
      </c>
      <c r="F4" s="3289"/>
      <c r="G4" s="3289"/>
      <c r="H4" s="3289"/>
      <c r="I4" s="3290"/>
      <c r="K4" s="155" t="str">
        <f>IF(ISNUMBER(FIND("比较法",结果表!C4)),"比较法",IF(ISNUMBER(FIND("成本法",结果表!C4)),"成本法",IF(ISNUMBER(FIND("假设开发法",结果表!C4)),"假设开发法",IF(ISNUMBER(FIND("收益法",结果表!C4)),"收益法","基准地价系数修正法"))))</f>
        <v>成本法</v>
      </c>
      <c r="L4" s="155" t="str">
        <f>IF(ISNUMBER(FIND("比较法",结果表!D4)),"比较法",IF(ISNUMBER(FIND("成本法",结果表!D4)),"成本法",IF(ISNUMBER(FIND("假设开发法",结果表!D4)),"假设开发法",IF(ISNUMBER(FIND("收益法",结果表!D4)),"收益法","基准地价系数修正法"))))</f>
        <v>收益法</v>
      </c>
    </row>
    <row r="5" spans="1:12" ht="13.2">
      <c r="A5" s="3224" t="s">
        <v>1956</v>
      </c>
      <c r="B5" s="3282">
        <v>25</v>
      </c>
      <c r="C5" s="3285"/>
      <c r="D5" s="3273"/>
      <c r="E5" s="140" t="s">
        <v>1957</v>
      </c>
      <c r="F5" s="1949"/>
      <c r="G5" s="1949"/>
      <c r="H5" s="1949"/>
      <c r="I5" s="1563"/>
    </row>
    <row r="6" spans="1:12" ht="13.2">
      <c r="A6" s="3224"/>
      <c r="B6" s="3282"/>
      <c r="C6" s="3287"/>
      <c r="D6" s="3273"/>
      <c r="E6" s="140" t="s">
        <v>1958</v>
      </c>
      <c r="F6" s="1949"/>
      <c r="G6" s="1949"/>
      <c r="H6" s="1949"/>
      <c r="I6" s="1563"/>
    </row>
    <row r="7" spans="1:12" ht="13.2">
      <c r="A7" s="3224"/>
      <c r="B7" s="3282"/>
      <c r="C7" s="3286"/>
      <c r="D7" s="3273"/>
      <c r="E7" s="140" t="s">
        <v>1959</v>
      </c>
      <c r="F7" s="1949"/>
      <c r="G7" s="1949"/>
      <c r="H7" s="1949"/>
      <c r="I7" s="1563"/>
    </row>
    <row r="8" spans="1:12" ht="13.2">
      <c r="A8" s="3224" t="s">
        <v>1960</v>
      </c>
      <c r="B8" s="3282">
        <v>15</v>
      </c>
      <c r="C8" s="3285"/>
      <c r="D8" s="3273"/>
      <c r="E8" s="140" t="s">
        <v>1961</v>
      </c>
      <c r="F8" s="1949"/>
      <c r="G8" s="1949"/>
      <c r="H8" s="1949"/>
      <c r="I8" s="1563"/>
    </row>
    <row r="9" spans="1:12" ht="13.2">
      <c r="A9" s="3224"/>
      <c r="B9" s="3282"/>
      <c r="C9" s="3286"/>
      <c r="D9" s="3273"/>
      <c r="E9" s="140" t="s">
        <v>1962</v>
      </c>
      <c r="F9" s="1949"/>
      <c r="G9" s="1949"/>
      <c r="H9" s="1949"/>
      <c r="I9" s="1563"/>
    </row>
    <row r="10" spans="1:12" ht="13.2">
      <c r="A10" s="3224" t="s">
        <v>1963</v>
      </c>
      <c r="B10" s="3282">
        <v>15</v>
      </c>
      <c r="C10" s="3285"/>
      <c r="D10" s="3273"/>
      <c r="E10" s="140" t="s">
        <v>1964</v>
      </c>
      <c r="F10" s="1949"/>
      <c r="G10" s="1949"/>
      <c r="H10" s="1949"/>
      <c r="I10" s="1563"/>
    </row>
    <row r="11" spans="1:12" ht="13.2">
      <c r="A11" s="3224"/>
      <c r="B11" s="3282"/>
      <c r="C11" s="3286"/>
      <c r="D11" s="3273"/>
      <c r="E11" s="140" t="s">
        <v>1965</v>
      </c>
      <c r="F11" s="1949"/>
      <c r="G11" s="1949"/>
      <c r="H11" s="1949"/>
      <c r="I11" s="1563"/>
    </row>
    <row r="12" spans="1:12" ht="13.2">
      <c r="A12" s="3224" t="s">
        <v>1966</v>
      </c>
      <c r="B12" s="3282">
        <v>15</v>
      </c>
      <c r="C12" s="3285"/>
      <c r="D12" s="3273"/>
      <c r="E12" s="140" t="s">
        <v>1967</v>
      </c>
      <c r="F12" s="1949"/>
      <c r="G12" s="1949"/>
      <c r="H12" s="1949"/>
      <c r="I12" s="1563"/>
    </row>
    <row r="13" spans="1:12" ht="13.2">
      <c r="A13" s="3224"/>
      <c r="B13" s="3282"/>
      <c r="C13" s="3286"/>
      <c r="D13" s="3273"/>
      <c r="E13" s="140" t="s">
        <v>1968</v>
      </c>
      <c r="F13" s="1949"/>
      <c r="G13" s="1949"/>
      <c r="H13" s="1949"/>
      <c r="I13" s="1563"/>
    </row>
    <row r="14" spans="1:12" ht="13.2">
      <c r="A14" s="3224" t="s">
        <v>1969</v>
      </c>
      <c r="B14" s="3282">
        <v>30</v>
      </c>
      <c r="C14" s="3285">
        <v>3</v>
      </c>
      <c r="D14" s="3273">
        <v>7</v>
      </c>
      <c r="E14" s="140" t="s">
        <v>1970</v>
      </c>
      <c r="F14" s="1949"/>
      <c r="G14" s="1949"/>
      <c r="H14" s="1949"/>
      <c r="I14" s="1563"/>
    </row>
    <row r="15" spans="1:12" ht="13.2">
      <c r="A15" s="3224"/>
      <c r="B15" s="3282"/>
      <c r="C15" s="3287"/>
      <c r="D15" s="3273"/>
      <c r="E15" s="140" t="s">
        <v>1971</v>
      </c>
      <c r="F15" s="1949"/>
      <c r="G15" s="1949"/>
      <c r="H15" s="1949"/>
      <c r="I15" s="1563"/>
    </row>
    <row r="16" spans="1:12" ht="13.2">
      <c r="A16" s="3224"/>
      <c r="B16" s="3282"/>
      <c r="C16" s="3286"/>
      <c r="D16" s="3273"/>
      <c r="E16" s="140" t="s">
        <v>1972</v>
      </c>
      <c r="F16" s="1949"/>
      <c r="G16" s="1949"/>
      <c r="H16" s="1949"/>
      <c r="I16" s="1563"/>
    </row>
    <row r="17" spans="1:36" ht="14.4">
      <c r="A17" s="1950" t="s">
        <v>1973</v>
      </c>
      <c r="B17" s="64"/>
      <c r="C17" s="141">
        <f>SUM(C5:C16)</f>
        <v>3</v>
      </c>
      <c r="D17" s="141">
        <f>SUM(D5:D16)</f>
        <v>7</v>
      </c>
      <c r="E17" s="138"/>
      <c r="F17" s="138"/>
      <c r="G17" s="138"/>
      <c r="H17" s="138"/>
      <c r="I17" s="138"/>
      <c r="K17" s="312"/>
      <c r="L17" s="312" t="s">
        <v>1974</v>
      </c>
      <c r="M17" s="312" t="s">
        <v>1975</v>
      </c>
    </row>
    <row r="18" spans="1:36" ht="31.95" customHeight="1" thickBot="1">
      <c r="A18" s="1951" t="s">
        <v>1976</v>
      </c>
      <c r="B18" s="1952"/>
      <c r="C18" s="142">
        <f>ROUND(C17/SUM(C17:D17),2)</f>
        <v>0.3</v>
      </c>
      <c r="D18" s="142">
        <f>1-C18</f>
        <v>0.7</v>
      </c>
      <c r="E18" s="3304" t="s">
        <v>2883</v>
      </c>
      <c r="F18" s="3305"/>
      <c r="G18" s="3305"/>
      <c r="H18" s="3305"/>
      <c r="I18" s="3305"/>
      <c r="K18" s="312" t="s">
        <v>1977</v>
      </c>
      <c r="L18" s="312">
        <f>IF(C1="",'数据-汇总表'!E3,SUMIF(项目类型,C1,'数据-汇总表'!E17:E26)+SUMIF(项目类型,C1,'数据-汇总表'!I17:I26))</f>
        <v>8640.14</v>
      </c>
      <c r="M18" s="312">
        <f>IF(C1="",'数据-汇总表'!E3,SUMIF(项目类型,C1,'数据-汇总表'!E17:E26))</f>
        <v>8640.14</v>
      </c>
    </row>
    <row r="19" spans="1:36" ht="14.4">
      <c r="A19" s="1953" t="s">
        <v>1978</v>
      </c>
      <c r="B19" s="1954" t="s">
        <v>1979</v>
      </c>
      <c r="C19" s="143">
        <f ca="1">SUMIF(INDIRECT("'"&amp;C4&amp;"'"&amp;"!A:A"),结果表!B19,INDIRECT("'"&amp;C4&amp;"'"&amp;"!B:B"))</f>
        <v>7457</v>
      </c>
      <c r="D19" s="144">
        <f ca="1">SUMIF(INDIRECT("'"&amp;D4&amp;"'"&amp;"!A:A"),结果表!B19,INDIRECT("'"&amp;D4&amp;"'"&amp;"!B:B"))</f>
        <v>14063</v>
      </c>
      <c r="E19" s="1953" t="s">
        <v>1980</v>
      </c>
      <c r="F19" s="1954" t="s">
        <v>1979</v>
      </c>
      <c r="G19" s="145">
        <f ca="1">ROUND(C19*$C$18+D19*$D$18,0)</f>
        <v>12081</v>
      </c>
      <c r="H19" s="1955" t="s">
        <v>1981</v>
      </c>
      <c r="I19" s="138"/>
      <c r="J19" s="3048">
        <v>12059</v>
      </c>
      <c r="K19" s="312" t="s">
        <v>1982</v>
      </c>
      <c r="L19" s="312">
        <f>IF(C1="",'数据-汇总表'!D3,SUMIF(项目类型,C1,'数据-汇总表'!D17:D26)+SUMIF(项目类型,C1,'数据-汇总表'!H17:H27))</f>
        <v>15462.6</v>
      </c>
      <c r="M19" s="312">
        <f>IF(C1="",'数据-汇总表'!D3,SUMIF(项目类型,C1,'数据-汇总表'!D17:D26))</f>
        <v>15462.6</v>
      </c>
    </row>
    <row r="20" spans="1:36" ht="14.4">
      <c r="A20" s="1956"/>
      <c r="B20" s="1161" t="s">
        <v>1983</v>
      </c>
      <c r="C20" s="146">
        <f ca="1">SUMIF(INDIRECT("'"&amp;C4&amp;"'"&amp;"!A:A"),结果表!B20,INDIRECT("'"&amp;C4&amp;"'"&amp;"!B:B"))</f>
        <v>8631</v>
      </c>
      <c r="D20" s="147">
        <f ca="1">SUMIF(INDIRECT("'"&amp;D4&amp;"'"&amp;"!A:A"),结果表!B20,INDIRECT("'"&amp;D4&amp;"'"&amp;"!B:B"))</f>
        <v>16276</v>
      </c>
      <c r="E20" s="1956"/>
      <c r="F20" s="1161" t="s">
        <v>1983</v>
      </c>
      <c r="G20" s="148">
        <f ca="1">ROUND(C20*$C$18+D20*$D$18,0)</f>
        <v>13983</v>
      </c>
      <c r="H20" s="921" t="s">
        <v>1984</v>
      </c>
      <c r="I20" s="138"/>
    </row>
    <row r="21" spans="1:36" ht="15" customHeight="1" thickBot="1">
      <c r="A21" s="941"/>
      <c r="B21" s="1957" t="s">
        <v>1985</v>
      </c>
      <c r="C21" s="732">
        <f ca="1">ROUND(C19*10000/L19,0)</f>
        <v>4823</v>
      </c>
      <c r="D21" s="733">
        <f ca="1">ROUND(D19*10000/L19,0)</f>
        <v>9095</v>
      </c>
      <c r="E21" s="941"/>
      <c r="F21" s="1957" t="s">
        <v>1985</v>
      </c>
      <c r="G21" s="149">
        <f ca="1">ROUND(G19*10000/L19,0)</f>
        <v>7813</v>
      </c>
      <c r="H21" s="1958" t="s">
        <v>1984</v>
      </c>
      <c r="I21" s="138"/>
      <c r="J21" s="738" t="s">
        <v>4415</v>
      </c>
    </row>
    <row r="22" spans="1:36" ht="15" thickBot="1">
      <c r="A22" s="1880" t="s">
        <v>1986</v>
      </c>
      <c r="B22" s="1959"/>
      <c r="C22" s="1960"/>
      <c r="D22" s="734">
        <f ca="1">IF(C19&lt;D19,D19/C19-1,C19/D19-1)</f>
        <v>0.88587903982834915</v>
      </c>
      <c r="E22" s="138"/>
      <c r="F22" s="138"/>
      <c r="G22" s="138"/>
      <c r="H22" s="138"/>
      <c r="I22" s="138"/>
    </row>
    <row r="23" spans="1:36" ht="13.8" thickBot="1">
      <c r="A23" s="1939"/>
      <c r="B23" s="1939"/>
      <c r="C23" s="1939"/>
      <c r="D23" s="1939"/>
      <c r="E23" s="138"/>
      <c r="F23" s="138"/>
      <c r="G23" s="138"/>
      <c r="H23" s="138"/>
      <c r="I23" s="138"/>
    </row>
    <row r="24" spans="1:36" ht="14.4">
      <c r="A24" s="3297" t="s">
        <v>1987</v>
      </c>
      <c r="B24" s="1954" t="s">
        <v>1979</v>
      </c>
      <c r="C24" s="145">
        <f>IF(B30=0,0,D30)</f>
        <v>0</v>
      </c>
      <c r="D24" s="1961"/>
      <c r="E24" s="138"/>
      <c r="F24" s="138"/>
      <c r="G24" s="138"/>
      <c r="H24" s="138"/>
      <c r="I24" s="138"/>
    </row>
    <row r="25" spans="1:36" ht="14.4">
      <c r="A25" s="3298"/>
      <c r="B25" s="1161" t="s">
        <v>1983</v>
      </c>
      <c r="C25" s="150">
        <f>IF(B30=0,0,C30)</f>
        <v>0</v>
      </c>
      <c r="D25" s="1962"/>
      <c r="E25" s="138"/>
      <c r="F25" s="138"/>
      <c r="G25" s="138"/>
      <c r="H25" s="138"/>
      <c r="I25" s="138"/>
    </row>
    <row r="26" spans="1:36" ht="13.5" customHeight="1">
      <c r="A26" s="1963" t="s">
        <v>1988</v>
      </c>
      <c r="B26" s="151" t="s">
        <v>1989</v>
      </c>
      <c r="C26" s="151" t="s">
        <v>1990</v>
      </c>
      <c r="D26" s="152" t="s">
        <v>1991</v>
      </c>
      <c r="E26" s="138"/>
      <c r="F26" s="138"/>
      <c r="G26" s="138"/>
      <c r="H26" s="138"/>
      <c r="I26" s="138"/>
    </row>
    <row r="27" spans="1:36" ht="13.8">
      <c r="A27" s="1963"/>
      <c r="B27" s="151">
        <v>0</v>
      </c>
      <c r="C27" s="151">
        <v>0</v>
      </c>
      <c r="D27" s="152">
        <f>ROUND(C27*B27/10000,0)</f>
        <v>0</v>
      </c>
      <c r="E27" s="138"/>
      <c r="F27" s="138"/>
      <c r="G27" s="138"/>
      <c r="H27" s="138"/>
      <c r="I27" s="138"/>
    </row>
    <row r="28" spans="1:36" ht="13.8">
      <c r="A28" s="1963"/>
      <c r="B28" s="151"/>
      <c r="C28" s="151"/>
      <c r="D28" s="152"/>
      <c r="E28" s="138"/>
      <c r="F28" s="138"/>
      <c r="G28" s="138"/>
      <c r="H28" s="138"/>
      <c r="I28" s="138"/>
    </row>
    <row r="29" spans="1:36" ht="13.8">
      <c r="A29" s="1963"/>
      <c r="B29" s="151"/>
      <c r="C29" s="151"/>
      <c r="D29" s="152"/>
      <c r="E29" s="138"/>
      <c r="F29" s="138"/>
      <c r="G29" s="138"/>
      <c r="H29" s="138"/>
      <c r="I29" s="138"/>
    </row>
    <row r="30" spans="1:36" ht="15" thickBot="1">
      <c r="A30" s="151" t="s">
        <v>1992</v>
      </c>
      <c r="B30" s="151"/>
      <c r="C30" s="151"/>
      <c r="D30" s="151"/>
      <c r="E30" s="2527" t="s">
        <v>2884</v>
      </c>
      <c r="F30" s="138"/>
      <c r="G30" s="138"/>
      <c r="H30" s="138"/>
      <c r="I30" s="138"/>
    </row>
    <row r="31" spans="1:36" s="2533" customFormat="1" ht="26.4" customHeight="1" thickTop="1" thickBot="1">
      <c r="A31" s="2528"/>
      <c r="B31" s="2529"/>
      <c r="C31" s="2529"/>
      <c r="D31" s="2529"/>
      <c r="E31" s="2529"/>
      <c r="F31" s="2529"/>
      <c r="G31" s="2529"/>
      <c r="H31" s="2529"/>
      <c r="I31" s="2530" t="s">
        <v>2885</v>
      </c>
      <c r="J31" s="2921"/>
      <c r="K31" s="2531"/>
      <c r="L31" s="2531"/>
      <c r="M31" s="2531"/>
      <c r="N31" s="2531"/>
      <c r="O31" s="2531"/>
      <c r="P31" s="2531"/>
      <c r="Q31" s="2531"/>
      <c r="R31" s="2531"/>
      <c r="S31" s="2531"/>
      <c r="T31" s="2531"/>
      <c r="U31" s="2531"/>
      <c r="V31" s="2531"/>
      <c r="W31" s="2531"/>
      <c r="X31" s="2531"/>
      <c r="Y31" s="2531"/>
      <c r="Z31" s="2531"/>
      <c r="AA31" s="2531"/>
      <c r="AB31" s="2532"/>
      <c r="AC31" s="2532"/>
      <c r="AD31" s="2532"/>
      <c r="AE31" s="2532"/>
      <c r="AF31" s="2532"/>
      <c r="AG31" s="2532"/>
      <c r="AH31" s="2532"/>
      <c r="AI31" s="2532"/>
      <c r="AJ31" s="2532"/>
    </row>
    <row r="32" spans="1:36" ht="15.6" thickTop="1" thickBot="1">
      <c r="A32" s="1965" t="s">
        <v>1993</v>
      </c>
      <c r="B32" s="1966"/>
      <c r="C32" s="153">
        <f ca="1">IF(D32="总价",G19-C24,G20-C25)</f>
        <v>12081</v>
      </c>
      <c r="D32" s="1967" t="s">
        <v>1994</v>
      </c>
      <c r="E32" s="138"/>
      <c r="F32" s="138"/>
      <c r="G32" s="138"/>
      <c r="H32" s="138"/>
      <c r="I32" s="138"/>
    </row>
    <row r="33" spans="1:15" ht="14.4">
      <c r="A33" s="898" t="s">
        <v>1995</v>
      </c>
      <c r="B33" s="1968"/>
      <c r="C33" s="1969" t="s">
        <v>4402</v>
      </c>
      <c r="D33" s="1970" t="s">
        <v>3199</v>
      </c>
      <c r="E33" s="1971" t="s">
        <v>1996</v>
      </c>
      <c r="F33" s="1972" t="str">
        <f>IF(D32="楼面单价","取值（单价）","取值（总价）")</f>
        <v>取值（总价）</v>
      </c>
      <c r="G33" s="138"/>
      <c r="H33" s="138"/>
      <c r="I33" s="138"/>
    </row>
    <row r="34" spans="1:15" ht="14.4">
      <c r="A34" s="1973"/>
      <c r="B34" s="1974" t="s">
        <v>1997</v>
      </c>
      <c r="C34" s="157">
        <f ca="1">IF(C33="自定义",F34,C32-C35)</f>
        <v>6669</v>
      </c>
      <c r="D34" s="974">
        <f ca="1">IF(C33="自定义",ROUND(C34/C32,3),IF(C33="收益比率",SUMIF(INDIRECT("'"&amp;D33&amp;"'"&amp;"!b:b"),"土地收益比率",INDIRECT("'"&amp;D33&amp;"'"&amp;"!c:c")),SUMIF(INDIRECT("'"&amp;D33&amp;"'"&amp;"!b:b"),"土地成本比率",INDIRECT("'"&amp;D33&amp;"'"&amp;"!c:c"))))</f>
        <v>0.55200000000000005</v>
      </c>
      <c r="E34" s="1975" t="s">
        <v>1998</v>
      </c>
      <c r="F34" s="1504"/>
      <c r="G34" s="138"/>
      <c r="H34" s="138"/>
      <c r="I34" s="138"/>
    </row>
    <row r="35" spans="1:15" ht="15" thickBot="1">
      <c r="A35" s="1976"/>
      <c r="B35" s="1977" t="s">
        <v>1999</v>
      </c>
      <c r="C35" s="1336">
        <f ca="1">IF(C33="自定义",F35,ROUND(C32*D35,0))</f>
        <v>5412</v>
      </c>
      <c r="D35" s="1337">
        <f ca="1">IF(C33="自定义",ROUND(C35/C32,3),IF(C33="收益比率",SUMIF(INDIRECT("'"&amp;D33&amp;"'"&amp;"!b:b"),"建筑物收益比率",INDIRECT("'"&amp;D33&amp;"'"&amp;"!c:c")),SUMIF(INDIRECT("'"&amp;D33&amp;"'"&amp;"!b:b"),"建筑物成本比率",INDIRECT("'"&amp;D33&amp;"'"&amp;"!c:c"))))</f>
        <v>0.44800000000000001</v>
      </c>
      <c r="E35" s="1978" t="s">
        <v>2000</v>
      </c>
      <c r="F35" s="163"/>
      <c r="G35" s="138"/>
      <c r="H35" s="138"/>
      <c r="I35" s="138"/>
    </row>
    <row r="36" spans="1:15" ht="15" thickBot="1">
      <c r="A36" s="3274" t="s">
        <v>2001</v>
      </c>
      <c r="B36" s="1979" t="s">
        <v>2002</v>
      </c>
      <c r="C36" s="154">
        <v>7500</v>
      </c>
      <c r="D36" s="1980" t="s">
        <v>4413</v>
      </c>
      <c r="E36" s="1981"/>
      <c r="F36" s="1982"/>
      <c r="G36" s="138"/>
      <c r="H36" s="138"/>
      <c r="I36" s="138"/>
    </row>
    <row r="37" spans="1:15" ht="15" thickBot="1">
      <c r="A37" s="3275"/>
      <c r="B37" s="1866" t="s">
        <v>2003</v>
      </c>
      <c r="C37" s="156"/>
      <c r="D37" s="1305"/>
      <c r="E37" s="1305"/>
      <c r="F37" s="1982"/>
      <c r="G37" s="138"/>
      <c r="H37" s="138"/>
      <c r="I37" s="138"/>
    </row>
    <row r="38" spans="1:15" ht="15" thickBot="1">
      <c r="A38" s="3276"/>
      <c r="B38" s="1983" t="s">
        <v>2004</v>
      </c>
      <c r="C38" s="687"/>
      <c r="D38" s="1984" t="s">
        <v>2005</v>
      </c>
      <c r="E38" s="1305"/>
      <c r="F38" s="1982"/>
      <c r="G38" s="138"/>
      <c r="H38" s="138"/>
      <c r="I38" s="138"/>
    </row>
    <row r="39" spans="1:15" ht="14.4">
      <c r="A39" s="1956" t="s">
        <v>2006</v>
      </c>
      <c r="B39" s="1985" t="s">
        <v>2007</v>
      </c>
      <c r="C39" s="1986" t="s">
        <v>2008</v>
      </c>
      <c r="D39" s="1986" t="s">
        <v>2009</v>
      </c>
      <c r="E39" s="1987" t="s">
        <v>2010</v>
      </c>
      <c r="F39" s="1982"/>
      <c r="G39" s="138"/>
      <c r="H39" s="138"/>
      <c r="I39" s="138"/>
    </row>
    <row r="40" spans="1:15" ht="13.8">
      <c r="A40" s="1988" t="s">
        <v>2011</v>
      </c>
      <c r="B40" s="158"/>
      <c r="C40" s="159"/>
      <c r="D40" s="159"/>
      <c r="E40" s="160"/>
      <c r="F40" s="1982"/>
      <c r="G40" s="138"/>
      <c r="H40" s="138"/>
      <c r="I40" s="138"/>
    </row>
    <row r="41" spans="1:15" ht="13.8">
      <c r="A41" s="1988" t="s">
        <v>2012</v>
      </c>
      <c r="B41" s="158"/>
      <c r="C41" s="159"/>
      <c r="D41" s="159"/>
      <c r="E41" s="160"/>
      <c r="F41" s="1982"/>
      <c r="G41" s="138"/>
      <c r="H41" s="138"/>
      <c r="I41" s="138"/>
    </row>
    <row r="42" spans="1:15" ht="14.4" thickBot="1">
      <c r="A42" s="1989"/>
      <c r="B42" s="161"/>
      <c r="C42" s="162"/>
      <c r="D42" s="162"/>
      <c r="E42" s="163"/>
      <c r="F42" s="1982"/>
      <c r="G42" s="138"/>
      <c r="H42" s="138"/>
      <c r="I42" s="138"/>
    </row>
    <row r="43" spans="1:15" ht="13.2">
      <c r="A43" s="1768"/>
      <c r="B43" s="1768"/>
      <c r="C43" s="1768"/>
      <c r="D43" s="1768"/>
      <c r="E43" s="1768"/>
      <c r="F43" s="1990"/>
      <c r="G43" s="1990"/>
      <c r="H43" s="1990"/>
      <c r="I43" s="1991"/>
    </row>
    <row r="44" spans="1:15" ht="17.399999999999999">
      <c r="A44" s="1992" t="s">
        <v>2013</v>
      </c>
      <c r="B44" s="1993"/>
      <c r="C44" s="1993"/>
      <c r="D44" s="1994"/>
      <c r="E44" s="1994"/>
      <c r="F44" s="1995"/>
      <c r="G44" s="1995"/>
      <c r="H44" s="1995"/>
      <c r="I44" s="1995"/>
      <c r="J44" s="1996" t="s">
        <v>2014</v>
      </c>
      <c r="K44" s="1997"/>
      <c r="L44" s="1997"/>
      <c r="M44" s="1997"/>
      <c r="N44" s="1997"/>
      <c r="O44" s="1997"/>
    </row>
    <row r="45" spans="1:15" ht="14.25" customHeight="1" thickBot="1">
      <c r="A45" s="3294" t="s">
        <v>2015</v>
      </c>
      <c r="B45" s="3295"/>
      <c r="C45" s="3296"/>
      <c r="D45" s="164">
        <f ca="1">ROUND(H101*F45,0)</f>
        <v>12081</v>
      </c>
      <c r="E45" s="165" t="s">
        <v>2016</v>
      </c>
      <c r="F45" s="166">
        <v>1</v>
      </c>
      <c r="G45" s="167" t="s">
        <v>2017</v>
      </c>
      <c r="H45" s="138"/>
      <c r="I45" s="138"/>
      <c r="J45" s="3211" t="s">
        <v>2018</v>
      </c>
      <c r="K45" s="3211"/>
      <c r="L45" s="3211"/>
      <c r="M45" s="3211"/>
      <c r="N45" s="3211"/>
      <c r="O45" s="3211"/>
    </row>
    <row r="46" spans="1:15" ht="14.25" customHeight="1">
      <c r="A46" s="3291" t="s">
        <v>2019</v>
      </c>
      <c r="B46" s="3292"/>
      <c r="C46" s="3292"/>
      <c r="D46" s="3292"/>
      <c r="E46" s="3292"/>
      <c r="F46" s="3292"/>
      <c r="G46" s="3293"/>
      <c r="H46" s="1998"/>
      <c r="I46" s="168"/>
      <c r="J46" s="2750">
        <v>1</v>
      </c>
      <c r="K46" s="3212" t="s">
        <v>2020</v>
      </c>
      <c r="L46" s="3212"/>
      <c r="M46" s="3213"/>
      <c r="N46" s="3213"/>
      <c r="O46" s="3213"/>
    </row>
    <row r="47" spans="1:15" ht="12" customHeight="1">
      <c r="A47" s="169" t="s">
        <v>2021</v>
      </c>
      <c r="B47" s="170"/>
      <c r="C47" s="171"/>
      <c r="D47" s="1251" t="s">
        <v>2022</v>
      </c>
      <c r="E47" s="312" t="s">
        <v>2023</v>
      </c>
      <c r="F47" s="172" t="s">
        <v>2024</v>
      </c>
      <c r="G47" s="2773" t="s">
        <v>2025</v>
      </c>
      <c r="H47" s="2774"/>
      <c r="I47" s="168"/>
      <c r="J47" s="2750">
        <v>2</v>
      </c>
      <c r="K47" s="3212" t="s">
        <v>2026</v>
      </c>
      <c r="L47" s="3212"/>
      <c r="M47" s="3214">
        <f>'数据-取费表'!B2</f>
        <v>44063</v>
      </c>
      <c r="N47" s="3214"/>
      <c r="O47" s="3214"/>
    </row>
    <row r="48" spans="1:15" ht="26.4">
      <c r="A48" s="3277" t="s">
        <v>2027</v>
      </c>
      <c r="B48" s="3278"/>
      <c r="C48" s="3278"/>
      <c r="D48" s="2553">
        <f>IF(H48="情况1",0,IF(H48="情况2",D52,IF(H48="情况3",D53,IF(H48="情况4",D54))))</f>
        <v>0</v>
      </c>
      <c r="E48" s="2563" t="str">
        <f>IF(H48="情况4","(销售额-原购置价)×税（费）率","销售额×税（费）率")</f>
        <v>销售额×税（费）率</v>
      </c>
      <c r="F48" s="2775" t="str">
        <f>IF(H48="情况1","免征",'数据-取费表'!B41)</f>
        <v>免征</v>
      </c>
      <c r="G48" s="2776" t="s">
        <v>2028</v>
      </c>
      <c r="H48" s="2777" t="s">
        <v>2029</v>
      </c>
      <c r="I48" s="1998"/>
      <c r="J48" s="2750">
        <v>3</v>
      </c>
      <c r="K48" s="3212" t="s">
        <v>2030</v>
      </c>
      <c r="L48" s="3212"/>
      <c r="M48" s="3215">
        <f ca="1">H101</f>
        <v>12081</v>
      </c>
      <c r="N48" s="3215"/>
      <c r="O48" s="3215"/>
    </row>
    <row r="49" spans="1:35" ht="25.5" customHeight="1">
      <c r="A49" s="2562" t="s">
        <v>2031</v>
      </c>
      <c r="B49" s="3260" t="s">
        <v>2032</v>
      </c>
      <c r="C49" s="3260"/>
      <c r="D49" s="1781">
        <v>0</v>
      </c>
      <c r="E49" s="334" t="s">
        <v>2033</v>
      </c>
      <c r="F49" s="2654" t="s">
        <v>34</v>
      </c>
      <c r="G49" s="3243"/>
      <c r="H49" s="2534" t="s">
        <v>2886</v>
      </c>
      <c r="I49" s="2535"/>
      <c r="J49" s="2750">
        <v>4</v>
      </c>
      <c r="K49" s="3212" t="str">
        <f>IF(项目基本情况!E8="房地产抵押价值","房地产抵押价值","抵押担保权已注销时的房地产抵押价值")</f>
        <v>抵押担保权已注销时的房地产抵押价值</v>
      </c>
      <c r="L49" s="3212"/>
      <c r="M49" s="3215">
        <f ca="1">IF(项目基本情况!E8="房地产抵押价值",H107,H109)</f>
        <v>12081</v>
      </c>
      <c r="N49" s="3215"/>
      <c r="O49" s="3215"/>
    </row>
    <row r="50" spans="1:35" ht="25.5" customHeight="1">
      <c r="A50" s="2778"/>
      <c r="B50" s="3260" t="s">
        <v>2034</v>
      </c>
      <c r="C50" s="3260"/>
      <c r="D50" s="2779"/>
      <c r="E50" s="342"/>
      <c r="F50" s="2654"/>
      <c r="G50" s="3244"/>
      <c r="H50" s="2536" t="s">
        <v>2887</v>
      </c>
      <c r="I50" s="2535"/>
      <c r="J50" s="3211" t="s">
        <v>2035</v>
      </c>
      <c r="K50" s="3211"/>
      <c r="L50" s="3211"/>
      <c r="M50" s="3211"/>
      <c r="N50" s="3211"/>
      <c r="O50" s="3211"/>
    </row>
    <row r="51" spans="1:35" ht="20.399999999999999" customHeight="1">
      <c r="A51" s="2780"/>
      <c r="B51" s="3260" t="s">
        <v>2036</v>
      </c>
      <c r="C51" s="3260"/>
      <c r="D51" s="1251"/>
      <c r="E51" s="337"/>
      <c r="F51" s="2654"/>
      <c r="G51" s="3245"/>
      <c r="H51" s="2536" t="s">
        <v>2888</v>
      </c>
      <c r="I51" s="2535"/>
      <c r="J51" s="2751" t="s">
        <v>2037</v>
      </c>
      <c r="K51" s="3212" t="s">
        <v>2038</v>
      </c>
      <c r="L51" s="3212"/>
      <c r="M51" s="2751" t="s">
        <v>2039</v>
      </c>
      <c r="N51" s="2751" t="s">
        <v>2040</v>
      </c>
      <c r="O51" s="2751" t="s">
        <v>2041</v>
      </c>
    </row>
    <row r="52" spans="1:35" ht="24" customHeight="1">
      <c r="A52" s="2564" t="s">
        <v>2042</v>
      </c>
      <c r="B52" s="3260" t="s">
        <v>2043</v>
      </c>
      <c r="C52" s="3260"/>
      <c r="D52" s="1251">
        <f ca="1">ROUND(D45*'数据-取费表'!B41/(1+'数据-取费表'!C42),0)</f>
        <v>633</v>
      </c>
      <c r="E52" s="2563" t="s">
        <v>2044</v>
      </c>
      <c r="F52" s="2781">
        <f>'数据-取费表'!B41</f>
        <v>5.5000000000000007E-2</v>
      </c>
      <c r="G52" s="2782"/>
      <c r="H52" s="2771"/>
      <c r="I52" s="1999"/>
      <c r="J52" s="2750">
        <v>1</v>
      </c>
      <c r="K52" s="3237" t="s">
        <v>2045</v>
      </c>
      <c r="L52" s="3237"/>
      <c r="M52" s="2752">
        <f>D48</f>
        <v>0</v>
      </c>
      <c r="N52" s="2750" t="str">
        <f>E48</f>
        <v>销售额×税（费）率</v>
      </c>
      <c r="O52" s="2753" t="str">
        <f>F48</f>
        <v>免征</v>
      </c>
    </row>
    <row r="53" spans="1:35" ht="12" customHeight="1">
      <c r="A53" s="2564" t="s">
        <v>2046</v>
      </c>
      <c r="B53" s="3261" t="s">
        <v>3046</v>
      </c>
      <c r="C53" s="3262"/>
      <c r="D53" s="1251">
        <f ca="1">ROUND(D45*'数据-取费表'!B41/(1+'数据-取费表'!C42),0)</f>
        <v>633</v>
      </c>
      <c r="E53" s="2563" t="s">
        <v>2044</v>
      </c>
      <c r="F53" s="2781">
        <f>'数据-取费表'!B41</f>
        <v>5.5000000000000007E-2</v>
      </c>
      <c r="G53" s="2782"/>
      <c r="H53" s="2771"/>
      <c r="I53" s="1999"/>
      <c r="J53" s="2750">
        <v>2</v>
      </c>
      <c r="K53" s="3237" t="s">
        <v>2047</v>
      </c>
      <c r="L53" s="3237"/>
      <c r="M53" s="2752">
        <f t="shared" ref="M53:O54" ca="1" si="0">D55</f>
        <v>6</v>
      </c>
      <c r="N53" s="2750" t="str">
        <f t="shared" si="0"/>
        <v>销售额×税（费）率</v>
      </c>
      <c r="O53" s="2753">
        <f t="shared" si="0"/>
        <v>5.0000000000000001E-4</v>
      </c>
    </row>
    <row r="54" spans="1:35" ht="12" customHeight="1">
      <c r="A54" s="2564" t="s">
        <v>2048</v>
      </c>
      <c r="B54" s="3261" t="s">
        <v>3047</v>
      </c>
      <c r="C54" s="3262"/>
      <c r="D54" s="1251">
        <f ca="1">C68</f>
        <v>633</v>
      </c>
      <c r="E54" s="337" t="s">
        <v>2049</v>
      </c>
      <c r="F54" s="2781">
        <f>'数据-取费表'!B41</f>
        <v>5.5000000000000007E-2</v>
      </c>
      <c r="G54" s="2782"/>
      <c r="H54" s="2783"/>
      <c r="I54" s="1999"/>
      <c r="J54" s="2750">
        <v>3</v>
      </c>
      <c r="K54" s="3237" t="s">
        <v>2050</v>
      </c>
      <c r="L54" s="3237"/>
      <c r="M54" s="2752">
        <f t="shared" ca="1" si="0"/>
        <v>6849</v>
      </c>
      <c r="N54" s="2750" t="str">
        <f t="shared" si="0"/>
        <v>增值额×税（费）率</v>
      </c>
      <c r="O54" s="2754" t="str">
        <f t="shared" si="0"/>
        <v>——</v>
      </c>
    </row>
    <row r="55" spans="1:35" ht="24" customHeight="1">
      <c r="A55" s="3300" t="s">
        <v>2051</v>
      </c>
      <c r="B55" s="3278"/>
      <c r="C55" s="3278"/>
      <c r="D55" s="2553">
        <f ca="1">IF(H55="个人住宅",0,ROUND(D45*I55,0))</f>
        <v>6</v>
      </c>
      <c r="E55" s="2563" t="s">
        <v>2052</v>
      </c>
      <c r="F55" s="2781">
        <f>IF(H55="正常",I55,"免征")</f>
        <v>5.0000000000000001E-4</v>
      </c>
      <c r="G55" s="2782"/>
      <c r="H55" s="2777" t="s">
        <v>2053</v>
      </c>
      <c r="I55" s="174">
        <f>'数据-取费表'!B49</f>
        <v>5.0000000000000001E-4</v>
      </c>
      <c r="J55" s="2750">
        <f>IF(H59="非个人房产","",4)</f>
        <v>4</v>
      </c>
      <c r="K55" s="3237" t="str">
        <f>IF(H59="非个人房产","——","个人所得税")</f>
        <v>个人所得税</v>
      </c>
      <c r="L55" s="3237"/>
      <c r="M55" s="2755">
        <f ca="1">D59</f>
        <v>121</v>
      </c>
      <c r="N55" s="2234" t="str">
        <f>E59</f>
        <v>销售额×税（费）率</v>
      </c>
      <c r="O55" s="2756">
        <f>F59</f>
        <v>0.01</v>
      </c>
    </row>
    <row r="56" spans="1:35" ht="25.2">
      <c r="A56" s="3300" t="s">
        <v>2054</v>
      </c>
      <c r="B56" s="3278"/>
      <c r="C56" s="3278"/>
      <c r="D56" s="2553">
        <f ca="1">IF(H56="个人住宅",D57,D58)</f>
        <v>6849</v>
      </c>
      <c r="E56" s="2563" t="s">
        <v>2055</v>
      </c>
      <c r="F56" s="2781" t="str">
        <f>IF(H56="正常",F58,"免征")</f>
        <v>——</v>
      </c>
      <c r="G56" s="2784" t="s">
        <v>2056</v>
      </c>
      <c r="H56" s="2785" t="s">
        <v>2053</v>
      </c>
      <c r="I56" s="2000"/>
      <c r="J56" s="2750" t="str">
        <f>IF(项目基本情况!K6="上海银行",IF(J55="",4,J55+1),"")</f>
        <v/>
      </c>
      <c r="K56" s="3218" t="str">
        <f>IF(项目基本情况!K6="上海银行","其他处置费用","")</f>
        <v/>
      </c>
      <c r="L56" s="3219"/>
      <c r="M56" s="2752" t="str">
        <f>IF(项目基本情况!K6="上海银行",M69,"")</f>
        <v/>
      </c>
      <c r="N56" s="3218" t="str">
        <f>IF(项目基本情况!K6="上海银行","包含处置中涉及的律师、诉讼、拍卖、评估等费用","")</f>
        <v/>
      </c>
      <c r="O56" s="3221"/>
    </row>
    <row r="57" spans="1:35" ht="13.2">
      <c r="A57" s="2564" t="s">
        <v>2031</v>
      </c>
      <c r="B57" s="3261" t="s">
        <v>2057</v>
      </c>
      <c r="C57" s="3262"/>
      <c r="D57" s="1781">
        <v>0</v>
      </c>
      <c r="E57" s="334" t="s">
        <v>2033</v>
      </c>
      <c r="F57" s="312"/>
      <c r="G57" s="2782"/>
      <c r="H57" s="2786"/>
      <c r="I57" s="2000"/>
      <c r="J57" s="3237">
        <f>IF(AND(J55="",J56=""),4,IF(项目基本情况!K6="上海银行",结果表!J56+1,结果表!J55+1))</f>
        <v>5</v>
      </c>
      <c r="K57" s="3237" t="s">
        <v>2058</v>
      </c>
      <c r="L57" s="2757" t="s">
        <v>2059</v>
      </c>
      <c r="M57" s="2758"/>
      <c r="N57" s="2759">
        <f ca="1">SUMIF(M52:M56,"&lt;9e307")</f>
        <v>6976</v>
      </c>
      <c r="O57" s="2760"/>
      <c r="P57" s="2922">
        <f ca="1">N57/M49</f>
        <v>0.57743564274480585</v>
      </c>
    </row>
    <row r="58" spans="1:35" ht="25.2">
      <c r="A58" s="2564" t="s">
        <v>2042</v>
      </c>
      <c r="B58" s="3261" t="s">
        <v>2060</v>
      </c>
      <c r="C58" s="3260"/>
      <c r="D58" s="2553">
        <f ca="1">IF(H58="转让取得",C81,C97)</f>
        <v>6849</v>
      </c>
      <c r="E58" s="2563" t="s">
        <v>2055</v>
      </c>
      <c r="F58" s="312" t="s">
        <v>34</v>
      </c>
      <c r="G58" s="2782"/>
      <c r="H58" s="2785" t="s">
        <v>2061</v>
      </c>
      <c r="I58" s="2000"/>
      <c r="J58" s="3237"/>
      <c r="K58" s="3237"/>
      <c r="L58" s="2757" t="s">
        <v>2062</v>
      </c>
      <c r="M58" s="2761"/>
      <c r="N58" s="2762" t="str">
        <f ca="1">NUMBERSTRING(INT(N57*10000),2)&amp;"元整"</f>
        <v>陆仟玖佰柒拾陆万元整</v>
      </c>
      <c r="O58" s="2763"/>
    </row>
    <row r="59" spans="1:35" ht="27" thickBot="1">
      <c r="A59" s="3241" t="s">
        <v>2063</v>
      </c>
      <c r="B59" s="3242"/>
      <c r="C59" s="3242"/>
      <c r="D59" s="2787">
        <f ca="1">IF(H59="非个人房产","——",IF(H59="个人住宅（满五唯一有凭证）",0,IF(H59="个人其他（无凭证）",ROUND(D45*F59,0),ROUND(C67*F59,0))))</f>
        <v>121</v>
      </c>
      <c r="E59" s="2788" t="str">
        <f>IF(H59="非个人房产","——",IF(H59="个人其他（无凭证）","销售额×税（费）率",IF(H59="个人住宅（满五唯一有凭证）","免征","差额计税")))</f>
        <v>销售额×税（费）率</v>
      </c>
      <c r="F59" s="2789">
        <f>IF(OR(H59="非个人房产",H59="个人住宅（满五唯一有凭证）"),"——",IF(H59="个人其他（有凭证）",20%,1%))</f>
        <v>0.01</v>
      </c>
      <c r="G59" s="2790" t="s">
        <v>2056</v>
      </c>
      <c r="H59" s="2538" t="s">
        <v>2890</v>
      </c>
      <c r="I59" s="2537" t="s">
        <v>2889</v>
      </c>
      <c r="J59" s="3239">
        <f>J57+1</f>
        <v>6</v>
      </c>
      <c r="K59" s="3237" t="s">
        <v>2064</v>
      </c>
      <c r="L59" s="2750" t="s">
        <v>2059</v>
      </c>
      <c r="M59" s="2764"/>
      <c r="N59" s="2765">
        <f ca="1">M49-N57</f>
        <v>5105</v>
      </c>
      <c r="O59" s="2766"/>
    </row>
    <row r="60" spans="1:35" ht="12" customHeight="1">
      <c r="A60" s="2001"/>
      <c r="B60" s="1939"/>
      <c r="C60" s="1939"/>
      <c r="D60" s="1939"/>
      <c r="E60" s="1769"/>
      <c r="F60" s="2000"/>
      <c r="G60" s="2000"/>
      <c r="H60" s="2002"/>
      <c r="I60" s="138"/>
      <c r="J60" s="3240"/>
      <c r="K60" s="3237"/>
      <c r="L60" s="2757" t="s">
        <v>2062</v>
      </c>
      <c r="M60" s="2761"/>
      <c r="N60" s="2762" t="str">
        <f ca="1">NUMBERSTRING(INT(N59*10000),2)&amp;"元整"</f>
        <v>伍仟壹佰零伍万元整</v>
      </c>
      <c r="O60" s="2763"/>
    </row>
    <row r="61" spans="1:35" ht="13.8" thickBot="1">
      <c r="A61" s="3299" t="s">
        <v>2065</v>
      </c>
      <c r="B61" s="3299"/>
      <c r="C61" s="3299"/>
      <c r="D61" s="3299"/>
      <c r="E61" s="3299"/>
      <c r="F61" s="2000"/>
      <c r="G61" s="2000"/>
      <c r="H61" s="2002"/>
      <c r="I61" s="138"/>
      <c r="J61" s="2750">
        <f>J59+1</f>
        <v>7</v>
      </c>
      <c r="K61" s="3237" t="s">
        <v>2066</v>
      </c>
      <c r="L61" s="3237"/>
      <c r="M61" s="2767"/>
      <c r="N61" s="2768">
        <f ca="1">ROUND(N59*10000/'数据-汇总表'!E3,0)</f>
        <v>5908</v>
      </c>
      <c r="O61" s="2769"/>
    </row>
    <row r="62" spans="1:35" ht="13.2">
      <c r="A62" s="3256" t="s">
        <v>2067</v>
      </c>
      <c r="B62" s="3257"/>
      <c r="C62" s="2215"/>
      <c r="D62" s="2215" t="s">
        <v>2068</v>
      </c>
      <c r="E62" s="175" t="s">
        <v>2069</v>
      </c>
      <c r="F62" s="2000"/>
      <c r="G62" s="2000"/>
      <c r="H62" s="2002"/>
      <c r="I62" s="138"/>
    </row>
    <row r="63" spans="1:35" ht="13.2">
      <c r="A63" s="182" t="s">
        <v>775</v>
      </c>
      <c r="B63" s="176" t="s">
        <v>2070</v>
      </c>
      <c r="C63" s="2791">
        <f ca="1">ROUND((C64+C65)/(1+'数据-取费表'!C42),0)</f>
        <v>11506</v>
      </c>
      <c r="D63" s="176"/>
      <c r="E63" s="177"/>
      <c r="F63" s="2000"/>
      <c r="G63" s="2000"/>
      <c r="H63" s="2002"/>
      <c r="I63" s="138"/>
      <c r="J63" s="3220" t="s">
        <v>2071</v>
      </c>
      <c r="K63" s="1507" t="s">
        <v>2072</v>
      </c>
      <c r="L63" s="1507">
        <f ca="1">IF(M49&gt;10000,M49*0.5%,IF(AND(M49&gt;1000,M49&lt;=10000),M49*1%,IF(AND(M49&gt;100,M49&lt;=1000),M49*3%,IF(AND(M49&gt;10,M49&lt;=100),M49*5%,M49*8%))))</f>
        <v>60.405000000000001</v>
      </c>
      <c r="M63" s="312">
        <f ca="1">ROUND(L63,1)</f>
        <v>60.4</v>
      </c>
      <c r="N63" s="2770"/>
      <c r="Z63" s="1944"/>
      <c r="AI63" s="1945"/>
    </row>
    <row r="64" spans="1:35" ht="14.25" customHeight="1">
      <c r="A64" s="178" t="s">
        <v>770</v>
      </c>
      <c r="B64" s="179" t="s">
        <v>2073</v>
      </c>
      <c r="C64" s="2792">
        <f ca="1">D45</f>
        <v>12081</v>
      </c>
      <c r="D64" s="179" t="s">
        <v>32</v>
      </c>
      <c r="E64" s="181"/>
      <c r="F64" s="2000"/>
      <c r="G64" s="2000"/>
      <c r="H64" s="2002"/>
      <c r="I64" s="138"/>
      <c r="J64" s="3220"/>
      <c r="K64" s="1507" t="s">
        <v>2074</v>
      </c>
      <c r="L64" s="1507">
        <f ca="1">IF(M49&gt;2000,M49*0.5%,IF(AND(M49&gt;1000,M49&lt;=2000),M49*0.6%,IF(AND(M49&gt;500,M49&lt;=1000),M49*0.7%,IF(AND(M49&gt;200,M49&lt;=500),M49*0.8%,IF(AND(M49&gt;100,M49&lt;=200),M49*0.9%,IF(AND(M49&gt;50,M49&lt;=100),M49*1%,IF(AND(M49&gt;20,M49&lt;=50),M49*1.5%,IF(AND(M49&gt;10,M49&lt;=20),M49*2%,IF(AND(M49&gt;1,M49&lt;=10),M49*2.5%)))))))))</f>
        <v>60.405000000000001</v>
      </c>
      <c r="M64" s="312">
        <f t="shared" ref="M64:M65" ca="1" si="1">ROUND(L64,1)</f>
        <v>60.4</v>
      </c>
      <c r="N64" s="2771" t="s">
        <v>2075</v>
      </c>
      <c r="Z64" s="1944"/>
      <c r="AI64" s="1945"/>
    </row>
    <row r="65" spans="1:35" ht="14.25" customHeight="1">
      <c r="A65" s="178" t="s">
        <v>771</v>
      </c>
      <c r="B65" s="179" t="s">
        <v>2076</v>
      </c>
      <c r="C65" s="2793"/>
      <c r="D65" s="179"/>
      <c r="E65" s="181"/>
      <c r="F65" s="2000"/>
      <c r="G65" s="2000"/>
      <c r="H65" s="2002"/>
      <c r="I65" s="138"/>
      <c r="J65" s="3220"/>
      <c r="K65" s="1507" t="s">
        <v>2077</v>
      </c>
      <c r="L65" s="1507">
        <f ca="1">IF(M49&gt;1000,M49*0.1%,IF(AND(M49&gt;500,M49&lt;=1000),M49*0.5%,IF(AND(M49&gt;50,M49&lt;=500),M49*1%,IF(AND(M49&gt;1,M49&lt;=50),M49*1.5%))))</f>
        <v>12.081</v>
      </c>
      <c r="M65" s="312">
        <f t="shared" ca="1" si="1"/>
        <v>12.1</v>
      </c>
      <c r="N65" s="2771" t="s">
        <v>2075</v>
      </c>
      <c r="Z65" s="1944"/>
      <c r="AI65" s="1945"/>
    </row>
    <row r="66" spans="1:35" ht="14.25" customHeight="1">
      <c r="A66" s="182" t="s">
        <v>772</v>
      </c>
      <c r="B66" s="183" t="s">
        <v>2078</v>
      </c>
      <c r="C66" s="2794"/>
      <c r="D66" s="183" t="s">
        <v>32</v>
      </c>
      <c r="E66" s="1515" t="s">
        <v>1337</v>
      </c>
      <c r="F66" s="2000"/>
      <c r="G66" s="2000"/>
      <c r="H66" s="2002"/>
      <c r="I66" s="138"/>
      <c r="J66" s="3220"/>
      <c r="K66" s="1507" t="s">
        <v>2079</v>
      </c>
      <c r="L66" s="1507">
        <f ca="1">M49*0.5%</f>
        <v>60.405000000000001</v>
      </c>
      <c r="M66" s="312">
        <f ca="1">IF(L66&gt;0.5,0.5,ROUND(L66,0))</f>
        <v>0.5</v>
      </c>
      <c r="N66" s="2771" t="s">
        <v>2080</v>
      </c>
      <c r="Z66" s="1944"/>
      <c r="AI66" s="1945"/>
    </row>
    <row r="67" spans="1:35" ht="14.25" customHeight="1">
      <c r="A67" s="182" t="s">
        <v>773</v>
      </c>
      <c r="B67" s="183" t="s">
        <v>2081</v>
      </c>
      <c r="C67" s="2795">
        <f ca="1">C63-C66</f>
        <v>11506</v>
      </c>
      <c r="D67" s="179" t="s">
        <v>32</v>
      </c>
      <c r="E67" s="181"/>
      <c r="F67" s="2000"/>
      <c r="G67" s="2000"/>
      <c r="H67" s="2002"/>
      <c r="I67" s="138"/>
      <c r="J67" s="3220"/>
      <c r="K67" s="1507" t="s">
        <v>2082</v>
      </c>
      <c r="L67" s="1507">
        <f ca="1">IF(M49&gt;=10000,(8.25+(M49-10000)*0.01%),IF(AND(M49&gt;=8000,M49&lt;10000),(7.85+(M49-8000)*0.02%),IF(AND(M49&gt;=5000,M49&lt;8000),(6.65+(M49-5000)*0.04%),IF(AND(M49&gt;=2000,M49&lt;5000),(4.25+(PM49-2000)*0.08%),IF(AND(M49&gt;=1000,M49&lt;2000),(2.75+(M49-1000)*0.15%),IF(AND(M49&gt;=100,M49&lt;1000),(0.5+(M49-100)*0.25%),IF(AND(M49&gt;0,M49&lt;100),M49*0.5%)))))))</f>
        <v>8.4581</v>
      </c>
      <c r="M67" s="312">
        <f ca="1">ROUND(L67*0.9,1)</f>
        <v>7.6</v>
      </c>
      <c r="N67" s="2770"/>
      <c r="Z67" s="1944"/>
      <c r="AI67" s="1945"/>
    </row>
    <row r="68" spans="1:35" ht="14.25" customHeight="1" thickBot="1">
      <c r="A68" s="185" t="s">
        <v>774</v>
      </c>
      <c r="B68" s="186" t="s">
        <v>2083</v>
      </c>
      <c r="C68" s="2796">
        <f ca="1">IF(C67&lt;=0,0,ROUND(C67*D68,0))</f>
        <v>633</v>
      </c>
      <c r="D68" s="2797">
        <f>'数据-取费表'!B41</f>
        <v>5.5000000000000007E-2</v>
      </c>
      <c r="E68" s="188"/>
      <c r="F68" s="2000"/>
      <c r="G68" s="2000"/>
      <c r="H68" s="2002"/>
      <c r="I68" s="138"/>
      <c r="J68" s="3220"/>
      <c r="K68" s="1507" t="s">
        <v>2084</v>
      </c>
      <c r="L68" s="1507">
        <f ca="1">IF(M49&gt;10000,M49*0.5%,IF(AND(M49&gt;5000,M49&lt;=10000),M49*1%,IF(AND(M49&gt;1000,M49&lt;=5000),M49*2%,IF(AND(M49&gt;200,M49&lt;=1000),M49*3%,M49*5%))))</f>
        <v>60.405000000000001</v>
      </c>
      <c r="M68" s="312">
        <f ca="1">ROUND(L68,1)</f>
        <v>60.4</v>
      </c>
      <c r="N68" s="2770"/>
      <c r="Z68" s="1944"/>
      <c r="AI68" s="1945"/>
    </row>
    <row r="69" spans="1:35" s="1964" customFormat="1" ht="16.5" customHeight="1">
      <c r="A69" s="2003"/>
      <c r="B69" s="2004"/>
      <c r="C69" s="2005"/>
      <c r="D69" s="2006"/>
      <c r="E69" s="2007"/>
      <c r="F69" s="1769"/>
      <c r="G69" s="1769"/>
      <c r="H69" s="1768"/>
      <c r="I69" s="1939"/>
      <c r="J69" s="3220"/>
      <c r="K69" s="1507" t="s">
        <v>2085</v>
      </c>
      <c r="L69" s="1507"/>
      <c r="M69" s="312">
        <f ca="1">ROUND(SUM(M63:M68),0)</f>
        <v>201</v>
      </c>
      <c r="N69" s="2772">
        <f ca="1">M69/M49</f>
        <v>1.6637695555003724E-2</v>
      </c>
      <c r="O69" s="738"/>
      <c r="P69" s="738"/>
      <c r="Q69" s="738"/>
      <c r="R69" s="738"/>
      <c r="S69" s="738"/>
      <c r="T69" s="738"/>
      <c r="U69" s="738"/>
      <c r="V69" s="738"/>
      <c r="W69" s="738"/>
      <c r="X69" s="738"/>
      <c r="Y69" s="738"/>
      <c r="Z69" s="1944"/>
      <c r="AA69" s="1944"/>
      <c r="AB69" s="1944"/>
      <c r="AC69" s="1944"/>
      <c r="AD69" s="1944"/>
      <c r="AE69" s="1944"/>
      <c r="AF69" s="1944"/>
      <c r="AG69" s="1944"/>
      <c r="AH69" s="1944"/>
    </row>
    <row r="70" spans="1:35" s="2009" customFormat="1" ht="14.4" thickBot="1">
      <c r="A70" s="3264" t="s">
        <v>2086</v>
      </c>
      <c r="B70" s="3265"/>
      <c r="C70" s="3265"/>
      <c r="D70" s="3265"/>
      <c r="E70" s="3265"/>
      <c r="F70" s="3265"/>
      <c r="G70" s="3265"/>
      <c r="H70" s="3265"/>
      <c r="I70" s="2008"/>
      <c r="J70" s="2923"/>
      <c r="K70" s="2923"/>
      <c r="L70" s="2923"/>
      <c r="M70" s="2923"/>
      <c r="N70" s="2010"/>
      <c r="O70" s="2010"/>
      <c r="P70" s="2010"/>
      <c r="Q70" s="2010"/>
      <c r="R70" s="2010"/>
      <c r="S70" s="2010"/>
      <c r="T70" s="2010"/>
      <c r="U70" s="2010"/>
      <c r="V70" s="2010"/>
      <c r="W70" s="2010"/>
      <c r="X70" s="2010"/>
      <c r="Y70" s="2010"/>
      <c r="Z70" s="2010"/>
      <c r="AA70" s="2011"/>
      <c r="AB70" s="2011"/>
      <c r="AC70" s="2011"/>
      <c r="AD70" s="2011"/>
      <c r="AE70" s="2011"/>
      <c r="AF70" s="2011"/>
      <c r="AG70" s="2011"/>
      <c r="AH70" s="2011"/>
      <c r="AI70" s="2011"/>
    </row>
    <row r="71" spans="1:35" s="2009" customFormat="1" ht="13.8">
      <c r="A71" s="3256" t="s">
        <v>2067</v>
      </c>
      <c r="B71" s="3257"/>
      <c r="C71" s="2215"/>
      <c r="D71" s="2215" t="s">
        <v>2068</v>
      </c>
      <c r="E71" s="189" t="s">
        <v>2069</v>
      </c>
      <c r="F71" s="190"/>
      <c r="G71" s="190"/>
      <c r="H71" s="191"/>
      <c r="I71" s="2012"/>
      <c r="J71" s="2923"/>
      <c r="K71" s="2923"/>
      <c r="L71" s="2923"/>
      <c r="M71" s="2923"/>
      <c r="N71" s="2010"/>
      <c r="O71" s="2010"/>
      <c r="P71" s="2010"/>
      <c r="Q71" s="2010"/>
      <c r="R71" s="2010"/>
      <c r="S71" s="2010"/>
      <c r="T71" s="2010"/>
      <c r="U71" s="2010"/>
      <c r="V71" s="2010"/>
      <c r="W71" s="2010"/>
      <c r="X71" s="2010"/>
      <c r="Y71" s="2010"/>
      <c r="Z71" s="2010"/>
      <c r="AA71" s="2011"/>
      <c r="AB71" s="2011"/>
      <c r="AC71" s="2011"/>
      <c r="AD71" s="2011"/>
      <c r="AE71" s="2011"/>
      <c r="AF71" s="2011"/>
      <c r="AG71" s="2011"/>
      <c r="AH71" s="2011"/>
      <c r="AI71" s="2011"/>
    </row>
    <row r="72" spans="1:35" s="2009" customFormat="1" ht="13.8">
      <c r="A72" s="182" t="s">
        <v>775</v>
      </c>
      <c r="B72" s="183" t="s">
        <v>2087</v>
      </c>
      <c r="C72" s="2795">
        <f ca="1">ROUND(D45/(1+'数据-取费表'!C42),0)</f>
        <v>11506</v>
      </c>
      <c r="D72" s="179" t="s">
        <v>32</v>
      </c>
      <c r="E72" s="2560"/>
      <c r="F72" s="2559"/>
      <c r="G72" s="2559"/>
      <c r="H72" s="192"/>
      <c r="I72" s="2012"/>
      <c r="J72" s="2923"/>
      <c r="K72" s="2923"/>
      <c r="L72" s="2923"/>
      <c r="M72" s="2923"/>
      <c r="N72" s="2010"/>
      <c r="O72" s="2010"/>
      <c r="P72" s="2010"/>
      <c r="Q72" s="2010"/>
      <c r="R72" s="2010"/>
      <c r="S72" s="2010"/>
      <c r="T72" s="2010"/>
      <c r="U72" s="2010"/>
      <c r="V72" s="2010"/>
      <c r="W72" s="2010"/>
      <c r="X72" s="2010"/>
      <c r="Y72" s="2010"/>
      <c r="Z72" s="2010"/>
      <c r="AA72" s="2011"/>
      <c r="AB72" s="2011"/>
      <c r="AC72" s="2011"/>
      <c r="AD72" s="2011"/>
      <c r="AE72" s="2011"/>
      <c r="AF72" s="2011"/>
      <c r="AG72" s="2011"/>
      <c r="AH72" s="2011"/>
      <c r="AI72" s="2011"/>
    </row>
    <row r="73" spans="1:35" s="2009" customFormat="1" ht="13.8">
      <c r="A73" s="182" t="s">
        <v>772</v>
      </c>
      <c r="B73" s="172" t="s">
        <v>2088</v>
      </c>
      <c r="C73" s="2795">
        <f ca="1">C74+C78</f>
        <v>58</v>
      </c>
      <c r="D73" s="179" t="s">
        <v>32</v>
      </c>
      <c r="E73" s="2560"/>
      <c r="F73" s="2559"/>
      <c r="G73" s="2559"/>
      <c r="H73" s="192"/>
      <c r="I73" s="2012"/>
      <c r="J73" s="2010"/>
      <c r="K73" s="2010"/>
      <c r="L73" s="2010"/>
      <c r="M73" s="2010"/>
      <c r="N73" s="2010"/>
      <c r="O73" s="2010"/>
      <c r="P73" s="2010"/>
      <c r="Q73" s="2010"/>
      <c r="R73" s="2010"/>
      <c r="S73" s="2010"/>
      <c r="T73" s="2010"/>
      <c r="U73" s="2010"/>
      <c r="V73" s="2010"/>
      <c r="W73" s="2010"/>
      <c r="X73" s="2010"/>
      <c r="Y73" s="2010"/>
      <c r="Z73" s="2010"/>
      <c r="AA73" s="2011"/>
      <c r="AB73" s="2011"/>
      <c r="AC73" s="2011"/>
      <c r="AD73" s="2011"/>
      <c r="AE73" s="2011"/>
      <c r="AF73" s="2011"/>
      <c r="AG73" s="2011"/>
      <c r="AH73" s="2011"/>
      <c r="AI73" s="2011"/>
    </row>
    <row r="74" spans="1:35" s="2009" customFormat="1" ht="24">
      <c r="A74" s="178" t="s">
        <v>770</v>
      </c>
      <c r="B74" s="179" t="s">
        <v>2089</v>
      </c>
      <c r="C74" s="179">
        <f>ROUND(IF(G77="2016年5月1日后购买",C75/(1+'数据-取费表'!C42)+C76+C77,C75+C76+C77),0)</f>
        <v>0</v>
      </c>
      <c r="D74" s="179" t="s">
        <v>32</v>
      </c>
      <c r="E74" s="2560"/>
      <c r="F74" s="2559"/>
      <c r="G74" s="2559"/>
      <c r="H74" s="192"/>
      <c r="I74" s="2012"/>
      <c r="J74" s="2010"/>
      <c r="K74" s="2010"/>
      <c r="L74" s="2010"/>
      <c r="M74" s="2010"/>
      <c r="N74" s="2010"/>
      <c r="O74" s="2010"/>
      <c r="P74" s="2010"/>
      <c r="Q74" s="2010"/>
      <c r="R74" s="2010"/>
      <c r="S74" s="2010"/>
      <c r="T74" s="2010"/>
      <c r="U74" s="2010"/>
      <c r="V74" s="2010"/>
      <c r="W74" s="2010"/>
      <c r="X74" s="2010"/>
      <c r="Y74" s="2010"/>
      <c r="Z74" s="2010"/>
      <c r="AA74" s="2011"/>
      <c r="AB74" s="2011"/>
      <c r="AC74" s="2011"/>
      <c r="AD74" s="2011"/>
      <c r="AE74" s="2011"/>
      <c r="AF74" s="2011"/>
      <c r="AG74" s="2011"/>
      <c r="AH74" s="2011"/>
      <c r="AI74" s="2011"/>
    </row>
    <row r="75" spans="1:35" s="2009" customFormat="1" ht="28.8">
      <c r="A75" s="178" t="s">
        <v>776</v>
      </c>
      <c r="B75" s="179" t="s">
        <v>2090</v>
      </c>
      <c r="C75" s="2798"/>
      <c r="D75" s="179" t="s">
        <v>32</v>
      </c>
      <c r="E75" s="194" t="s">
        <v>2091</v>
      </c>
      <c r="F75" s="2799" t="s">
        <v>2092</v>
      </c>
      <c r="G75" s="194" t="s">
        <v>2093</v>
      </c>
      <c r="H75" s="2800"/>
      <c r="I75" s="2013"/>
      <c r="J75" s="2010"/>
      <c r="K75" s="2010"/>
      <c r="L75" s="2010"/>
      <c r="M75" s="2010"/>
      <c r="N75" s="2010"/>
      <c r="O75" s="2010"/>
      <c r="P75" s="2010"/>
      <c r="Q75" s="2010"/>
      <c r="R75" s="2010"/>
      <c r="S75" s="2010"/>
      <c r="T75" s="2010"/>
      <c r="U75" s="2010"/>
      <c r="V75" s="2010"/>
      <c r="W75" s="2010"/>
      <c r="X75" s="2010"/>
      <c r="Y75" s="2010"/>
      <c r="Z75" s="2010"/>
      <c r="AA75" s="2011"/>
      <c r="AB75" s="2011"/>
      <c r="AC75" s="2011"/>
      <c r="AD75" s="2011"/>
      <c r="AE75" s="2011"/>
      <c r="AF75" s="2011"/>
      <c r="AG75" s="2011"/>
      <c r="AH75" s="2011"/>
      <c r="AI75" s="2011"/>
    </row>
    <row r="76" spans="1:35" s="2009" customFormat="1" ht="24.75" customHeight="1">
      <c r="A76" s="178" t="s">
        <v>777</v>
      </c>
      <c r="B76" s="195" t="s">
        <v>2094</v>
      </c>
      <c r="C76" s="179">
        <f>IF(F75="购房发票",ROUND(C75*H75*D76,0),0)</f>
        <v>0</v>
      </c>
      <c r="D76" s="2801">
        <v>0.05</v>
      </c>
      <c r="E76" s="3261" t="s">
        <v>2095</v>
      </c>
      <c r="F76" s="3260"/>
      <c r="G76" s="3260"/>
      <c r="H76" s="3263"/>
      <c r="I76" s="2012"/>
      <c r="J76" s="2010"/>
      <c r="K76" s="2010"/>
      <c r="L76" s="2010"/>
      <c r="M76" s="2010"/>
      <c r="N76" s="2010"/>
      <c r="O76" s="2010"/>
      <c r="P76" s="2010"/>
      <c r="Q76" s="2010"/>
      <c r="R76" s="2010"/>
      <c r="S76" s="2010"/>
      <c r="T76" s="2010"/>
      <c r="U76" s="2010"/>
      <c r="V76" s="2010"/>
      <c r="W76" s="2010"/>
      <c r="X76" s="2010"/>
      <c r="Y76" s="2010"/>
      <c r="Z76" s="2010"/>
      <c r="AA76" s="2011"/>
      <c r="AB76" s="2011"/>
      <c r="AC76" s="2011"/>
      <c r="AD76" s="2011"/>
      <c r="AE76" s="2011"/>
      <c r="AF76" s="2011"/>
      <c r="AG76" s="2011"/>
      <c r="AH76" s="2011"/>
      <c r="AI76" s="2011"/>
    </row>
    <row r="77" spans="1:35" s="2009" customFormat="1" ht="24.75" customHeight="1">
      <c r="A77" s="178" t="s">
        <v>778</v>
      </c>
      <c r="B77" s="179" t="s">
        <v>2096</v>
      </c>
      <c r="C77" s="179">
        <f>ROUND(IF(G77="个人住宅",0,IF(G77="2016年5月1日前购买",C75*D77,C75*D77/(1+'数据-取费表'!C42))),0)</f>
        <v>0</v>
      </c>
      <c r="D77" s="2802">
        <f>'数据-取费表'!B48+'数据-取费表'!B49</f>
        <v>3.0499999999999999E-2</v>
      </c>
      <c r="E77" s="2553" t="s">
        <v>2097</v>
      </c>
      <c r="F77" s="196"/>
      <c r="G77" s="2014" t="s">
        <v>2098</v>
      </c>
      <c r="H77" s="2561" t="str">
        <f>IF(G77="个人买卖住房","免征印花税"," ")</f>
        <v xml:space="preserve"> </v>
      </c>
      <c r="I77" s="2012"/>
      <c r="J77" s="2010"/>
      <c r="K77" s="2010"/>
      <c r="L77" s="2010"/>
      <c r="M77" s="2010"/>
      <c r="N77" s="2010"/>
      <c r="O77" s="2010"/>
      <c r="P77" s="2010"/>
      <c r="Q77" s="2010"/>
      <c r="R77" s="2010"/>
      <c r="S77" s="2010"/>
      <c r="T77" s="2010"/>
      <c r="U77" s="2010"/>
      <c r="V77" s="2010"/>
      <c r="W77" s="2010"/>
      <c r="X77" s="2010"/>
      <c r="Y77" s="2010"/>
      <c r="Z77" s="2010"/>
      <c r="AA77" s="2011"/>
      <c r="AB77" s="2011"/>
      <c r="AC77" s="2011"/>
      <c r="AD77" s="2011"/>
      <c r="AE77" s="2011"/>
      <c r="AF77" s="2011"/>
      <c r="AG77" s="2011"/>
      <c r="AH77" s="2011"/>
      <c r="AI77" s="2011"/>
    </row>
    <row r="78" spans="1:35" s="2009" customFormat="1" ht="24.75" customHeight="1">
      <c r="A78" s="178" t="s">
        <v>771</v>
      </c>
      <c r="B78" s="179" t="s">
        <v>2099</v>
      </c>
      <c r="C78" s="2803">
        <f ca="1">ROUND(D45*D78/(1+'数据-取费表'!C42),0)</f>
        <v>58</v>
      </c>
      <c r="D78" s="2804">
        <f>'数据-取费表'!B43</f>
        <v>5.000000000000001E-3</v>
      </c>
      <c r="E78" s="3253" t="s">
        <v>2100</v>
      </c>
      <c r="F78" s="3254"/>
      <c r="G78" s="3254"/>
      <c r="H78" s="3255"/>
      <c r="I78" s="2015"/>
      <c r="J78" s="2010"/>
      <c r="K78" s="2010"/>
      <c r="L78" s="2010"/>
      <c r="M78" s="2010"/>
      <c r="N78" s="2010"/>
      <c r="O78" s="2010"/>
      <c r="P78" s="2010"/>
      <c r="Q78" s="2010"/>
      <c r="R78" s="2010"/>
      <c r="S78" s="2010"/>
      <c r="T78" s="2010"/>
      <c r="U78" s="2010"/>
      <c r="V78" s="2010"/>
      <c r="W78" s="2010"/>
      <c r="X78" s="2010"/>
      <c r="Y78" s="2010"/>
      <c r="Z78" s="2010"/>
      <c r="AA78" s="2011"/>
      <c r="AB78" s="2011"/>
      <c r="AC78" s="2011"/>
      <c r="AD78" s="2011"/>
      <c r="AE78" s="2011"/>
      <c r="AF78" s="2011"/>
      <c r="AG78" s="2011"/>
      <c r="AH78" s="2011"/>
      <c r="AI78" s="2011"/>
    </row>
    <row r="79" spans="1:35" s="2009" customFormat="1" ht="13.8">
      <c r="A79" s="182" t="s">
        <v>779</v>
      </c>
      <c r="B79" s="183" t="s">
        <v>2101</v>
      </c>
      <c r="C79" s="2795">
        <f ca="1">C72-C73</f>
        <v>11448</v>
      </c>
      <c r="D79" s="179" t="s">
        <v>32</v>
      </c>
      <c r="E79" s="2560"/>
      <c r="F79" s="2559"/>
      <c r="G79" s="2559"/>
      <c r="H79" s="192"/>
      <c r="I79" s="2012"/>
      <c r="J79" s="2010"/>
      <c r="K79" s="2010"/>
      <c r="L79" s="2010"/>
      <c r="M79" s="2010"/>
      <c r="N79" s="2010"/>
      <c r="O79" s="2010"/>
      <c r="P79" s="2010"/>
      <c r="Q79" s="2010"/>
      <c r="R79" s="2010"/>
      <c r="S79" s="2010"/>
      <c r="T79" s="2010"/>
      <c r="U79" s="2010"/>
      <c r="V79" s="2010"/>
      <c r="W79" s="2010"/>
      <c r="X79" s="2010"/>
      <c r="Y79" s="2010"/>
      <c r="Z79" s="2010"/>
      <c r="AA79" s="2011"/>
      <c r="AB79" s="2011"/>
      <c r="AC79" s="2011"/>
      <c r="AD79" s="2011"/>
      <c r="AE79" s="2011"/>
      <c r="AF79" s="2011"/>
      <c r="AG79" s="2011"/>
      <c r="AH79" s="2011"/>
      <c r="AI79" s="2011"/>
    </row>
    <row r="80" spans="1:35" s="2009" customFormat="1" ht="24">
      <c r="A80" s="182" t="s">
        <v>780</v>
      </c>
      <c r="B80" s="183" t="s">
        <v>2102</v>
      </c>
      <c r="C80" s="2805">
        <f ca="1">IF(C79&lt;=0,0,C79/C73)</f>
        <v>197.37931034482759</v>
      </c>
      <c r="D80" s="179" t="s">
        <v>32</v>
      </c>
      <c r="E80" s="2553" t="str">
        <f ca="1">IF(C80&gt;=200%,"增值额超过扣除项目金额200%",IF(C80&gt;=100%,"增值额超过扣除项目金额100%，未超过200%",IF(C80&gt;=50%,"增值额超过扣除项目金额50%，未超过100%",IF(C80&lt;50%,"增值额未超过扣除项目金额50%"))))</f>
        <v>增值额超过扣除项目金额200%</v>
      </c>
      <c r="F80" s="2559"/>
      <c r="G80" s="2559"/>
      <c r="H80" s="192"/>
      <c r="I80" s="2012"/>
      <c r="J80" s="2010"/>
      <c r="K80" s="2010"/>
      <c r="L80" s="2010"/>
      <c r="M80" s="2010"/>
      <c r="N80" s="2010"/>
      <c r="O80" s="2010"/>
      <c r="P80" s="2010"/>
      <c r="Q80" s="2010"/>
      <c r="R80" s="2010"/>
      <c r="S80" s="2010"/>
      <c r="T80" s="2010"/>
      <c r="U80" s="2010"/>
      <c r="V80" s="2010"/>
      <c r="W80" s="2010"/>
      <c r="X80" s="2010"/>
      <c r="Y80" s="2010"/>
      <c r="Z80" s="2010"/>
      <c r="AA80" s="2011"/>
      <c r="AB80" s="2011"/>
      <c r="AC80" s="2011"/>
      <c r="AD80" s="2011"/>
      <c r="AE80" s="2011"/>
      <c r="AF80" s="2011"/>
      <c r="AG80" s="2011"/>
      <c r="AH80" s="2011"/>
      <c r="AI80" s="2011"/>
    </row>
    <row r="81" spans="1:35" s="2009" customFormat="1" ht="24.6" thickBot="1">
      <c r="A81" s="185" t="s">
        <v>781</v>
      </c>
      <c r="B81" s="186" t="s">
        <v>2103</v>
      </c>
      <c r="C81" s="2806">
        <f ca="1">ROUND(IF(C79&lt;=0,0,IF(C80&gt;=200%,C79*60%-C73*35%,IF(C80&gt;=100%,C79*50%-C73*15%,IF(C80&gt;=50%,C79*40%-C73*5%,IF(C80&lt;50%,C79*30%,0))))),0)</f>
        <v>6849</v>
      </c>
      <c r="D81" s="2807" t="s">
        <v>32</v>
      </c>
      <c r="E81" s="1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9"/>
      <c r="G81" s="199"/>
      <c r="H81" s="200"/>
      <c r="I81" s="2012"/>
      <c r="J81" s="2010"/>
      <c r="K81" s="2010"/>
      <c r="L81" s="2010"/>
      <c r="M81" s="2010"/>
      <c r="N81" s="2010"/>
      <c r="O81" s="2010"/>
      <c r="P81" s="2010"/>
      <c r="Q81" s="2010"/>
      <c r="R81" s="2010"/>
      <c r="S81" s="2010"/>
      <c r="T81" s="2010"/>
      <c r="U81" s="2010"/>
      <c r="V81" s="2010"/>
      <c r="W81" s="2010"/>
      <c r="X81" s="2010"/>
      <c r="Y81" s="2010"/>
      <c r="Z81" s="2010"/>
      <c r="AA81" s="2011"/>
      <c r="AB81" s="2011"/>
      <c r="AC81" s="2011"/>
      <c r="AD81" s="2011"/>
      <c r="AE81" s="2011"/>
      <c r="AF81" s="2011"/>
      <c r="AG81" s="2011"/>
      <c r="AH81" s="2011"/>
      <c r="AI81" s="2011"/>
    </row>
    <row r="82" spans="1:35" s="2009" customFormat="1" ht="7.5" customHeight="1">
      <c r="A82" s="693"/>
      <c r="B82" s="694"/>
      <c r="C82" s="7"/>
      <c r="D82" s="7"/>
      <c r="E82" s="694"/>
      <c r="F82" s="694"/>
      <c r="G82" s="694"/>
      <c r="H82" s="695"/>
      <c r="I82" s="2015"/>
      <c r="J82" s="2010"/>
      <c r="K82" s="2010"/>
      <c r="L82" s="2010"/>
      <c r="M82" s="2010"/>
      <c r="N82" s="2010"/>
      <c r="O82" s="2010"/>
      <c r="P82" s="2010"/>
      <c r="Q82" s="2010"/>
      <c r="R82" s="2010"/>
      <c r="S82" s="2010"/>
      <c r="T82" s="2010"/>
      <c r="U82" s="2010"/>
      <c r="V82" s="2010"/>
      <c r="W82" s="2010"/>
      <c r="X82" s="2010"/>
      <c r="Y82" s="2010"/>
      <c r="Z82" s="2010"/>
      <c r="AA82" s="2011"/>
      <c r="AB82" s="2011"/>
      <c r="AC82" s="2011"/>
      <c r="AD82" s="2011"/>
      <c r="AE82" s="2011"/>
      <c r="AF82" s="2011"/>
      <c r="AG82" s="2011"/>
      <c r="AH82" s="2011"/>
      <c r="AI82" s="2011"/>
    </row>
    <row r="83" spans="1:35" s="2009" customFormat="1" ht="14.4" thickBot="1">
      <c r="A83" s="3264" t="s">
        <v>2104</v>
      </c>
      <c r="B83" s="3265"/>
      <c r="C83" s="3265"/>
      <c r="D83" s="3265"/>
      <c r="E83" s="3265"/>
      <c r="F83" s="3265"/>
      <c r="G83" s="3265"/>
      <c r="H83" s="3265"/>
      <c r="I83" s="2013"/>
      <c r="J83" s="2010"/>
      <c r="K83" s="2010"/>
      <c r="L83" s="2010"/>
      <c r="M83" s="2010"/>
      <c r="N83" s="2010"/>
      <c r="O83" s="2010"/>
      <c r="P83" s="2010"/>
      <c r="Q83" s="2010"/>
      <c r="R83" s="2010"/>
      <c r="S83" s="2010"/>
      <c r="T83" s="2010"/>
      <c r="U83" s="2010"/>
      <c r="V83" s="2010"/>
      <c r="W83" s="2010"/>
      <c r="X83" s="2010"/>
      <c r="Y83" s="2010"/>
      <c r="Z83" s="2010"/>
      <c r="AA83" s="2011"/>
      <c r="AB83" s="2011"/>
      <c r="AC83" s="2011"/>
      <c r="AD83" s="2011"/>
      <c r="AE83" s="2011"/>
      <c r="AF83" s="2011"/>
      <c r="AG83" s="2011"/>
      <c r="AH83" s="2011"/>
      <c r="AI83" s="2011"/>
    </row>
    <row r="84" spans="1:35" s="2009" customFormat="1" ht="13.8">
      <c r="A84" s="3256" t="s">
        <v>2067</v>
      </c>
      <c r="B84" s="3257"/>
      <c r="C84" s="2215"/>
      <c r="D84" s="2215" t="s">
        <v>2068</v>
      </c>
      <c r="E84" s="189" t="s">
        <v>2069</v>
      </c>
      <c r="F84" s="190"/>
      <c r="G84" s="190"/>
      <c r="H84" s="201"/>
      <c r="I84" s="2013"/>
      <c r="J84" s="2010"/>
      <c r="K84" s="2010"/>
      <c r="L84" s="2010"/>
      <c r="M84" s="2010"/>
      <c r="N84" s="2010"/>
      <c r="O84" s="2010"/>
      <c r="P84" s="2010"/>
      <c r="Q84" s="2010"/>
      <c r="R84" s="2010"/>
      <c r="S84" s="2010"/>
      <c r="T84" s="2010"/>
      <c r="U84" s="2010"/>
      <c r="V84" s="2010"/>
      <c r="W84" s="2010"/>
      <c r="X84" s="2010"/>
      <c r="Y84" s="2010"/>
      <c r="Z84" s="2010"/>
      <c r="AA84" s="2011"/>
      <c r="AB84" s="2011"/>
      <c r="AC84" s="2011"/>
      <c r="AD84" s="2011"/>
      <c r="AE84" s="2011"/>
      <c r="AF84" s="2011"/>
      <c r="AG84" s="2011"/>
      <c r="AH84" s="2011"/>
      <c r="AI84" s="2011"/>
    </row>
    <row r="85" spans="1:35" s="2009" customFormat="1" ht="13.8">
      <c r="A85" s="182" t="s">
        <v>775</v>
      </c>
      <c r="B85" s="183" t="s">
        <v>2087</v>
      </c>
      <c r="C85" s="2795">
        <f ca="1">ROUND(D45/(1+'数据-取费表'!C42),0)</f>
        <v>11506</v>
      </c>
      <c r="D85" s="179" t="s">
        <v>32</v>
      </c>
      <c r="E85" s="2560"/>
      <c r="F85" s="2559"/>
      <c r="G85" s="2559"/>
      <c r="H85" s="202"/>
      <c r="I85" s="2013"/>
      <c r="J85" s="2010"/>
      <c r="K85" s="2010"/>
      <c r="L85" s="2010"/>
      <c r="M85" s="2010"/>
      <c r="N85" s="2010"/>
      <c r="O85" s="2010"/>
      <c r="P85" s="2010"/>
      <c r="Q85" s="2010"/>
      <c r="R85" s="2010"/>
      <c r="S85" s="2010"/>
      <c r="T85" s="2010"/>
      <c r="U85" s="2010"/>
      <c r="V85" s="2010"/>
      <c r="W85" s="2010"/>
      <c r="X85" s="2010"/>
      <c r="Y85" s="2010"/>
      <c r="Z85" s="2010"/>
      <c r="AA85" s="2011"/>
      <c r="AB85" s="2011"/>
      <c r="AC85" s="2011"/>
      <c r="AD85" s="2011"/>
      <c r="AE85" s="2011"/>
      <c r="AF85" s="2011"/>
      <c r="AG85" s="2011"/>
      <c r="AH85" s="2011"/>
      <c r="AI85" s="2011"/>
    </row>
    <row r="86" spans="1:35" s="2009" customFormat="1" ht="13.8">
      <c r="A86" s="182" t="s">
        <v>772</v>
      </c>
      <c r="B86" s="172" t="s">
        <v>2088</v>
      </c>
      <c r="C86" s="2795">
        <f ca="1">IF(H88="仅含出让金",C87+C90+C91+C92+C93+C94,C87+C91+C92+C93+C94)</f>
        <v>58</v>
      </c>
      <c r="D86" s="2808"/>
      <c r="E86" s="2560"/>
      <c r="F86" s="2559"/>
      <c r="G86" s="2559"/>
      <c r="H86" s="202"/>
      <c r="I86" s="2013"/>
      <c r="J86" s="2010"/>
      <c r="K86" s="2010"/>
      <c r="L86" s="2010"/>
      <c r="M86" s="2010"/>
      <c r="N86" s="2010"/>
      <c r="O86" s="2010"/>
      <c r="P86" s="2010"/>
      <c r="Q86" s="2010"/>
      <c r="R86" s="2010"/>
      <c r="S86" s="2010"/>
      <c r="T86" s="2010"/>
      <c r="U86" s="2010"/>
      <c r="V86" s="2010"/>
      <c r="W86" s="2010"/>
      <c r="X86" s="2010"/>
      <c r="Y86" s="2010"/>
      <c r="Z86" s="2010"/>
      <c r="AA86" s="2011"/>
      <c r="AB86" s="2011"/>
      <c r="AC86" s="2011"/>
      <c r="AD86" s="2011"/>
      <c r="AE86" s="2011"/>
      <c r="AF86" s="2011"/>
      <c r="AG86" s="2011"/>
      <c r="AH86" s="2011"/>
      <c r="AI86" s="2011"/>
    </row>
    <row r="87" spans="1:35" s="2009" customFormat="1" ht="13.8">
      <c r="A87" s="178" t="s">
        <v>770</v>
      </c>
      <c r="B87" s="179" t="s">
        <v>2105</v>
      </c>
      <c r="C87" s="2803">
        <f>C88+C89</f>
        <v>0</v>
      </c>
      <c r="D87" s="2804"/>
      <c r="E87" s="2555"/>
      <c r="F87" s="2556"/>
      <c r="G87" s="2556"/>
      <c r="H87" s="2557"/>
      <c r="I87" s="2013"/>
      <c r="J87" s="2010"/>
      <c r="K87" s="2010"/>
      <c r="L87" s="2010"/>
      <c r="M87" s="2010"/>
      <c r="N87" s="2010"/>
      <c r="O87" s="2010"/>
      <c r="P87" s="2010"/>
      <c r="Q87" s="2010"/>
      <c r="R87" s="2010"/>
      <c r="S87" s="2010"/>
      <c r="T87" s="2010"/>
      <c r="U87" s="2010"/>
      <c r="V87" s="2010"/>
      <c r="W87" s="2010"/>
      <c r="X87" s="2010"/>
      <c r="Y87" s="2010"/>
      <c r="Z87" s="2010"/>
      <c r="AA87" s="2011"/>
      <c r="AB87" s="2011"/>
      <c r="AC87" s="2011"/>
      <c r="AD87" s="2011"/>
      <c r="AE87" s="2011"/>
      <c r="AF87" s="2011"/>
      <c r="AG87" s="2011"/>
      <c r="AH87" s="2011"/>
      <c r="AI87" s="2011"/>
    </row>
    <row r="88" spans="1:35" s="2009" customFormat="1" ht="14.4">
      <c r="A88" s="178" t="s">
        <v>776</v>
      </c>
      <c r="B88" s="179" t="s">
        <v>2106</v>
      </c>
      <c r="C88" s="2809"/>
      <c r="D88" s="2804"/>
      <c r="E88" s="203" t="s">
        <v>2107</v>
      </c>
      <c r="F88" s="2556"/>
      <c r="G88" s="204" t="s">
        <v>2108</v>
      </c>
      <c r="H88" s="2016"/>
      <c r="I88" s="2013"/>
      <c r="J88" s="2748" t="s">
        <v>3043</v>
      </c>
      <c r="K88" s="2010"/>
      <c r="L88" s="2010"/>
      <c r="M88" s="2010"/>
      <c r="N88" s="2010"/>
      <c r="O88" s="2010"/>
      <c r="P88" s="2010"/>
      <c r="Q88" s="2010"/>
      <c r="R88" s="2010"/>
      <c r="S88" s="2010"/>
      <c r="T88" s="2010"/>
      <c r="U88" s="2010"/>
      <c r="V88" s="2010"/>
      <c r="W88" s="2010"/>
      <c r="X88" s="2010"/>
      <c r="Y88" s="2010"/>
      <c r="Z88" s="2010"/>
      <c r="AA88" s="2011"/>
      <c r="AB88" s="2011"/>
      <c r="AC88" s="2011"/>
      <c r="AD88" s="2011"/>
      <c r="AE88" s="2011"/>
      <c r="AF88" s="2011"/>
      <c r="AG88" s="2011"/>
      <c r="AH88" s="2011"/>
      <c r="AI88" s="2011"/>
    </row>
    <row r="89" spans="1:35" s="2009" customFormat="1" ht="13.8">
      <c r="A89" s="178" t="s">
        <v>777</v>
      </c>
      <c r="B89" s="179" t="s">
        <v>2096</v>
      </c>
      <c r="C89" s="2803">
        <f>ROUND(C88*D89,0)</f>
        <v>0</v>
      </c>
      <c r="D89" s="2804">
        <f>'数据-取费表'!B48+'数据-取费表'!B49</f>
        <v>3.0499999999999999E-2</v>
      </c>
      <c r="E89" s="203" t="s">
        <v>2109</v>
      </c>
      <c r="F89" s="2556"/>
      <c r="G89" s="2556"/>
      <c r="H89" s="2557"/>
      <c r="I89" s="2013"/>
      <c r="J89" s="2010"/>
      <c r="K89" s="2010"/>
      <c r="L89" s="2010"/>
      <c r="M89" s="2010"/>
      <c r="N89" s="2010"/>
      <c r="O89" s="2010"/>
      <c r="P89" s="2010"/>
      <c r="Q89" s="2010"/>
      <c r="R89" s="2010"/>
      <c r="S89" s="2010"/>
      <c r="T89" s="2010"/>
      <c r="U89" s="2010"/>
      <c r="V89" s="2010"/>
      <c r="W89" s="2010"/>
      <c r="X89" s="2010"/>
      <c r="Y89" s="2010"/>
      <c r="Z89" s="2010"/>
      <c r="AA89" s="2011"/>
      <c r="AB89" s="2011"/>
      <c r="AC89" s="2011"/>
      <c r="AD89" s="2011"/>
      <c r="AE89" s="2011"/>
      <c r="AF89" s="2011"/>
      <c r="AG89" s="2011"/>
      <c r="AH89" s="2011"/>
      <c r="AI89" s="2011"/>
    </row>
    <row r="90" spans="1:35" s="2009" customFormat="1" ht="14.4">
      <c r="A90" s="178" t="s">
        <v>771</v>
      </c>
      <c r="B90" s="179" t="s">
        <v>2110</v>
      </c>
      <c r="C90" s="2809"/>
      <c r="D90" s="2804"/>
      <c r="E90" s="203" t="str">
        <f>IF(H88="-","土地取得成本中已包含该笔费用"," ")</f>
        <v xml:space="preserve"> </v>
      </c>
      <c r="F90" s="2556"/>
      <c r="G90" s="3222" t="s">
        <v>2880</v>
      </c>
      <c r="H90" s="3223"/>
      <c r="I90" s="2013"/>
      <c r="J90" s="2748" t="s">
        <v>3044</v>
      </c>
      <c r="K90" s="2010"/>
      <c r="L90" s="2010"/>
      <c r="M90" s="2010"/>
      <c r="N90" s="2010"/>
      <c r="O90" s="2010"/>
      <c r="P90" s="2010"/>
      <c r="Q90" s="2010"/>
      <c r="R90" s="2010"/>
      <c r="S90" s="2010"/>
      <c r="T90" s="2010"/>
      <c r="U90" s="2010"/>
      <c r="V90" s="2010"/>
      <c r="W90" s="2010"/>
      <c r="X90" s="2010"/>
      <c r="Y90" s="2010"/>
      <c r="Z90" s="2010"/>
      <c r="AA90" s="2011"/>
      <c r="AB90" s="2011"/>
      <c r="AC90" s="2011"/>
      <c r="AD90" s="2011"/>
      <c r="AE90" s="2011"/>
      <c r="AF90" s="2011"/>
      <c r="AG90" s="2011"/>
      <c r="AH90" s="2011"/>
      <c r="AI90" s="2011"/>
    </row>
    <row r="91" spans="1:35" s="2009" customFormat="1" ht="27.75" customHeight="1">
      <c r="A91" s="178" t="s">
        <v>2111</v>
      </c>
      <c r="B91" s="179" t="s">
        <v>2112</v>
      </c>
      <c r="C91" s="2803">
        <f>IF(H91="——",成本法!C33,I91)</f>
        <v>0</v>
      </c>
      <c r="D91" s="2804"/>
      <c r="E91" s="3253" t="s">
        <v>2113</v>
      </c>
      <c r="F91" s="3254"/>
      <c r="G91" s="3254"/>
      <c r="H91" s="2017" t="s">
        <v>2114</v>
      </c>
      <c r="I91" s="2018"/>
      <c r="J91" s="2010"/>
      <c r="K91" s="2010"/>
      <c r="L91" s="2010"/>
      <c r="M91" s="2010"/>
      <c r="N91" s="2010"/>
      <c r="O91" s="2010"/>
      <c r="P91" s="2010"/>
      <c r="Q91" s="2010"/>
      <c r="R91" s="2010"/>
      <c r="S91" s="2010"/>
      <c r="T91" s="2010"/>
      <c r="U91" s="2010"/>
      <c r="V91" s="2010"/>
      <c r="W91" s="2010"/>
      <c r="X91" s="2010"/>
      <c r="Y91" s="2010"/>
      <c r="Z91" s="2010"/>
      <c r="AA91" s="2011"/>
      <c r="AB91" s="2011"/>
      <c r="AC91" s="2011"/>
      <c r="AD91" s="2011"/>
      <c r="AE91" s="2011"/>
      <c r="AF91" s="2011"/>
      <c r="AG91" s="2011"/>
      <c r="AH91" s="2011"/>
      <c r="AI91" s="2011"/>
    </row>
    <row r="92" spans="1:35" s="2009" customFormat="1" ht="25.5" customHeight="1">
      <c r="A92" s="178" t="s">
        <v>2115</v>
      </c>
      <c r="B92" s="179" t="s">
        <v>2116</v>
      </c>
      <c r="C92" s="2803">
        <f>ROUND((C87+C90+C91)*D92,0)</f>
        <v>0</v>
      </c>
      <c r="D92" s="2810">
        <v>0.1</v>
      </c>
      <c r="E92" s="3253" t="s">
        <v>2117</v>
      </c>
      <c r="F92" s="3254"/>
      <c r="G92" s="3254"/>
      <c r="H92" s="3255"/>
      <c r="I92" s="2013"/>
      <c r="J92" s="2749" t="s">
        <v>3045</v>
      </c>
      <c r="K92" s="2010"/>
      <c r="L92" s="2010"/>
      <c r="M92" s="2010"/>
      <c r="N92" s="2010"/>
      <c r="O92" s="2010"/>
      <c r="P92" s="2010"/>
      <c r="Q92" s="2010"/>
      <c r="R92" s="2010"/>
      <c r="S92" s="2010"/>
      <c r="T92" s="2010"/>
      <c r="U92" s="2010"/>
      <c r="V92" s="2010"/>
      <c r="W92" s="2010"/>
      <c r="X92" s="2010"/>
      <c r="Y92" s="2010"/>
      <c r="Z92" s="2010"/>
      <c r="AA92" s="2011"/>
      <c r="AB92" s="2011"/>
      <c r="AC92" s="2011"/>
      <c r="AD92" s="2011"/>
      <c r="AE92" s="2011"/>
      <c r="AF92" s="2011"/>
      <c r="AG92" s="2011"/>
      <c r="AH92" s="2011"/>
      <c r="AI92" s="2011"/>
    </row>
    <row r="93" spans="1:35" s="2009" customFormat="1" ht="25.5" customHeight="1">
      <c r="A93" s="178" t="s">
        <v>2118</v>
      </c>
      <c r="B93" s="179" t="s">
        <v>2099</v>
      </c>
      <c r="C93" s="2803">
        <f ca="1">ROUND(D45*D93/(1+'数据-取费表'!C42),0)</f>
        <v>58</v>
      </c>
      <c r="D93" s="2804">
        <f>'数据-取费表'!B43</f>
        <v>5.000000000000001E-3</v>
      </c>
      <c r="E93" s="3253" t="s">
        <v>2100</v>
      </c>
      <c r="F93" s="3254"/>
      <c r="G93" s="3254"/>
      <c r="H93" s="3255"/>
      <c r="I93" s="2013"/>
      <c r="J93" s="2010"/>
      <c r="K93" s="2010"/>
      <c r="L93" s="2010"/>
      <c r="M93" s="2010"/>
      <c r="N93" s="2010"/>
      <c r="O93" s="2010"/>
      <c r="P93" s="2010"/>
      <c r="Q93" s="2010"/>
      <c r="R93" s="2010"/>
      <c r="S93" s="2010"/>
      <c r="T93" s="2010"/>
      <c r="U93" s="2010"/>
      <c r="V93" s="2010"/>
      <c r="W93" s="2010"/>
      <c r="X93" s="2010"/>
      <c r="Y93" s="2010"/>
      <c r="Z93" s="2010"/>
      <c r="AA93" s="2011"/>
      <c r="AB93" s="2011"/>
      <c r="AC93" s="2011"/>
      <c r="AD93" s="2011"/>
      <c r="AE93" s="2011"/>
      <c r="AF93" s="2011"/>
      <c r="AG93" s="2011"/>
      <c r="AH93" s="2011"/>
      <c r="AI93" s="2011"/>
    </row>
    <row r="94" spans="1:35" s="2009" customFormat="1" ht="36.75" customHeight="1">
      <c r="A94" s="178" t="s">
        <v>2119</v>
      </c>
      <c r="B94" s="179" t="s">
        <v>2120</v>
      </c>
      <c r="C94" s="2809">
        <f>ROUND((C87+C90+C91)*D94,0)</f>
        <v>0</v>
      </c>
      <c r="D94" s="2804">
        <v>0.2</v>
      </c>
      <c r="E94" s="3301" t="s">
        <v>2121</v>
      </c>
      <c r="F94" s="3302"/>
      <c r="G94" s="3302"/>
      <c r="H94" s="3303"/>
      <c r="I94" s="2013"/>
      <c r="J94" s="2010"/>
      <c r="K94" s="2010"/>
      <c r="L94" s="2010"/>
      <c r="M94" s="2010"/>
      <c r="N94" s="2010"/>
      <c r="O94" s="2010"/>
      <c r="P94" s="2010"/>
      <c r="Q94" s="2010"/>
      <c r="R94" s="2010"/>
      <c r="S94" s="2010"/>
      <c r="T94" s="2010"/>
      <c r="U94" s="2010"/>
      <c r="V94" s="2010"/>
      <c r="W94" s="2010"/>
      <c r="X94" s="2010"/>
      <c r="Y94" s="2010"/>
      <c r="Z94" s="2010"/>
      <c r="AA94" s="2011"/>
      <c r="AB94" s="2011"/>
      <c r="AC94" s="2011"/>
      <c r="AD94" s="2011"/>
      <c r="AE94" s="2011"/>
      <c r="AF94" s="2011"/>
      <c r="AG94" s="2011"/>
      <c r="AH94" s="2011"/>
      <c r="AI94" s="2011"/>
    </row>
    <row r="95" spans="1:35" s="2009" customFormat="1" ht="13.8">
      <c r="A95" s="182" t="s">
        <v>779</v>
      </c>
      <c r="B95" s="183" t="s">
        <v>2101</v>
      </c>
      <c r="C95" s="2795">
        <f ca="1">ROUND(C85-C86,0)</f>
        <v>11448</v>
      </c>
      <c r="D95" s="179" t="s">
        <v>32</v>
      </c>
      <c r="E95" s="2560"/>
      <c r="F95" s="2559"/>
      <c r="G95" s="2559"/>
      <c r="H95" s="202"/>
      <c r="I95" s="2013"/>
      <c r="J95" s="2010"/>
      <c r="K95" s="2010"/>
      <c r="L95" s="2010"/>
      <c r="M95" s="2010"/>
      <c r="N95" s="2010"/>
      <c r="O95" s="2010"/>
      <c r="P95" s="2010"/>
      <c r="Q95" s="2010"/>
      <c r="R95" s="2010"/>
      <c r="S95" s="2010"/>
      <c r="T95" s="2010"/>
      <c r="U95" s="2010"/>
      <c r="V95" s="2010"/>
      <c r="W95" s="2010"/>
      <c r="X95" s="2010"/>
      <c r="Y95" s="2010"/>
      <c r="Z95" s="2010"/>
      <c r="AA95" s="2011"/>
      <c r="AB95" s="2011"/>
      <c r="AC95" s="2011"/>
      <c r="AD95" s="2011"/>
      <c r="AE95" s="2011"/>
      <c r="AF95" s="2011"/>
      <c r="AG95" s="2011"/>
      <c r="AH95" s="2011"/>
      <c r="AI95" s="2011"/>
    </row>
    <row r="96" spans="1:35" s="2009" customFormat="1" ht="24">
      <c r="A96" s="182" t="s">
        <v>780</v>
      </c>
      <c r="B96" s="183" t="s">
        <v>2102</v>
      </c>
      <c r="C96" s="2805">
        <f ca="1">IF(C95&lt;=0,0,C95/C86)</f>
        <v>197.37931034482759</v>
      </c>
      <c r="D96" s="179" t="s">
        <v>32</v>
      </c>
      <c r="E96" s="2553" t="str">
        <f ca="1">IF(C96&gt;=200%,"增值额超过扣除项目金额200%",IF(C96&gt;=100%,"增值额超过扣除项目金额100%，未超过200%",IF(C96&gt;=50%,"增值额超过扣除项目金额50%，未超过100%",IF(C96&lt;50%,"增值额未超过扣除项目金额50%"))))</f>
        <v>增值额超过扣除项目金额200%</v>
      </c>
      <c r="F96" s="2559"/>
      <c r="G96" s="2559"/>
      <c r="H96" s="202"/>
      <c r="I96" s="2013"/>
      <c r="J96" s="2010"/>
      <c r="K96" s="2010"/>
      <c r="L96" s="2010"/>
      <c r="M96" s="2010"/>
      <c r="N96" s="2010"/>
      <c r="O96" s="2010"/>
      <c r="P96" s="2010"/>
      <c r="Q96" s="2010"/>
      <c r="R96" s="2010"/>
      <c r="S96" s="2010"/>
      <c r="T96" s="2010"/>
      <c r="U96" s="2010"/>
      <c r="V96" s="2010"/>
      <c r="W96" s="2010"/>
      <c r="X96" s="2010"/>
      <c r="Y96" s="2010"/>
      <c r="Z96" s="2010"/>
      <c r="AA96" s="2011"/>
      <c r="AB96" s="2011"/>
      <c r="AC96" s="2011"/>
      <c r="AD96" s="2011"/>
      <c r="AE96" s="2011"/>
      <c r="AF96" s="2011"/>
      <c r="AG96" s="2011"/>
      <c r="AH96" s="2011"/>
      <c r="AI96" s="2011"/>
    </row>
    <row r="97" spans="1:35" s="2009" customFormat="1" ht="24.6" thickBot="1">
      <c r="A97" s="185" t="s">
        <v>781</v>
      </c>
      <c r="B97" s="186" t="s">
        <v>2103</v>
      </c>
      <c r="C97" s="2806">
        <f ca="1">ROUND(IF(C95&lt;=0,0,IF(C96&gt;=200%,C95*60%-C86*35%,IF(C96&gt;=100%,C95*50%-C86*15%,IF(C96&gt;=50%,C95*40%-C86*5%,IF(C96&lt;50%,C95*30%,0))))),0)</f>
        <v>6849</v>
      </c>
      <c r="D97" s="2807" t="s">
        <v>32</v>
      </c>
      <c r="E97" s="1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9"/>
      <c r="G97" s="199"/>
      <c r="H97" s="205"/>
      <c r="I97" s="2013"/>
      <c r="J97" s="2010"/>
      <c r="K97" s="2010"/>
      <c r="L97" s="2010"/>
      <c r="M97" s="2010"/>
      <c r="N97" s="2010"/>
      <c r="O97" s="2010"/>
      <c r="P97" s="2010"/>
      <c r="Q97" s="2010"/>
      <c r="R97" s="2010"/>
      <c r="S97" s="2010"/>
      <c r="T97" s="2010"/>
      <c r="U97" s="2010"/>
      <c r="V97" s="2010"/>
      <c r="W97" s="2010"/>
      <c r="X97" s="2010"/>
      <c r="Y97" s="2010"/>
      <c r="Z97" s="2010"/>
      <c r="AA97" s="2011"/>
      <c r="AB97" s="2011"/>
      <c r="AC97" s="2011"/>
      <c r="AD97" s="2011"/>
      <c r="AE97" s="2011"/>
      <c r="AF97" s="2011"/>
      <c r="AG97" s="2011"/>
      <c r="AH97" s="2011"/>
      <c r="AI97" s="2011"/>
    </row>
    <row r="98" spans="1:35" ht="21.75" customHeight="1">
      <c r="A98" s="2001"/>
      <c r="B98" s="1939"/>
      <c r="C98" s="1939"/>
      <c r="D98" s="1939"/>
      <c r="E98" s="1769"/>
      <c r="F98" s="1769"/>
      <c r="G98" s="1769"/>
      <c r="H98" s="1768"/>
      <c r="I98" s="138"/>
    </row>
    <row r="99" spans="1:35" ht="21.75" customHeight="1" thickBot="1">
      <c r="A99" s="1992" t="s">
        <v>2122</v>
      </c>
      <c r="B99" s="1939"/>
      <c r="C99" s="1939"/>
      <c r="D99" s="1939"/>
      <c r="E99" s="1769"/>
      <c r="F99" s="1769"/>
      <c r="G99" s="1769"/>
      <c r="H99" s="1768"/>
      <c r="I99" s="138"/>
    </row>
    <row r="100" spans="1:35" ht="18.75" customHeight="1">
      <c r="A100" s="3203" t="s">
        <v>2123</v>
      </c>
      <c r="B100" s="3204"/>
      <c r="C100" s="3204"/>
      <c r="D100" s="3238"/>
      <c r="E100" s="3204" t="s">
        <v>2124</v>
      </c>
      <c r="F100" s="3204"/>
      <c r="G100" s="3204"/>
      <c r="H100" s="3238"/>
      <c r="I100" s="138"/>
    </row>
    <row r="101" spans="1:35" ht="18.75" customHeight="1">
      <c r="A101" s="3246" t="s">
        <v>2125</v>
      </c>
      <c r="B101" s="3247"/>
      <c r="C101" s="2812" t="str">
        <f>C4</f>
        <v>成本法</v>
      </c>
      <c r="D101" s="2813" t="str">
        <f>D4</f>
        <v>收益法</v>
      </c>
      <c r="E101" s="3216" t="s">
        <v>2126</v>
      </c>
      <c r="F101" s="3217"/>
      <c r="G101" s="2019" t="s">
        <v>2127</v>
      </c>
      <c r="H101" s="2822">
        <f ca="1">H118</f>
        <v>12081</v>
      </c>
      <c r="I101" s="138"/>
    </row>
    <row r="102" spans="1:35" ht="18.75" customHeight="1">
      <c r="A102" s="3248" t="s">
        <v>2128</v>
      </c>
      <c r="B102" s="2811" t="s">
        <v>2127</v>
      </c>
      <c r="C102" s="2812">
        <f ca="1">C19</f>
        <v>7457</v>
      </c>
      <c r="D102" s="2813">
        <f ca="1">D19</f>
        <v>14063</v>
      </c>
      <c r="E102" s="3216"/>
      <c r="F102" s="3217"/>
      <c r="G102" s="2019" t="s">
        <v>2129</v>
      </c>
      <c r="H102" s="2782">
        <f ca="1">I118</f>
        <v>13982</v>
      </c>
      <c r="I102" s="138"/>
    </row>
    <row r="103" spans="1:35" ht="42.75" customHeight="1">
      <c r="A103" s="3248"/>
      <c r="B103" s="2811" t="s">
        <v>2129</v>
      </c>
      <c r="C103" s="2814">
        <f ca="1">C20</f>
        <v>8631</v>
      </c>
      <c r="D103" s="2815">
        <f ca="1">D20</f>
        <v>16276</v>
      </c>
      <c r="E103" s="3209" t="s">
        <v>2130</v>
      </c>
      <c r="F103" s="3210"/>
      <c r="G103" s="2020" t="s">
        <v>2131</v>
      </c>
      <c r="H103" s="2822">
        <f>IF(D36="正常操作",H104+H105+H106,H105+H106)</f>
        <v>0</v>
      </c>
      <c r="I103" s="138"/>
    </row>
    <row r="104" spans="1:35" ht="18.75" customHeight="1">
      <c r="A104" s="3248" t="s">
        <v>2132</v>
      </c>
      <c r="B104" s="2816" t="s">
        <v>2127</v>
      </c>
      <c r="C104" s="2817">
        <f ca="1">H118</f>
        <v>12081</v>
      </c>
      <c r="D104" s="2818"/>
      <c r="E104" s="1866" t="s">
        <v>2133</v>
      </c>
      <c r="F104" s="1857"/>
      <c r="G104" s="2020" t="s">
        <v>2131</v>
      </c>
      <c r="H104" s="2823">
        <f>IF(D36="同一抵押权人同一抵押物续贷",C36&amp;"（续贷，未扣减，详见特别提示）",C36)</f>
        <v>7500</v>
      </c>
      <c r="I104" s="138"/>
    </row>
    <row r="105" spans="1:35" ht="18.75" customHeight="1" thickBot="1">
      <c r="A105" s="3258"/>
      <c r="B105" s="2819" t="s">
        <v>2129</v>
      </c>
      <c r="C105" s="2820">
        <f ca="1">I118</f>
        <v>13982</v>
      </c>
      <c r="D105" s="2821"/>
      <c r="E105" s="1866" t="s">
        <v>2134</v>
      </c>
      <c r="F105" s="1857"/>
      <c r="G105" s="2020" t="s">
        <v>2131</v>
      </c>
      <c r="H105" s="2824">
        <f>C37</f>
        <v>0</v>
      </c>
      <c r="I105" s="138"/>
    </row>
    <row r="106" spans="1:35" ht="18.75" customHeight="1">
      <c r="A106" s="1939" t="s">
        <v>2135</v>
      </c>
      <c r="B106" s="1939"/>
      <c r="C106" s="1939"/>
      <c r="D106" s="1939"/>
      <c r="E106" s="2021" t="s">
        <v>2136</v>
      </c>
      <c r="F106" s="1857"/>
      <c r="G106" s="2020" t="s">
        <v>2131</v>
      </c>
      <c r="H106" s="2824">
        <f>C38</f>
        <v>0</v>
      </c>
      <c r="I106" s="138"/>
    </row>
    <row r="107" spans="1:35" ht="18.75" customHeight="1">
      <c r="A107" s="138"/>
      <c r="B107" s="138"/>
      <c r="C107" s="138"/>
      <c r="D107" s="138"/>
      <c r="E107" s="3249" t="str">
        <f>IF(项目基本情况!E8="已注销","——","3.房地产抵押价值")</f>
        <v>——</v>
      </c>
      <c r="F107" s="3217"/>
      <c r="G107" s="2019" t="s">
        <v>2127</v>
      </c>
      <c r="H107" s="2822" t="str">
        <f>IF(E107="——","——",H101-H103)</f>
        <v>——</v>
      </c>
      <c r="I107" s="138"/>
    </row>
    <row r="108" spans="1:35" ht="18.75" customHeight="1">
      <c r="A108" s="138"/>
      <c r="B108" s="138"/>
      <c r="C108" s="138"/>
      <c r="D108" s="138"/>
      <c r="E108" s="3249"/>
      <c r="F108" s="3217"/>
      <c r="G108" s="2019" t="s">
        <v>2129</v>
      </c>
      <c r="H108" s="2782" t="e">
        <f>ROUND(H107*10000/'数据-汇总表'!E3,0)</f>
        <v>#VALUE!</v>
      </c>
      <c r="I108" s="138"/>
    </row>
    <row r="109" spans="1:35" ht="18.75" customHeight="1">
      <c r="A109" s="138"/>
      <c r="B109" s="138"/>
      <c r="C109" s="138"/>
      <c r="D109" s="138"/>
      <c r="E109" s="3249" t="str">
        <f>IF(项目基本情况!E8="已注销及未注销","4.抵押担保权已注销时的房地产抵押价值",IF(项目基本情况!E8="已注销","3.抵押担保权已注销时的房地产抵押价值","——"))</f>
        <v>3.抵押担保权已注销时的房地产抵押价值</v>
      </c>
      <c r="F109" s="3217"/>
      <c r="G109" s="2019" t="s">
        <v>2127</v>
      </c>
      <c r="H109" s="2825">
        <f ca="1">IF(E109="——","——",H101-H105-H106)</f>
        <v>12081</v>
      </c>
      <c r="I109" s="138"/>
    </row>
    <row r="110" spans="1:35" ht="18.75" customHeight="1">
      <c r="A110" s="138"/>
      <c r="B110" s="138"/>
      <c r="C110" s="138"/>
      <c r="D110" s="138"/>
      <c r="E110" s="3249"/>
      <c r="F110" s="3217"/>
      <c r="G110" s="2019" t="s">
        <v>2129</v>
      </c>
      <c r="H110" s="2782">
        <f ca="1">IF(H109="——","——",ROUND(H109*10000/'数据-汇总表'!E3,0))</f>
        <v>13982</v>
      </c>
      <c r="I110" s="138"/>
    </row>
    <row r="111" spans="1:35" ht="18.75" customHeight="1">
      <c r="A111" s="138"/>
      <c r="B111" s="138"/>
      <c r="C111" s="138"/>
      <c r="D111" s="138"/>
      <c r="E111" s="3250" t="str">
        <f>IF(项目基本情况!E9="抵押净值",IF(OR(项目基本情况!E8="已注销",项目基本情况!E8="房地产抵押价值"),"4.抵押净值","5.抵押净值"),"——")</f>
        <v>——</v>
      </c>
      <c r="F111" s="3236"/>
      <c r="G111" s="2019" t="s">
        <v>2127</v>
      </c>
      <c r="H111" s="2822" t="str">
        <f>IF(E111="——","——",N59)</f>
        <v>——</v>
      </c>
      <c r="I111" s="138"/>
    </row>
    <row r="112" spans="1:35" ht="18.75" customHeight="1" thickBot="1">
      <c r="A112" s="138"/>
      <c r="B112" s="138"/>
      <c r="C112" s="138"/>
      <c r="D112" s="138"/>
      <c r="E112" s="3251"/>
      <c r="F112" s="3252"/>
      <c r="G112" s="2022" t="s">
        <v>2129</v>
      </c>
      <c r="H112" s="2826" t="str">
        <f>IF(E111="——","——",N61)</f>
        <v>——</v>
      </c>
      <c r="I112" s="138"/>
    </row>
    <row r="113" spans="1:27" ht="18.75" customHeight="1">
      <c r="A113" s="138"/>
      <c r="B113" s="138"/>
      <c r="C113" s="138"/>
      <c r="D113" s="138"/>
      <c r="E113" s="3259" t="s">
        <v>2135</v>
      </c>
      <c r="F113" s="3259"/>
      <c r="G113" s="3259"/>
      <c r="H113" s="3259"/>
      <c r="I113" s="138"/>
    </row>
    <row r="114" spans="1:27" ht="3.75" customHeight="1">
      <c r="A114" s="1939"/>
      <c r="B114" s="1939"/>
      <c r="C114" s="1939"/>
      <c r="D114" s="1939"/>
      <c r="E114" s="2001"/>
      <c r="F114" s="2001"/>
      <c r="G114" s="2001"/>
      <c r="H114" s="2001"/>
      <c r="I114" s="1939"/>
    </row>
    <row r="115" spans="1:27" ht="18.75" customHeight="1">
      <c r="A115" s="3270" t="s">
        <v>2137</v>
      </c>
      <c r="B115" s="3271"/>
      <c r="C115" s="3271"/>
      <c r="D115" s="3271"/>
      <c r="E115" s="3271"/>
      <c r="F115" s="3271"/>
      <c r="G115" s="3271"/>
      <c r="H115" s="3271"/>
      <c r="I115" s="3272"/>
    </row>
    <row r="116" spans="1:27" ht="27" customHeight="1">
      <c r="A116" s="3224" t="s">
        <v>2138</v>
      </c>
      <c r="B116" s="3228" t="s">
        <v>2139</v>
      </c>
      <c r="C116" s="3228" t="s">
        <v>2140</v>
      </c>
      <c r="D116" s="3234" t="s">
        <v>2141</v>
      </c>
      <c r="E116" s="3235"/>
      <c r="F116" s="3266" t="s">
        <v>2142</v>
      </c>
      <c r="G116" s="3266"/>
      <c r="H116" s="3224" t="s">
        <v>2143</v>
      </c>
      <c r="I116" s="3224"/>
    </row>
    <row r="117" spans="1:27" ht="18.75" customHeight="1">
      <c r="A117" s="3224"/>
      <c r="B117" s="3229"/>
      <c r="C117" s="3229"/>
      <c r="D117" s="2558" t="s">
        <v>2144</v>
      </c>
      <c r="E117" s="2558" t="s">
        <v>2145</v>
      </c>
      <c r="F117" s="2558" t="s">
        <v>2144</v>
      </c>
      <c r="G117" s="2558" t="s">
        <v>2146</v>
      </c>
      <c r="H117" s="2558" t="s">
        <v>2144</v>
      </c>
      <c r="I117" s="2558" t="s">
        <v>2146</v>
      </c>
    </row>
    <row r="118" spans="1:27" ht="24.75" customHeight="1">
      <c r="A118" s="2827" t="str">
        <f>项目基本情况!S2</f>
        <v>北京市北京经济技术开发区东环北路1号工业用房房地产</v>
      </c>
      <c r="B118" s="2558">
        <f>M18</f>
        <v>8640.14</v>
      </c>
      <c r="C118" s="2558">
        <f>M19</f>
        <v>15462.6</v>
      </c>
      <c r="D118" s="2558">
        <f ca="1">ROUND(IF(D32="总价",C34,E118*B118/10000),0)</f>
        <v>6669</v>
      </c>
      <c r="E118" s="2558">
        <f ca="1">ROUND(IF(C33="自定义",IF(D32="楼面单价",C34,D118*10000/B118),I118-G118),0)</f>
        <v>7718</v>
      </c>
      <c r="F118" s="2558">
        <f ca="1">ROUND(IF(D32="总价",C35,G118*B118/10000),0)</f>
        <v>5412</v>
      </c>
      <c r="G118" s="2558">
        <f ca="1">ROUND(IF(D32="楼面单价",C35,F118*10000/B118),0)</f>
        <v>6264</v>
      </c>
      <c r="H118" s="2558">
        <f ca="1">ROUND(IF(D32="总价",C32,I118*B118/10000),0)</f>
        <v>12081</v>
      </c>
      <c r="I118" s="2558">
        <f ca="1">ROUND(IF(D32="楼面单价",C32,H118*10000/B118),0)</f>
        <v>13982</v>
      </c>
    </row>
    <row r="119" spans="1:27" ht="18.75" customHeight="1">
      <c r="A119" s="3224" t="s">
        <v>2147</v>
      </c>
      <c r="B119" s="3224"/>
      <c r="C119" s="3224"/>
      <c r="D119" s="3230" t="str">
        <f ca="1">NUMBERSTRING(INT(D118*10000),2)&amp;"元整"</f>
        <v>陆仟陆佰陆拾玖万元整</v>
      </c>
      <c r="E119" s="3231"/>
      <c r="F119" s="3230" t="str">
        <f ca="1">NUMBERSTRING(INT(F118*10000),2)&amp;"元整"</f>
        <v>伍仟肆佰壹拾贰万元整</v>
      </c>
      <c r="G119" s="3231"/>
      <c r="H119" s="3230" t="str">
        <f ca="1">NUMBERSTRING(INT(H118*10000),2)&amp;"元整"</f>
        <v>壹亿贰仟零捌拾壹万元整</v>
      </c>
      <c r="I119" s="3231"/>
    </row>
    <row r="120" spans="1:27" ht="18.75" customHeight="1">
      <c r="A120" s="3225" t="str">
        <f>IF(项目基本情况!B9="房地产市场价值","",MID(E103,3,LEN(E103)-2))</f>
        <v>估价师知悉的法定优先受偿款</v>
      </c>
      <c r="B120" s="3226"/>
      <c r="C120" s="3227"/>
      <c r="D120" s="3225">
        <f>H103</f>
        <v>0</v>
      </c>
      <c r="E120" s="3226"/>
      <c r="F120" s="3226"/>
      <c r="G120" s="3226"/>
      <c r="H120" s="3226"/>
      <c r="I120" s="3227"/>
      <c r="J120" s="1944"/>
      <c r="K120" s="1944" t="str">
        <f>IF(D120=0,"故，本次评估不存在"&amp;A120,"故，本次评估"&amp;A120&amp;"为人民币"&amp;D120&amp;"万元整。")</f>
        <v>故，本次评估不存在估价师知悉的法定优先受偿款</v>
      </c>
      <c r="L120" s="1944"/>
      <c r="M120" s="1944"/>
      <c r="N120" s="1944"/>
      <c r="O120" s="1944"/>
      <c r="P120" s="1944"/>
      <c r="Q120" s="1944"/>
      <c r="R120" s="1944"/>
      <c r="S120" s="1944"/>
    </row>
    <row r="121" spans="1:27" ht="18.75" customHeight="1">
      <c r="A121" s="3267" t="s">
        <v>2147</v>
      </c>
      <c r="B121" s="3268"/>
      <c r="C121" s="3269"/>
      <c r="D121" s="3230" t="str">
        <f>IF(D120=0,"零元整",NUMBERSTRING(INT(D120*10000),2)&amp;"元整")</f>
        <v>零元整</v>
      </c>
      <c r="E121" s="3232"/>
      <c r="F121" s="3232"/>
      <c r="G121" s="3232"/>
      <c r="H121" s="3232"/>
      <c r="I121" s="3231"/>
      <c r="AA121" s="738"/>
    </row>
    <row r="122" spans="1:27" ht="18.75" customHeight="1">
      <c r="A122" s="3236" t="str">
        <f>IF(项目基本情况!B9="房地产市场价值","",MID(E107,3,LEN(E107)-2))</f>
        <v/>
      </c>
      <c r="B122" s="3236"/>
      <c r="C122" s="3236"/>
      <c r="D122" s="3225" t="str">
        <f>H107</f>
        <v>——</v>
      </c>
      <c r="E122" s="3226"/>
      <c r="F122" s="3226"/>
      <c r="G122" s="3226"/>
      <c r="H122" s="3226"/>
      <c r="I122" s="3227"/>
      <c r="AA122" s="738"/>
    </row>
    <row r="123" spans="1:27" ht="18.75" customHeight="1">
      <c r="A123" s="3224" t="s">
        <v>2147</v>
      </c>
      <c r="B123" s="3224"/>
      <c r="C123" s="3224"/>
      <c r="D123" s="3230" t="e">
        <f>NUMBERSTRING(INT(D122*10000),2)&amp;"元整"</f>
        <v>#VALUE!</v>
      </c>
      <c r="E123" s="3232"/>
      <c r="F123" s="3232"/>
      <c r="G123" s="3232"/>
      <c r="H123" s="3232"/>
      <c r="I123" s="3231"/>
      <c r="AA123" s="738"/>
    </row>
    <row r="124" spans="1:27" ht="18.75" customHeight="1">
      <c r="A124" s="3236" t="str">
        <f>IF(项目基本情况!B9="房地产市场价值","",MID(E109,3,LEN(E109)-2))</f>
        <v>抵押担保权已注销时的房地产抵押价值</v>
      </c>
      <c r="B124" s="3236"/>
      <c r="C124" s="3236"/>
      <c r="D124" s="3225">
        <f ca="1">H109</f>
        <v>12081</v>
      </c>
      <c r="E124" s="3226"/>
      <c r="F124" s="3226"/>
      <c r="G124" s="3226"/>
      <c r="H124" s="3226"/>
      <c r="I124" s="3227"/>
      <c r="AA124" s="738"/>
    </row>
    <row r="125" spans="1:27" ht="18.75" customHeight="1">
      <c r="A125" s="3224" t="s">
        <v>2147</v>
      </c>
      <c r="B125" s="3224"/>
      <c r="C125" s="3224"/>
      <c r="D125" s="3230" t="str">
        <f ca="1">NUMBERSTRING(INT(D124*10000),2)&amp;"元整"</f>
        <v>壹亿贰仟零捌拾壹万元整</v>
      </c>
      <c r="E125" s="3232"/>
      <c r="F125" s="3232"/>
      <c r="G125" s="3232"/>
      <c r="H125" s="3232"/>
      <c r="I125" s="3231"/>
      <c r="AA125" s="738"/>
    </row>
    <row r="126" spans="1:27" ht="18.75" customHeight="1">
      <c r="A126" s="3236" t="str">
        <f>IF(项目基本情况!B9="房地产市场价值","",MID(E111,3,LEN(E111)-2))</f>
        <v/>
      </c>
      <c r="B126" s="3236"/>
      <c r="C126" s="3236"/>
      <c r="D126" s="3225" t="str">
        <f>H111</f>
        <v>——</v>
      </c>
      <c r="E126" s="3226"/>
      <c r="F126" s="3226"/>
      <c r="G126" s="3226"/>
      <c r="H126" s="3226"/>
      <c r="I126" s="3227"/>
      <c r="AA126" s="738"/>
    </row>
    <row r="127" spans="1:27" ht="18.75" customHeight="1">
      <c r="A127" s="3224" t="s">
        <v>2147</v>
      </c>
      <c r="B127" s="3224"/>
      <c r="C127" s="3224"/>
      <c r="D127" s="3230" t="e">
        <f>NUMBERSTRING(INT(D126*10000),2)&amp;"元整"</f>
        <v>#VALUE!</v>
      </c>
      <c r="E127" s="3232"/>
      <c r="F127" s="3232"/>
      <c r="G127" s="3232"/>
      <c r="H127" s="3232"/>
      <c r="I127" s="3231"/>
      <c r="AA127" s="738"/>
    </row>
    <row r="128" spans="1:27" ht="21.75" customHeight="1">
      <c r="A128" s="3233" t="s">
        <v>2148</v>
      </c>
      <c r="B128" s="3233"/>
      <c r="C128" s="3233"/>
      <c r="D128" s="3233"/>
      <c r="E128" s="3233"/>
      <c r="F128" s="3233"/>
      <c r="G128" s="3233"/>
      <c r="H128" s="3233"/>
      <c r="I128" s="3233"/>
      <c r="AA128" s="738"/>
    </row>
    <row r="129" spans="1:35" ht="21.75" customHeight="1">
      <c r="A129" s="2023" t="s">
        <v>2149</v>
      </c>
      <c r="B129" s="2024"/>
      <c r="C129" s="2025" t="s">
        <v>2150</v>
      </c>
      <c r="D129" s="2026"/>
      <c r="E129" s="2026"/>
      <c r="F129" s="2026"/>
      <c r="G129" s="2026"/>
      <c r="H129" s="2027"/>
      <c r="I129" s="2028"/>
      <c r="AA129" s="738"/>
    </row>
    <row r="130" spans="1:35" ht="21.75" customHeight="1">
      <c r="A130" s="2029">
        <v>1</v>
      </c>
      <c r="B130" s="2030"/>
      <c r="C130" s="2030"/>
      <c r="D130" s="2031"/>
      <c r="E130" s="2031"/>
      <c r="F130" s="2031"/>
      <c r="G130" s="2031"/>
      <c r="H130" s="2032"/>
      <c r="I130" s="2033"/>
      <c r="AA130" s="738"/>
    </row>
    <row r="131" spans="1:35" ht="21.75" customHeight="1">
      <c r="A131" s="2029">
        <v>2</v>
      </c>
      <c r="B131" s="2030"/>
      <c r="C131" s="2030"/>
      <c r="D131" s="2031"/>
      <c r="E131" s="2031"/>
      <c r="F131" s="2031"/>
      <c r="G131" s="2031"/>
      <c r="H131" s="2032"/>
      <c r="I131" s="2033"/>
      <c r="AA131" s="738"/>
    </row>
    <row r="132" spans="1:35" ht="21.75" customHeight="1">
      <c r="A132" s="2029">
        <v>3</v>
      </c>
      <c r="B132" s="2030"/>
      <c r="C132" s="2030"/>
      <c r="D132" s="2031"/>
      <c r="E132" s="2031"/>
      <c r="F132" s="2031"/>
      <c r="G132" s="2031"/>
      <c r="H132" s="2032"/>
      <c r="I132" s="2033"/>
      <c r="AA132" s="738"/>
    </row>
    <row r="133" spans="1:35" ht="21.75" customHeight="1">
      <c r="A133" s="2034"/>
      <c r="B133" s="2035"/>
      <c r="C133" s="2035"/>
      <c r="D133" s="2036"/>
      <c r="E133" s="2036"/>
      <c r="F133" s="2036"/>
      <c r="G133" s="2036"/>
      <c r="H133" s="2037"/>
      <c r="I133" s="2038"/>
    </row>
    <row r="134" spans="1:35" ht="21.75" customHeight="1">
      <c r="A134" s="2030"/>
      <c r="B134" s="2030"/>
      <c r="C134" s="2030"/>
      <c r="D134" s="2031"/>
      <c r="E134" s="2031"/>
      <c r="F134" s="2031"/>
      <c r="G134" s="2031"/>
      <c r="H134" s="2032"/>
      <c r="I134" s="738"/>
    </row>
    <row r="135" spans="1:35" ht="21.75" customHeight="1">
      <c r="A135" s="738"/>
      <c r="B135" s="738"/>
      <c r="C135" s="738"/>
      <c r="D135" s="738"/>
      <c r="E135" s="738"/>
      <c r="F135" s="2039" t="s">
        <v>2151</v>
      </c>
      <c r="G135" s="2040"/>
      <c r="H135" s="2040"/>
      <c r="I135" s="2041" t="s">
        <v>2152</v>
      </c>
    </row>
    <row r="136" spans="1:35" ht="21.75" customHeight="1">
      <c r="A136" s="738"/>
      <c r="B136" s="2042" t="s">
        <v>2153</v>
      </c>
      <c r="C136" s="738"/>
      <c r="D136" s="738"/>
      <c r="E136" s="738"/>
      <c r="F136" s="738"/>
      <c r="G136" s="738"/>
      <c r="H136" s="738"/>
      <c r="I136" s="738"/>
    </row>
    <row r="137" spans="1:35" ht="21.75" customHeight="1">
      <c r="A137" s="738"/>
      <c r="B137" s="738"/>
      <c r="C137" s="738"/>
      <c r="D137" s="738"/>
      <c r="E137" s="738"/>
      <c r="F137" s="738"/>
      <c r="G137" s="738"/>
      <c r="H137" s="738"/>
      <c r="I137" s="738"/>
    </row>
    <row r="138" spans="1:35" ht="21.75" customHeight="1">
      <c r="A138" s="738"/>
      <c r="B138" s="2040"/>
      <c r="C138" s="2040"/>
      <c r="D138" s="2040"/>
      <c r="E138" s="2040"/>
      <c r="F138" s="2040"/>
      <c r="G138" s="2040"/>
      <c r="H138" s="2040"/>
      <c r="I138" s="2041" t="s">
        <v>2154</v>
      </c>
    </row>
    <row r="139" spans="1:35" ht="21.75" customHeight="1">
      <c r="A139" s="738"/>
      <c r="B139" s="2042" t="s">
        <v>2155</v>
      </c>
      <c r="C139" s="738"/>
      <c r="D139" s="738"/>
      <c r="E139" s="738"/>
      <c r="F139" s="738"/>
      <c r="G139" s="738"/>
      <c r="H139" s="738"/>
      <c r="I139" s="738"/>
    </row>
    <row r="140" spans="1:35" ht="21.75" customHeight="1">
      <c r="A140" s="738"/>
      <c r="B140" s="2042"/>
      <c r="C140" s="738"/>
      <c r="D140" s="738"/>
      <c r="E140" s="738"/>
      <c r="F140" s="738"/>
      <c r="G140" s="738"/>
      <c r="H140" s="738"/>
      <c r="I140" s="738"/>
    </row>
    <row r="141" spans="1:35" ht="21.75" customHeight="1">
      <c r="A141" s="738"/>
      <c r="B141" s="2040"/>
      <c r="C141" s="2040"/>
      <c r="D141" s="2040"/>
      <c r="E141" s="2040"/>
      <c r="F141" s="2040"/>
      <c r="G141" s="2040"/>
      <c r="H141" s="2040"/>
      <c r="I141" s="2041" t="s">
        <v>2154</v>
      </c>
    </row>
    <row r="142" spans="1:35" ht="21.75" customHeight="1">
      <c r="A142" s="738"/>
      <c r="B142" s="2042"/>
      <c r="C142" s="2043"/>
      <c r="D142" s="2044"/>
      <c r="E142" s="2044"/>
      <c r="F142" s="1933"/>
      <c r="G142" s="738"/>
      <c r="H142" s="738"/>
      <c r="I142" s="738"/>
    </row>
    <row r="143" spans="1:35" s="139" customFormat="1" ht="21.75" customHeight="1">
      <c r="A143" s="738"/>
      <c r="B143" s="2042"/>
      <c r="C143" s="2043"/>
      <c r="D143" s="2044"/>
      <c r="E143" s="2044"/>
      <c r="F143" s="1933"/>
      <c r="G143" s="738"/>
      <c r="H143" s="738"/>
      <c r="I143" s="738"/>
      <c r="J143" s="738"/>
      <c r="K143" s="738"/>
      <c r="L143" s="738"/>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I143" s="738"/>
    </row>
    <row r="144" spans="1:35" s="139" customFormat="1" ht="21.75" customHeight="1">
      <c r="A144" s="738"/>
      <c r="B144" s="738"/>
      <c r="C144" s="738"/>
      <c r="D144" s="738"/>
      <c r="E144" s="738"/>
      <c r="F144" s="738"/>
      <c r="G144" s="738"/>
      <c r="H144" s="738"/>
      <c r="I144" s="738"/>
      <c r="J144" s="738"/>
      <c r="K144" s="738"/>
      <c r="L144" s="738"/>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row>
    <row r="145" spans="1:35" s="139" customFormat="1" ht="21.75" customHeight="1">
      <c r="A145" s="738"/>
      <c r="B145" s="738"/>
      <c r="C145" s="738"/>
      <c r="D145" s="738"/>
      <c r="E145" s="738"/>
      <c r="F145" s="738"/>
      <c r="G145" s="738"/>
      <c r="H145" s="738"/>
      <c r="I145" s="738"/>
      <c r="J145" s="738"/>
      <c r="K145" s="738"/>
      <c r="L145" s="738"/>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row>
    <row r="146" spans="1:35" s="738" customFormat="1" ht="21.75" customHeight="1"/>
    <row r="147" spans="1:35" s="738" customFormat="1" ht="21.75" customHeight="1"/>
    <row r="148" spans="1:35" s="738" customFormat="1" ht="21.75" customHeight="1"/>
    <row r="149" spans="1:35" s="738" customFormat="1" ht="21.75" customHeight="1"/>
    <row r="150" spans="1:35" s="738" customFormat="1" ht="21.75" customHeight="1"/>
    <row r="151" spans="1:35" s="738" customFormat="1" ht="21.75" customHeight="1"/>
    <row r="152" spans="1:35" s="738" customFormat="1" ht="21.75" customHeight="1"/>
    <row r="153" spans="1:35" s="738" customFormat="1" ht="21.75" customHeight="1"/>
    <row r="154" spans="1:35" s="738" customFormat="1" ht="21.75" customHeight="1"/>
    <row r="155" spans="1:35" s="738" customFormat="1" ht="21.75" customHeight="1"/>
    <row r="156" spans="1:35" s="738" customFormat="1" ht="21.75" customHeight="1"/>
    <row r="157" spans="1:35" s="738" customFormat="1" ht="21.75" customHeight="1"/>
    <row r="158" spans="1:35" s="738" customFormat="1" ht="21.75" customHeight="1"/>
    <row r="159" spans="1:35" s="738" customFormat="1" ht="21.75" customHeight="1"/>
    <row r="160" spans="1:35" s="738" customFormat="1" ht="21.75" customHeight="1"/>
    <row r="161" s="738" customFormat="1" ht="21.75" customHeight="1"/>
    <row r="162" s="738" customFormat="1" ht="21.75" customHeight="1"/>
    <row r="163" s="738" customFormat="1" ht="21.75" customHeight="1"/>
    <row r="164" s="738" customFormat="1" ht="21.75" customHeight="1"/>
    <row r="165" s="738" customFormat="1" ht="21.75" customHeight="1"/>
    <row r="166" s="738" customFormat="1" ht="21.75" customHeight="1"/>
    <row r="167" s="738" customFormat="1" ht="21.75" customHeight="1"/>
    <row r="168" s="738" customFormat="1" ht="21.75" customHeight="1"/>
    <row r="169" s="738" customFormat="1" ht="21.75" customHeight="1"/>
    <row r="170" s="738" customFormat="1" ht="21.75" customHeight="1"/>
    <row r="171" s="738" customFormat="1" ht="21.75" customHeight="1"/>
    <row r="172" s="738" customFormat="1" ht="21.75" customHeight="1"/>
    <row r="173" s="738" customFormat="1" ht="21.75" customHeight="1"/>
    <row r="174" s="738" customFormat="1" ht="21.75" customHeight="1"/>
    <row r="175" s="738" customFormat="1" ht="21.75" customHeight="1"/>
    <row r="176" s="738" customFormat="1" ht="21.75" customHeight="1"/>
    <row r="177" s="738" customFormat="1" ht="21.75" customHeight="1"/>
    <row r="178" s="738" customFormat="1" ht="21.75" customHeight="1"/>
    <row r="179" s="738" customFormat="1" ht="21.75" customHeight="1"/>
    <row r="180" s="738" customFormat="1" ht="21.75" customHeight="1"/>
    <row r="181" s="738" customFormat="1" ht="21.75" customHeight="1"/>
    <row r="182" s="738" customFormat="1" ht="21.75" customHeight="1"/>
    <row r="183" s="738" customFormat="1" ht="21.75" customHeight="1"/>
    <row r="184" s="738" customFormat="1" ht="21.75" customHeight="1"/>
    <row r="185" s="738" customFormat="1" ht="21.75" customHeight="1"/>
    <row r="186" s="738" customFormat="1" ht="21.75" customHeight="1"/>
    <row r="187" s="738" customFormat="1" ht="21.75" customHeight="1"/>
    <row r="188" s="738" customFormat="1" ht="21.75" customHeight="1"/>
    <row r="189" s="738" customFormat="1" ht="21.75" customHeight="1"/>
    <row r="190" s="738" customFormat="1" ht="21.75" customHeight="1"/>
    <row r="191" s="738" customFormat="1" ht="21.75" customHeight="1"/>
    <row r="192" s="738" customFormat="1" ht="21.75" customHeight="1"/>
    <row r="193" s="738" customFormat="1" ht="21.75" customHeight="1"/>
    <row r="194" s="738" customFormat="1" ht="21.75" customHeight="1"/>
    <row r="195" s="738" customFormat="1" ht="21.75" customHeight="1"/>
    <row r="196" s="738" customFormat="1" ht="21.75" customHeight="1"/>
    <row r="197" s="738" customFormat="1" ht="21.75" customHeight="1"/>
    <row r="198" s="738" customFormat="1" ht="21.75" customHeight="1"/>
    <row r="199" s="738" customFormat="1" ht="21.75" customHeight="1"/>
    <row r="200" s="738" customFormat="1" ht="21.75" customHeight="1"/>
    <row r="201" s="738" customFormat="1" ht="21.75" customHeight="1"/>
    <row r="202" s="738" customFormat="1" ht="21.75" customHeight="1"/>
    <row r="203" s="738" customFormat="1" ht="21.75" customHeight="1"/>
    <row r="204" s="738" customFormat="1" ht="21.75" customHeight="1"/>
    <row r="205" s="738" customFormat="1" ht="21.75" customHeight="1"/>
    <row r="206" s="738" customFormat="1" ht="21.75" customHeight="1"/>
    <row r="207" s="738" customFormat="1" ht="21.75" customHeight="1"/>
    <row r="208" s="738" customFormat="1" ht="21.75" customHeight="1"/>
    <row r="209" s="738" customFormat="1" ht="21.75" customHeight="1"/>
    <row r="210" s="738" customFormat="1" ht="21.75" customHeight="1"/>
    <row r="211" s="738" customFormat="1" ht="21.75" customHeight="1"/>
    <row r="212" s="738" customFormat="1" ht="21.75" customHeight="1"/>
    <row r="213" s="738" customFormat="1" ht="21.75" customHeight="1"/>
    <row r="214" s="738" customFormat="1" ht="21.75" customHeight="1"/>
    <row r="215" s="738" customFormat="1" ht="21.75" customHeight="1"/>
    <row r="216" s="738" customFormat="1" ht="21.75" customHeight="1"/>
    <row r="217" s="738" customFormat="1" ht="21.75" customHeight="1"/>
    <row r="218" s="738" customFormat="1" ht="21.75" customHeight="1"/>
    <row r="219" s="738" customFormat="1" ht="21.75" customHeight="1"/>
    <row r="220" s="738" customFormat="1" ht="21.75" customHeight="1"/>
    <row r="221" s="738" customFormat="1" ht="21.75" customHeight="1"/>
    <row r="222" s="738" customFormat="1" ht="21.75" customHeight="1"/>
    <row r="223" s="738" customFormat="1" ht="21.75" customHeight="1"/>
    <row r="224" s="738" customFormat="1" ht="21.75" customHeight="1"/>
    <row r="225" s="738" customFormat="1" ht="21.75" customHeight="1"/>
    <row r="226" s="738" customFormat="1" ht="21.75" customHeight="1"/>
    <row r="227" s="738" customFormat="1" ht="21.75" customHeight="1"/>
    <row r="228" s="738" customFormat="1" ht="21.75" customHeight="1"/>
    <row r="229" s="738" customFormat="1" ht="21.75" customHeight="1"/>
    <row r="230" s="738" customFormat="1" ht="21.75" customHeight="1"/>
    <row r="231" s="738" customFormat="1" ht="21.75" customHeight="1"/>
    <row r="232" s="738" customFormat="1" ht="21.75" customHeight="1"/>
    <row r="233" s="738" customFormat="1" ht="21.75" customHeight="1"/>
    <row r="234" s="738" customFormat="1" ht="21.75" customHeight="1"/>
    <row r="235" s="738" customFormat="1" ht="21.75" customHeight="1"/>
    <row r="236" s="738" customFormat="1" ht="21.75" customHeight="1"/>
    <row r="237" s="738" customFormat="1" ht="21.75" customHeight="1"/>
    <row r="238" s="738" customFormat="1" ht="21.75" customHeight="1"/>
    <row r="239" s="738" customFormat="1" ht="21.75" customHeight="1"/>
    <row r="240" s="738" customFormat="1" ht="21.75" customHeight="1"/>
    <row r="241" s="738" customFormat="1" ht="21.75" customHeight="1"/>
    <row r="242" s="738" customFormat="1" ht="21.75" customHeight="1"/>
    <row r="243" s="738" customFormat="1" ht="21.75" customHeight="1"/>
    <row r="244" s="738" customFormat="1" ht="21.75" customHeight="1"/>
    <row r="245" s="738" customFormat="1" ht="21.75" customHeight="1"/>
    <row r="246" s="738" customFormat="1" ht="21.75" customHeight="1"/>
    <row r="247" s="738" customFormat="1" ht="21.75" customHeight="1"/>
    <row r="248" s="738" customFormat="1" ht="21.75" customHeight="1"/>
    <row r="249" s="738" customFormat="1" ht="21.75" customHeight="1"/>
    <row r="250" s="738" customFormat="1" ht="21.75" customHeight="1"/>
    <row r="251" s="738" customFormat="1" ht="21.75" customHeight="1"/>
    <row r="252" s="738" customFormat="1" ht="21.75" customHeight="1"/>
    <row r="253" s="738" customFormat="1" ht="21.75" customHeight="1"/>
    <row r="254" s="738" customFormat="1" ht="21.75" customHeight="1"/>
    <row r="255" s="738" customFormat="1" ht="21.75" customHeight="1"/>
    <row r="256" s="738" customFormat="1" ht="21.75" customHeight="1"/>
    <row r="257" s="738" customFormat="1" ht="21.75" customHeight="1"/>
    <row r="258" s="738" customFormat="1" ht="21.75" customHeight="1"/>
    <row r="259" s="738" customFormat="1" ht="21.75" customHeight="1"/>
    <row r="260" s="738" customFormat="1" ht="21.75" customHeight="1"/>
    <row r="261" s="738" customFormat="1" ht="21.75" customHeight="1"/>
    <row r="262" s="738" customFormat="1" ht="21.75" customHeight="1"/>
    <row r="263" s="738" customFormat="1" ht="21.75" customHeight="1"/>
    <row r="264" s="738" customFormat="1" ht="21.75" customHeight="1"/>
    <row r="265" s="738" customFormat="1" ht="21.75" customHeight="1"/>
    <row r="266" s="738" customFormat="1" ht="21.75" customHeight="1"/>
    <row r="267" s="738" customFormat="1" ht="21.75" customHeight="1"/>
    <row r="268" s="738" customFormat="1" ht="21.75" customHeight="1"/>
    <row r="269" s="738" customFormat="1" ht="21.75" customHeight="1"/>
    <row r="270" s="738" customFormat="1" ht="21.75" customHeight="1"/>
    <row r="271" s="738" customFormat="1" ht="21.75" customHeight="1"/>
    <row r="272" s="738" customFormat="1" ht="21.75" customHeight="1"/>
    <row r="273" s="738" customFormat="1" ht="21.75" customHeight="1"/>
    <row r="274" s="738" customFormat="1" ht="21.75" customHeight="1"/>
    <row r="275" s="738" customFormat="1" ht="21.75" customHeight="1"/>
    <row r="276" s="738" customFormat="1" ht="21.75" customHeight="1"/>
    <row r="277" s="738" customFormat="1" ht="21.75" customHeight="1"/>
    <row r="278" s="738" customFormat="1" ht="21.75" customHeight="1"/>
    <row r="279" s="738" customFormat="1" ht="21.75" customHeight="1"/>
    <row r="280" s="738" customFormat="1" ht="21.75" customHeight="1"/>
    <row r="281" s="738" customFormat="1" ht="21.75" customHeight="1"/>
    <row r="282" s="738" customFormat="1" ht="21.75" customHeight="1"/>
    <row r="283" s="738" customFormat="1" ht="21.75" customHeight="1"/>
    <row r="284" s="738" customFormat="1" ht="21.75" customHeight="1"/>
    <row r="285" s="738" customFormat="1" ht="21.75" customHeight="1"/>
    <row r="286" s="738" customFormat="1" ht="21.75" customHeight="1"/>
    <row r="287" s="738" customFormat="1" ht="21.75" customHeight="1"/>
    <row r="288" s="738" customFormat="1" ht="21.75" customHeight="1"/>
    <row r="289" s="738" customFormat="1" ht="21.75" customHeight="1"/>
    <row r="290" s="738" customFormat="1" ht="21.75" customHeight="1"/>
    <row r="291" s="738" customFormat="1" ht="21.75" customHeight="1"/>
    <row r="292" s="738" customFormat="1" ht="21.75" customHeight="1"/>
    <row r="293" s="738" customFormat="1" ht="21.75" customHeight="1"/>
    <row r="294" s="738" customFormat="1" ht="21.75" customHeight="1"/>
    <row r="295" s="738" customFormat="1" ht="21.75" customHeight="1"/>
    <row r="296" s="738" customFormat="1" ht="21.75" customHeight="1"/>
    <row r="297" s="738" customFormat="1" ht="21.75" customHeight="1"/>
    <row r="298" s="738" customFormat="1" ht="21.75" customHeight="1"/>
    <row r="299" s="738" customFormat="1" ht="21.75" customHeight="1"/>
    <row r="300" s="738" customFormat="1" ht="21.75" customHeight="1"/>
    <row r="301" s="738" customFormat="1" ht="21.75" customHeight="1"/>
    <row r="302" s="738" customFormat="1" ht="21.75" customHeight="1"/>
    <row r="303" s="738" customFormat="1" ht="21.75" customHeight="1"/>
    <row r="304" s="738" customFormat="1" ht="21.75" customHeight="1"/>
    <row r="305" s="738" customFormat="1" ht="21.75" customHeight="1"/>
    <row r="306" s="738" customFormat="1" ht="21.75" customHeight="1"/>
    <row r="307" s="738" customFormat="1" ht="21.75" customHeight="1"/>
    <row r="308" s="738" customFormat="1" ht="21.75" customHeight="1"/>
    <row r="309" s="738" customFormat="1" ht="21.75" customHeight="1"/>
    <row r="310" s="738" customFormat="1" ht="21.75" customHeight="1"/>
    <row r="311" s="738" customFormat="1" ht="21.75" customHeight="1"/>
    <row r="312" s="738" customFormat="1" ht="21.75" customHeight="1"/>
    <row r="313" s="738" customFormat="1" ht="21.75" customHeight="1"/>
    <row r="314" s="738" customFormat="1" ht="21.75" customHeight="1"/>
    <row r="315" s="738" customFormat="1" ht="21.75" customHeight="1"/>
    <row r="316" s="738" customFormat="1" ht="21.75" customHeight="1"/>
    <row r="317" s="738" customFormat="1" ht="21.75" customHeight="1"/>
    <row r="318" s="738" customFormat="1" ht="21.75" customHeight="1"/>
    <row r="319" s="738" customFormat="1" ht="21.75" customHeight="1"/>
    <row r="320" s="738" customFormat="1" ht="21.75" customHeight="1"/>
    <row r="321" s="738" customFormat="1" ht="21.75" customHeight="1"/>
    <row r="322" s="738" customFormat="1" ht="21.75" customHeight="1"/>
    <row r="323" s="738" customFormat="1" ht="21.75" customHeight="1"/>
    <row r="324" s="738" customFormat="1" ht="21.75" customHeight="1"/>
    <row r="325" s="738" customFormat="1" ht="21.75" customHeight="1"/>
    <row r="326" s="738" customFormat="1" ht="21.75" customHeight="1"/>
    <row r="327" s="738" customFormat="1" ht="21.75" customHeight="1"/>
    <row r="328" s="738" customFormat="1" ht="21.75" customHeight="1"/>
    <row r="329" s="738" customFormat="1" ht="21.75" customHeight="1"/>
    <row r="330" s="738" customFormat="1" ht="21.75" customHeight="1"/>
    <row r="331" s="738" customFormat="1" ht="21.75" customHeight="1"/>
    <row r="332" s="738" customFormat="1" ht="21.75" customHeight="1"/>
    <row r="333" s="738" customFormat="1" ht="21.75" customHeight="1"/>
    <row r="334" s="738" customFormat="1" ht="21.75" customHeight="1"/>
    <row r="335" s="738" customFormat="1" ht="21.75" customHeight="1"/>
    <row r="336" s="738" customFormat="1" ht="21.75" customHeight="1"/>
    <row r="337" s="738" customFormat="1" ht="21.75" customHeight="1"/>
    <row r="338" s="738" customFormat="1" ht="21.75" customHeight="1"/>
    <row r="339" s="738" customFormat="1" ht="21.75" customHeight="1"/>
    <row r="340" s="738" customFormat="1" ht="21.75" customHeight="1"/>
    <row r="341" s="738" customFormat="1" ht="21.75" customHeight="1"/>
    <row r="342" s="738" customFormat="1" ht="21.75" customHeight="1"/>
    <row r="343" s="738" customFormat="1" ht="21.75" customHeight="1"/>
    <row r="344" s="738" customFormat="1" ht="21.75" customHeight="1"/>
    <row r="345" s="738" customFormat="1" ht="21.75" customHeight="1"/>
    <row r="346" s="738" customFormat="1" ht="21.75" customHeight="1"/>
    <row r="347" s="738" customFormat="1" ht="21.75" customHeight="1"/>
    <row r="348" s="738" customFormat="1" ht="21.75" customHeight="1"/>
    <row r="349" s="738" customFormat="1" ht="21.75" customHeight="1"/>
    <row r="350" s="738" customFormat="1" ht="21.75" customHeight="1"/>
    <row r="351" s="738" customFormat="1" ht="21.75" customHeight="1"/>
    <row r="352" s="738" customFormat="1" ht="21.75" customHeight="1"/>
    <row r="353" s="738" customFormat="1" ht="21.75" customHeight="1"/>
    <row r="354" s="738" customFormat="1" ht="21.75" customHeight="1"/>
    <row r="355" s="738" customFormat="1" ht="21.75" customHeight="1"/>
    <row r="356" s="738" customFormat="1" ht="21.75" customHeight="1"/>
    <row r="357" s="738" customFormat="1" ht="21.75" customHeight="1"/>
    <row r="358" s="738" customFormat="1" ht="21.75" customHeight="1"/>
    <row r="359" s="738" customFormat="1" ht="21.75" customHeight="1"/>
    <row r="360" s="738" customFormat="1" ht="21.75" customHeight="1"/>
    <row r="361" s="738" customFormat="1" ht="21.75" customHeight="1"/>
    <row r="362" s="738" customFormat="1" ht="21.75" customHeight="1"/>
    <row r="363" s="738" customFormat="1" ht="21.75" customHeight="1"/>
    <row r="364" s="738" customFormat="1" ht="21.75" customHeight="1"/>
    <row r="365" s="738" customFormat="1" ht="21.75" customHeight="1"/>
    <row r="366" s="738" customFormat="1" ht="21.75" customHeight="1"/>
    <row r="367" s="738" customFormat="1" ht="21.75" customHeight="1"/>
    <row r="368" s="738" customFormat="1" ht="21.75" customHeight="1"/>
    <row r="369" s="738" customFormat="1" ht="21.75" customHeight="1"/>
    <row r="370" s="738" customFormat="1" ht="21.75" customHeight="1"/>
    <row r="371" s="738" customFormat="1" ht="21.75" customHeight="1"/>
    <row r="372" s="738" customFormat="1" ht="21.75" customHeight="1"/>
    <row r="373" s="738" customFormat="1" ht="21.75" customHeight="1"/>
    <row r="374" s="738" customFormat="1" ht="21.75" customHeight="1"/>
    <row r="375" s="738" customFormat="1" ht="21.75" customHeight="1"/>
    <row r="376" s="738" customFormat="1" ht="21.75" customHeight="1"/>
    <row r="377" s="738" customFormat="1" ht="21.75" customHeight="1"/>
    <row r="378" s="738" customFormat="1" ht="21.75" customHeight="1"/>
    <row r="379" s="738" customFormat="1" ht="21.75" customHeight="1"/>
    <row r="380" s="738" customFormat="1" ht="21.75" customHeight="1"/>
    <row r="381" s="738" customFormat="1" ht="21.75" customHeight="1"/>
    <row r="382" s="738" customFormat="1" ht="21.75" customHeight="1"/>
    <row r="383" s="738" customFormat="1" ht="21.75" customHeight="1"/>
    <row r="384" s="738" customFormat="1" ht="21.75" customHeight="1"/>
    <row r="385" s="738" customFormat="1" ht="21.75" customHeight="1"/>
    <row r="386" s="738" customFormat="1" ht="21.75" customHeight="1"/>
    <row r="387" s="738" customFormat="1" ht="21.75" customHeight="1"/>
    <row r="388" s="738" customFormat="1" ht="21.75" customHeight="1"/>
    <row r="389" s="738" customFormat="1" ht="21.75" customHeight="1"/>
    <row r="390" s="738" customFormat="1" ht="21.75" customHeight="1"/>
    <row r="391" s="738" customFormat="1" ht="21.75" customHeight="1"/>
    <row r="392" s="738" customFormat="1" ht="21.75" customHeight="1"/>
    <row r="393" s="738" customFormat="1" ht="21.75" customHeight="1"/>
    <row r="394" s="738" customFormat="1" ht="21.75" customHeight="1"/>
    <row r="395" s="738" customFormat="1" ht="21.75" customHeight="1"/>
    <row r="396" s="738" customFormat="1" ht="21.75" customHeight="1"/>
    <row r="397" s="738" customFormat="1" ht="21.75" customHeight="1"/>
    <row r="398" s="738" customFormat="1" ht="21.75" customHeight="1"/>
    <row r="399" s="738" customFormat="1" ht="21.75" customHeight="1"/>
    <row r="400" s="738" customFormat="1" ht="21.75" customHeight="1"/>
    <row r="401" spans="10:26" s="738" customFormat="1" ht="21.75" customHeight="1"/>
    <row r="402" spans="10:26" s="738" customFormat="1" ht="21.75" customHeight="1"/>
    <row r="403" spans="10:26" s="738" customFormat="1" ht="21.75" customHeight="1"/>
    <row r="404" spans="10:26" s="738" customFormat="1" ht="21.75" customHeight="1"/>
    <row r="405" spans="10:26" s="738" customFormat="1" ht="21.75" customHeight="1"/>
    <row r="406" spans="10:26" s="738" customFormat="1" ht="21.75" customHeight="1"/>
    <row r="407" spans="10:26" s="738" customFormat="1" ht="21.75" customHeight="1"/>
    <row r="408" spans="10:26" s="738" customFormat="1" ht="21.75" customHeight="1"/>
    <row r="409" spans="10:26" s="1944" customFormat="1" ht="21.75" customHeight="1">
      <c r="J409" s="738"/>
      <c r="K409" s="738"/>
      <c r="L409" s="738"/>
      <c r="M409" s="738"/>
      <c r="N409" s="738"/>
      <c r="O409" s="738"/>
      <c r="P409" s="738"/>
      <c r="Q409" s="738"/>
      <c r="R409" s="738"/>
      <c r="S409" s="738"/>
      <c r="T409" s="738"/>
      <c r="U409" s="738"/>
      <c r="V409" s="738"/>
      <c r="W409" s="738"/>
      <c r="X409" s="738"/>
      <c r="Y409" s="738"/>
      <c r="Z409" s="738"/>
    </row>
    <row r="410" spans="10:26" s="1944" customFormat="1" ht="21.75" customHeight="1">
      <c r="J410" s="738"/>
      <c r="K410" s="738"/>
      <c r="L410" s="738"/>
      <c r="M410" s="738"/>
      <c r="N410" s="738"/>
      <c r="O410" s="738"/>
      <c r="P410" s="738"/>
      <c r="Q410" s="738"/>
      <c r="R410" s="738"/>
      <c r="S410" s="738"/>
      <c r="T410" s="738"/>
      <c r="U410" s="738"/>
      <c r="V410" s="738"/>
      <c r="W410" s="738"/>
      <c r="X410" s="738"/>
      <c r="Y410" s="738"/>
      <c r="Z410" s="738"/>
    </row>
    <row r="411" spans="10:26" s="1944" customFormat="1" ht="21.75" customHeight="1">
      <c r="J411" s="738"/>
      <c r="K411" s="738"/>
      <c r="L411" s="738"/>
      <c r="M411" s="738"/>
      <c r="N411" s="738"/>
      <c r="O411" s="738"/>
      <c r="P411" s="738"/>
      <c r="Q411" s="738"/>
      <c r="R411" s="738"/>
      <c r="S411" s="738"/>
      <c r="T411" s="738"/>
      <c r="U411" s="738"/>
      <c r="V411" s="738"/>
      <c r="W411" s="738"/>
      <c r="X411" s="738"/>
      <c r="Y411" s="738"/>
      <c r="Z411" s="738"/>
    </row>
    <row r="412" spans="10:26" s="1944" customFormat="1" ht="21.75" customHeight="1">
      <c r="J412" s="738"/>
      <c r="K412" s="738"/>
      <c r="L412" s="738"/>
      <c r="M412" s="738"/>
      <c r="N412" s="738"/>
      <c r="O412" s="738"/>
      <c r="P412" s="738"/>
      <c r="Q412" s="738"/>
      <c r="R412" s="738"/>
      <c r="S412" s="738"/>
      <c r="T412" s="738"/>
      <c r="U412" s="738"/>
      <c r="V412" s="738"/>
      <c r="W412" s="738"/>
      <c r="X412" s="738"/>
      <c r="Y412" s="738"/>
      <c r="Z412" s="738"/>
    </row>
    <row r="413" spans="10:26" s="1944" customFormat="1" ht="21.75" customHeight="1">
      <c r="J413" s="738"/>
      <c r="K413" s="738"/>
      <c r="L413" s="738"/>
      <c r="M413" s="738"/>
      <c r="N413" s="738"/>
      <c r="O413" s="738"/>
      <c r="P413" s="738"/>
      <c r="Q413" s="738"/>
      <c r="R413" s="738"/>
      <c r="S413" s="738"/>
      <c r="T413" s="738"/>
      <c r="U413" s="738"/>
      <c r="V413" s="738"/>
      <c r="W413" s="738"/>
      <c r="X413" s="738"/>
      <c r="Y413" s="738"/>
      <c r="Z413" s="738"/>
    </row>
    <row r="414" spans="10:26" s="1944" customFormat="1" ht="21.75" customHeight="1">
      <c r="J414" s="738"/>
      <c r="K414" s="738"/>
      <c r="L414" s="738"/>
      <c r="M414" s="738"/>
      <c r="N414" s="738"/>
      <c r="O414" s="738"/>
      <c r="P414" s="738"/>
      <c r="Q414" s="738"/>
      <c r="R414" s="738"/>
      <c r="S414" s="738"/>
      <c r="T414" s="738"/>
      <c r="U414" s="738"/>
      <c r="V414" s="738"/>
      <c r="W414" s="738"/>
      <c r="X414" s="738"/>
      <c r="Y414" s="738"/>
      <c r="Z414" s="738"/>
    </row>
    <row r="415" spans="10:26" s="1944" customFormat="1" ht="21.75" customHeight="1">
      <c r="J415" s="738"/>
      <c r="K415" s="738"/>
      <c r="L415" s="738"/>
      <c r="M415" s="738"/>
      <c r="N415" s="738"/>
      <c r="O415" s="738"/>
      <c r="P415" s="738"/>
      <c r="Q415" s="738"/>
      <c r="R415" s="738"/>
      <c r="S415" s="738"/>
      <c r="T415" s="738"/>
      <c r="U415" s="738"/>
      <c r="V415" s="738"/>
      <c r="W415" s="738"/>
      <c r="X415" s="738"/>
      <c r="Y415" s="738"/>
      <c r="Z415" s="738"/>
    </row>
    <row r="416" spans="10:26" s="1944" customFormat="1" ht="21.75" customHeight="1">
      <c r="J416" s="738"/>
      <c r="K416" s="738"/>
      <c r="L416" s="738"/>
      <c r="M416" s="738"/>
      <c r="N416" s="738"/>
      <c r="O416" s="738"/>
      <c r="P416" s="738"/>
      <c r="Q416" s="738"/>
      <c r="R416" s="738"/>
      <c r="S416" s="738"/>
      <c r="T416" s="738"/>
      <c r="U416" s="738"/>
      <c r="V416" s="738"/>
      <c r="W416" s="738"/>
      <c r="X416" s="738"/>
      <c r="Y416" s="738"/>
      <c r="Z416" s="738"/>
    </row>
    <row r="417" spans="10:26" s="1944" customFormat="1" ht="21.75" customHeight="1">
      <c r="J417" s="738"/>
      <c r="K417" s="738"/>
      <c r="L417" s="738"/>
      <c r="M417" s="738"/>
      <c r="N417" s="738"/>
      <c r="O417" s="738"/>
      <c r="P417" s="738"/>
      <c r="Q417" s="738"/>
      <c r="R417" s="738"/>
      <c r="S417" s="738"/>
      <c r="T417" s="738"/>
      <c r="U417" s="738"/>
      <c r="V417" s="738"/>
      <c r="W417" s="738"/>
      <c r="X417" s="738"/>
      <c r="Y417" s="738"/>
      <c r="Z417" s="738"/>
    </row>
    <row r="418" spans="10:26" s="1944" customFormat="1" ht="21.75" customHeight="1">
      <c r="J418" s="738"/>
      <c r="K418" s="738"/>
      <c r="L418" s="738"/>
      <c r="M418" s="738"/>
      <c r="N418" s="738"/>
      <c r="O418" s="738"/>
      <c r="P418" s="738"/>
      <c r="Q418" s="738"/>
      <c r="R418" s="738"/>
      <c r="S418" s="738"/>
      <c r="T418" s="738"/>
      <c r="U418" s="738"/>
      <c r="V418" s="738"/>
      <c r="W418" s="738"/>
      <c r="X418" s="738"/>
      <c r="Y418" s="738"/>
      <c r="Z418" s="738"/>
    </row>
    <row r="419" spans="10:26" s="1944" customFormat="1" ht="21.75" customHeight="1">
      <c r="J419" s="738"/>
      <c r="K419" s="738"/>
      <c r="L419" s="738"/>
      <c r="M419" s="738"/>
      <c r="N419" s="738"/>
      <c r="O419" s="738"/>
      <c r="P419" s="738"/>
      <c r="Q419" s="738"/>
      <c r="R419" s="738"/>
      <c r="S419" s="738"/>
      <c r="T419" s="738"/>
      <c r="U419" s="738"/>
      <c r="V419" s="738"/>
      <c r="W419" s="738"/>
      <c r="X419" s="738"/>
      <c r="Y419" s="738"/>
      <c r="Z419" s="738"/>
    </row>
    <row r="420" spans="10:26" s="1944" customFormat="1" ht="21.75" customHeight="1">
      <c r="J420" s="738"/>
      <c r="K420" s="738"/>
      <c r="L420" s="738"/>
      <c r="M420" s="738"/>
      <c r="N420" s="738"/>
      <c r="O420" s="738"/>
      <c r="P420" s="738"/>
      <c r="Q420" s="738"/>
      <c r="R420" s="738"/>
      <c r="S420" s="738"/>
      <c r="T420" s="738"/>
      <c r="U420" s="738"/>
      <c r="V420" s="738"/>
      <c r="W420" s="738"/>
      <c r="X420" s="738"/>
      <c r="Y420" s="738"/>
      <c r="Z420" s="738"/>
    </row>
    <row r="421" spans="10:26" s="1944" customFormat="1" ht="21.75" customHeight="1">
      <c r="J421" s="738"/>
      <c r="K421" s="738"/>
      <c r="L421" s="738"/>
      <c r="M421" s="738"/>
      <c r="N421" s="738"/>
      <c r="O421" s="738"/>
      <c r="P421" s="738"/>
      <c r="Q421" s="738"/>
      <c r="R421" s="738"/>
      <c r="S421" s="738"/>
      <c r="T421" s="738"/>
      <c r="U421" s="738"/>
      <c r="V421" s="738"/>
      <c r="W421" s="738"/>
      <c r="X421" s="738"/>
      <c r="Y421" s="738"/>
      <c r="Z421" s="738"/>
    </row>
    <row r="422" spans="10:26" s="1944" customFormat="1" ht="21.75" customHeight="1">
      <c r="J422" s="738"/>
      <c r="K422" s="738"/>
      <c r="L422" s="738"/>
      <c r="M422" s="738"/>
      <c r="N422" s="738"/>
      <c r="O422" s="738"/>
      <c r="P422" s="738"/>
      <c r="Q422" s="738"/>
      <c r="R422" s="738"/>
      <c r="S422" s="738"/>
      <c r="T422" s="738"/>
      <c r="U422" s="738"/>
      <c r="V422" s="738"/>
      <c r="W422" s="738"/>
      <c r="X422" s="738"/>
      <c r="Y422" s="738"/>
      <c r="Z422" s="738"/>
    </row>
    <row r="423" spans="10:26" s="1944" customFormat="1" ht="21.75" customHeight="1">
      <c r="J423" s="738"/>
      <c r="K423" s="738"/>
      <c r="L423" s="738"/>
      <c r="M423" s="738"/>
      <c r="N423" s="738"/>
      <c r="O423" s="738"/>
      <c r="P423" s="738"/>
      <c r="Q423" s="738"/>
      <c r="R423" s="738"/>
      <c r="S423" s="738"/>
      <c r="T423" s="738"/>
      <c r="U423" s="738"/>
      <c r="V423" s="738"/>
      <c r="W423" s="738"/>
      <c r="X423" s="738"/>
      <c r="Y423" s="738"/>
      <c r="Z423" s="738"/>
    </row>
    <row r="424" spans="10:26" s="1944" customFormat="1" ht="21.75" customHeight="1">
      <c r="J424" s="738"/>
      <c r="K424" s="738"/>
      <c r="L424" s="738"/>
      <c r="M424" s="738"/>
      <c r="N424" s="738"/>
      <c r="O424" s="738"/>
      <c r="P424" s="738"/>
      <c r="Q424" s="738"/>
      <c r="R424" s="738"/>
      <c r="S424" s="738"/>
      <c r="T424" s="738"/>
      <c r="U424" s="738"/>
      <c r="V424" s="738"/>
      <c r="W424" s="738"/>
      <c r="X424" s="738"/>
      <c r="Y424" s="738"/>
      <c r="Z424" s="738"/>
    </row>
    <row r="425" spans="10:26" s="1944" customFormat="1" ht="21.75" customHeight="1">
      <c r="J425" s="738"/>
      <c r="K425" s="738"/>
      <c r="L425" s="738"/>
      <c r="M425" s="738"/>
      <c r="N425" s="738"/>
      <c r="O425" s="738"/>
      <c r="P425" s="738"/>
      <c r="Q425" s="738"/>
      <c r="R425" s="738"/>
      <c r="S425" s="738"/>
      <c r="T425" s="738"/>
      <c r="U425" s="738"/>
      <c r="V425" s="738"/>
      <c r="W425" s="738"/>
      <c r="X425" s="738"/>
      <c r="Y425" s="738"/>
      <c r="Z425" s="738"/>
    </row>
    <row r="426" spans="10:26" s="1944" customFormat="1" ht="21.75" customHeight="1">
      <c r="J426" s="738"/>
      <c r="K426" s="738"/>
      <c r="L426" s="738"/>
      <c r="M426" s="738"/>
      <c r="N426" s="738"/>
      <c r="O426" s="738"/>
      <c r="P426" s="738"/>
      <c r="Q426" s="738"/>
      <c r="R426" s="738"/>
      <c r="S426" s="738"/>
      <c r="T426" s="738"/>
      <c r="U426" s="738"/>
      <c r="V426" s="738"/>
      <c r="W426" s="738"/>
      <c r="X426" s="738"/>
      <c r="Y426" s="738"/>
      <c r="Z426" s="738"/>
    </row>
    <row r="427" spans="10:26" s="1944" customFormat="1" ht="21.75" customHeight="1">
      <c r="J427" s="738"/>
      <c r="K427" s="738"/>
      <c r="L427" s="738"/>
      <c r="M427" s="738"/>
      <c r="N427" s="738"/>
      <c r="O427" s="738"/>
      <c r="P427" s="738"/>
      <c r="Q427" s="738"/>
      <c r="R427" s="738"/>
      <c r="S427" s="738"/>
      <c r="T427" s="738"/>
      <c r="U427" s="738"/>
      <c r="V427" s="738"/>
      <c r="W427" s="738"/>
      <c r="X427" s="738"/>
      <c r="Y427" s="738"/>
      <c r="Z427" s="738"/>
    </row>
    <row r="428" spans="10:26" s="1944" customFormat="1" ht="21.75" customHeight="1">
      <c r="J428" s="738"/>
      <c r="K428" s="738"/>
      <c r="L428" s="738"/>
      <c r="M428" s="738"/>
      <c r="N428" s="738"/>
      <c r="O428" s="738"/>
      <c r="P428" s="738"/>
      <c r="Q428" s="738"/>
      <c r="R428" s="738"/>
      <c r="S428" s="738"/>
      <c r="T428" s="738"/>
      <c r="U428" s="738"/>
      <c r="V428" s="738"/>
      <c r="W428" s="738"/>
      <c r="X428" s="738"/>
      <c r="Y428" s="738"/>
      <c r="Z428" s="738"/>
    </row>
    <row r="429" spans="10:26" s="1944" customFormat="1" ht="21.75" customHeight="1">
      <c r="J429" s="738"/>
      <c r="K429" s="738"/>
      <c r="L429" s="738"/>
      <c r="M429" s="738"/>
      <c r="N429" s="738"/>
      <c r="O429" s="738"/>
      <c r="P429" s="738"/>
      <c r="Q429" s="738"/>
      <c r="R429" s="738"/>
      <c r="S429" s="738"/>
      <c r="T429" s="738"/>
      <c r="U429" s="738"/>
      <c r="V429" s="738"/>
      <c r="W429" s="738"/>
      <c r="X429" s="738"/>
      <c r="Y429" s="738"/>
      <c r="Z429" s="738"/>
    </row>
    <row r="430" spans="10:26" s="1944" customFormat="1" ht="21.75" customHeight="1">
      <c r="J430" s="738"/>
      <c r="K430" s="738"/>
      <c r="L430" s="738"/>
      <c r="M430" s="738"/>
      <c r="N430" s="738"/>
      <c r="O430" s="738"/>
      <c r="P430" s="738"/>
      <c r="Q430" s="738"/>
      <c r="R430" s="738"/>
      <c r="S430" s="738"/>
      <c r="T430" s="738"/>
      <c r="U430" s="738"/>
      <c r="V430" s="738"/>
      <c r="W430" s="738"/>
      <c r="X430" s="738"/>
      <c r="Y430" s="738"/>
      <c r="Z430" s="738"/>
    </row>
    <row r="431" spans="10:26" s="1944" customFormat="1" ht="21.75" customHeight="1">
      <c r="J431" s="738"/>
      <c r="K431" s="738"/>
      <c r="L431" s="738"/>
      <c r="M431" s="738"/>
      <c r="N431" s="738"/>
      <c r="O431" s="738"/>
      <c r="P431" s="738"/>
      <c r="Q431" s="738"/>
      <c r="R431" s="738"/>
      <c r="S431" s="738"/>
      <c r="T431" s="738"/>
      <c r="U431" s="738"/>
      <c r="V431" s="738"/>
      <c r="W431" s="738"/>
      <c r="X431" s="738"/>
      <c r="Y431" s="738"/>
      <c r="Z431" s="738"/>
    </row>
    <row r="432" spans="10:26" s="1944" customFormat="1" ht="21.75" customHeight="1">
      <c r="J432" s="738"/>
      <c r="K432" s="738"/>
      <c r="L432" s="738"/>
      <c r="M432" s="738"/>
      <c r="N432" s="738"/>
      <c r="O432" s="738"/>
      <c r="P432" s="738"/>
      <c r="Q432" s="738"/>
      <c r="R432" s="738"/>
      <c r="S432" s="738"/>
      <c r="T432" s="738"/>
      <c r="U432" s="738"/>
      <c r="V432" s="738"/>
      <c r="W432" s="738"/>
      <c r="X432" s="738"/>
      <c r="Y432" s="738"/>
      <c r="Z432" s="738"/>
    </row>
    <row r="433" spans="10:26" s="1944" customFormat="1" ht="21.75" customHeight="1">
      <c r="J433" s="738"/>
      <c r="K433" s="738"/>
      <c r="L433" s="738"/>
      <c r="M433" s="738"/>
      <c r="N433" s="738"/>
      <c r="O433" s="738"/>
      <c r="P433" s="738"/>
      <c r="Q433" s="738"/>
      <c r="R433" s="738"/>
      <c r="S433" s="738"/>
      <c r="T433" s="738"/>
      <c r="U433" s="738"/>
      <c r="V433" s="738"/>
      <c r="W433" s="738"/>
      <c r="X433" s="738"/>
      <c r="Y433" s="738"/>
      <c r="Z433" s="738"/>
    </row>
    <row r="434" spans="10:26" s="1944" customFormat="1" ht="21.75" customHeight="1">
      <c r="J434" s="738"/>
      <c r="K434" s="738"/>
      <c r="L434" s="738"/>
      <c r="M434" s="738"/>
      <c r="N434" s="738"/>
      <c r="O434" s="738"/>
      <c r="P434" s="738"/>
      <c r="Q434" s="738"/>
      <c r="R434" s="738"/>
      <c r="S434" s="738"/>
      <c r="T434" s="738"/>
      <c r="U434" s="738"/>
      <c r="V434" s="738"/>
      <c r="W434" s="738"/>
      <c r="X434" s="738"/>
      <c r="Y434" s="738"/>
      <c r="Z434" s="738"/>
    </row>
    <row r="435" spans="10:26" s="1944" customFormat="1" ht="21.75" customHeight="1">
      <c r="J435" s="738"/>
      <c r="K435" s="738"/>
      <c r="L435" s="738"/>
      <c r="M435" s="738"/>
      <c r="N435" s="738"/>
      <c r="O435" s="738"/>
      <c r="P435" s="738"/>
      <c r="Q435" s="738"/>
      <c r="R435" s="738"/>
      <c r="S435" s="738"/>
      <c r="T435" s="738"/>
      <c r="U435" s="738"/>
      <c r="V435" s="738"/>
      <c r="W435" s="738"/>
      <c r="X435" s="738"/>
      <c r="Y435" s="738"/>
      <c r="Z435" s="738"/>
    </row>
    <row r="436" spans="10:26" s="1944" customFormat="1" ht="21.75" customHeight="1">
      <c r="J436" s="738"/>
      <c r="K436" s="738"/>
      <c r="L436" s="738"/>
      <c r="M436" s="738"/>
      <c r="N436" s="738"/>
      <c r="O436" s="738"/>
      <c r="P436" s="738"/>
      <c r="Q436" s="738"/>
      <c r="R436" s="738"/>
      <c r="S436" s="738"/>
      <c r="T436" s="738"/>
      <c r="U436" s="738"/>
      <c r="V436" s="738"/>
      <c r="W436" s="738"/>
      <c r="X436" s="738"/>
      <c r="Y436" s="738"/>
      <c r="Z436" s="738"/>
    </row>
    <row r="437" spans="10:26" s="1944" customFormat="1" ht="21.75" customHeight="1">
      <c r="J437" s="738"/>
      <c r="K437" s="738"/>
      <c r="L437" s="738"/>
      <c r="M437" s="738"/>
      <c r="N437" s="738"/>
      <c r="O437" s="738"/>
      <c r="P437" s="738"/>
      <c r="Q437" s="738"/>
      <c r="R437" s="738"/>
      <c r="S437" s="738"/>
      <c r="T437" s="738"/>
      <c r="U437" s="738"/>
      <c r="V437" s="738"/>
      <c r="W437" s="738"/>
      <c r="X437" s="738"/>
      <c r="Y437" s="738"/>
      <c r="Z437" s="738"/>
    </row>
    <row r="438" spans="10:26" s="1944" customFormat="1" ht="21.75" customHeight="1">
      <c r="J438" s="738"/>
      <c r="K438" s="738"/>
      <c r="L438" s="738"/>
      <c r="M438" s="738"/>
      <c r="N438" s="738"/>
      <c r="O438" s="738"/>
      <c r="P438" s="738"/>
      <c r="Q438" s="738"/>
      <c r="R438" s="738"/>
      <c r="S438" s="738"/>
      <c r="T438" s="738"/>
      <c r="U438" s="738"/>
      <c r="V438" s="738"/>
      <c r="W438" s="738"/>
      <c r="X438" s="738"/>
      <c r="Y438" s="738"/>
      <c r="Z438" s="738"/>
    </row>
    <row r="439" spans="10:26" s="1944" customFormat="1" ht="21.75" customHeight="1">
      <c r="J439" s="738"/>
      <c r="K439" s="738"/>
      <c r="L439" s="738"/>
      <c r="M439" s="738"/>
      <c r="N439" s="738"/>
      <c r="O439" s="738"/>
      <c r="P439" s="738"/>
      <c r="Q439" s="738"/>
      <c r="R439" s="738"/>
      <c r="S439" s="738"/>
      <c r="T439" s="738"/>
      <c r="U439" s="738"/>
      <c r="V439" s="738"/>
      <c r="W439" s="738"/>
      <c r="X439" s="738"/>
      <c r="Y439" s="738"/>
      <c r="Z439" s="738"/>
    </row>
    <row r="440" spans="10:26" s="1944" customFormat="1" ht="21.75" customHeight="1">
      <c r="J440" s="738"/>
      <c r="K440" s="738"/>
      <c r="L440" s="738"/>
      <c r="M440" s="738"/>
      <c r="N440" s="738"/>
      <c r="O440" s="738"/>
      <c r="P440" s="738"/>
      <c r="Q440" s="738"/>
      <c r="R440" s="738"/>
      <c r="S440" s="738"/>
      <c r="T440" s="738"/>
      <c r="U440" s="738"/>
      <c r="V440" s="738"/>
      <c r="W440" s="738"/>
      <c r="X440" s="738"/>
      <c r="Y440" s="738"/>
      <c r="Z440" s="738"/>
    </row>
    <row r="441" spans="10:26" s="1944" customFormat="1" ht="21.75" customHeight="1">
      <c r="J441" s="738"/>
      <c r="K441" s="738"/>
      <c r="L441" s="738"/>
      <c r="M441" s="738"/>
      <c r="N441" s="738"/>
      <c r="O441" s="738"/>
      <c r="P441" s="738"/>
      <c r="Q441" s="738"/>
      <c r="R441" s="738"/>
      <c r="S441" s="738"/>
      <c r="T441" s="738"/>
      <c r="U441" s="738"/>
      <c r="V441" s="738"/>
      <c r="W441" s="738"/>
      <c r="X441" s="738"/>
      <c r="Y441" s="738"/>
      <c r="Z441" s="738"/>
    </row>
    <row r="442" spans="10:26" s="1944" customFormat="1" ht="21.75" customHeight="1">
      <c r="J442" s="738"/>
      <c r="K442" s="738"/>
      <c r="L442" s="738"/>
      <c r="M442" s="738"/>
      <c r="N442" s="738"/>
      <c r="O442" s="738"/>
      <c r="P442" s="738"/>
      <c r="Q442" s="738"/>
      <c r="R442" s="738"/>
      <c r="S442" s="738"/>
      <c r="T442" s="738"/>
      <c r="U442" s="738"/>
      <c r="V442" s="738"/>
      <c r="W442" s="738"/>
      <c r="X442" s="738"/>
      <c r="Y442" s="738"/>
      <c r="Z442" s="738"/>
    </row>
    <row r="443" spans="10:26" s="1944" customFormat="1" ht="21.75" customHeight="1">
      <c r="J443" s="738"/>
      <c r="K443" s="738"/>
      <c r="L443" s="738"/>
      <c r="M443" s="738"/>
      <c r="N443" s="738"/>
      <c r="O443" s="738"/>
      <c r="P443" s="738"/>
      <c r="Q443" s="738"/>
      <c r="R443" s="738"/>
      <c r="S443" s="738"/>
      <c r="T443" s="738"/>
      <c r="U443" s="738"/>
      <c r="V443" s="738"/>
      <c r="W443" s="738"/>
      <c r="X443" s="738"/>
      <c r="Y443" s="738"/>
      <c r="Z443" s="738"/>
    </row>
    <row r="444" spans="10:26" s="1944" customFormat="1" ht="21.75" customHeight="1">
      <c r="J444" s="738"/>
      <c r="K444" s="738"/>
      <c r="L444" s="738"/>
      <c r="M444" s="738"/>
      <c r="N444" s="738"/>
      <c r="O444" s="738"/>
      <c r="P444" s="738"/>
      <c r="Q444" s="738"/>
      <c r="R444" s="738"/>
      <c r="S444" s="738"/>
      <c r="T444" s="738"/>
      <c r="U444" s="738"/>
      <c r="V444" s="738"/>
      <c r="W444" s="738"/>
      <c r="X444" s="738"/>
      <c r="Y444" s="738"/>
      <c r="Z444" s="738"/>
    </row>
    <row r="445" spans="10:26" s="1944" customFormat="1" ht="21.75" customHeight="1">
      <c r="J445" s="738"/>
      <c r="K445" s="738"/>
      <c r="L445" s="738"/>
      <c r="M445" s="738"/>
      <c r="N445" s="738"/>
      <c r="O445" s="738"/>
      <c r="P445" s="738"/>
      <c r="Q445" s="738"/>
      <c r="R445" s="738"/>
      <c r="S445" s="738"/>
      <c r="T445" s="738"/>
      <c r="U445" s="738"/>
      <c r="V445" s="738"/>
      <c r="W445" s="738"/>
      <c r="X445" s="738"/>
      <c r="Y445" s="738"/>
      <c r="Z445" s="738"/>
    </row>
    <row r="446" spans="10:26" s="1944" customFormat="1" ht="21.75" customHeight="1">
      <c r="J446" s="738"/>
      <c r="K446" s="738"/>
      <c r="L446" s="738"/>
      <c r="M446" s="738"/>
      <c r="N446" s="738"/>
      <c r="O446" s="738"/>
      <c r="P446" s="738"/>
      <c r="Q446" s="738"/>
      <c r="R446" s="738"/>
      <c r="S446" s="738"/>
      <c r="T446" s="738"/>
      <c r="U446" s="738"/>
      <c r="V446" s="738"/>
      <c r="W446" s="738"/>
      <c r="X446" s="738"/>
      <c r="Y446" s="738"/>
      <c r="Z446" s="738"/>
    </row>
    <row r="447" spans="10:26" s="1944" customFormat="1" ht="21.75" customHeight="1">
      <c r="J447" s="738"/>
      <c r="K447" s="738"/>
      <c r="L447" s="738"/>
      <c r="M447" s="738"/>
      <c r="N447" s="738"/>
      <c r="O447" s="738"/>
      <c r="P447" s="738"/>
      <c r="Q447" s="738"/>
      <c r="R447" s="738"/>
      <c r="S447" s="738"/>
      <c r="T447" s="738"/>
      <c r="U447" s="738"/>
      <c r="V447" s="738"/>
      <c r="W447" s="738"/>
      <c r="X447" s="738"/>
      <c r="Y447" s="738"/>
      <c r="Z447" s="738"/>
    </row>
    <row r="448" spans="10:26" s="1944" customFormat="1" ht="21.75" customHeight="1">
      <c r="J448" s="738"/>
      <c r="K448" s="738"/>
      <c r="L448" s="738"/>
      <c r="M448" s="738"/>
      <c r="N448" s="738"/>
      <c r="O448" s="738"/>
      <c r="P448" s="738"/>
      <c r="Q448" s="738"/>
      <c r="R448" s="738"/>
      <c r="S448" s="738"/>
      <c r="T448" s="738"/>
      <c r="U448" s="738"/>
      <c r="V448" s="738"/>
      <c r="W448" s="738"/>
      <c r="X448" s="738"/>
      <c r="Y448" s="738"/>
      <c r="Z448" s="738"/>
    </row>
    <row r="449" spans="10:26" s="1944" customFormat="1" ht="21.75" customHeight="1">
      <c r="J449" s="738"/>
      <c r="K449" s="738"/>
      <c r="L449" s="738"/>
      <c r="M449" s="738"/>
      <c r="N449" s="738"/>
      <c r="O449" s="738"/>
      <c r="P449" s="738"/>
      <c r="Q449" s="738"/>
      <c r="R449" s="738"/>
      <c r="S449" s="738"/>
      <c r="T449" s="738"/>
      <c r="U449" s="738"/>
      <c r="V449" s="738"/>
      <c r="W449" s="738"/>
      <c r="X449" s="738"/>
      <c r="Y449" s="738"/>
      <c r="Z449" s="738"/>
    </row>
    <row r="450" spans="10:26" s="1944" customFormat="1" ht="21.75" customHeight="1">
      <c r="J450" s="738"/>
      <c r="K450" s="738"/>
      <c r="L450" s="738"/>
      <c r="M450" s="738"/>
      <c r="N450" s="738"/>
      <c r="O450" s="738"/>
      <c r="P450" s="738"/>
      <c r="Q450" s="738"/>
      <c r="R450" s="738"/>
      <c r="S450" s="738"/>
      <c r="T450" s="738"/>
      <c r="U450" s="738"/>
      <c r="V450" s="738"/>
      <c r="W450" s="738"/>
      <c r="X450" s="738"/>
      <c r="Y450" s="738"/>
      <c r="Z450" s="738"/>
    </row>
    <row r="451" spans="10:26" s="1944" customFormat="1" ht="21.75" customHeight="1">
      <c r="J451" s="738"/>
      <c r="K451" s="738"/>
      <c r="L451" s="738"/>
      <c r="M451" s="738"/>
      <c r="N451" s="738"/>
      <c r="O451" s="738"/>
      <c r="P451" s="738"/>
      <c r="Q451" s="738"/>
      <c r="R451" s="738"/>
      <c r="S451" s="738"/>
      <c r="T451" s="738"/>
      <c r="U451" s="738"/>
      <c r="V451" s="738"/>
      <c r="W451" s="738"/>
      <c r="X451" s="738"/>
      <c r="Y451" s="738"/>
      <c r="Z451" s="738"/>
    </row>
    <row r="452" spans="10:26" s="1944" customFormat="1" ht="21.75" customHeight="1">
      <c r="J452" s="738"/>
      <c r="K452" s="738"/>
      <c r="L452" s="738"/>
      <c r="M452" s="738"/>
      <c r="N452" s="738"/>
      <c r="O452" s="738"/>
      <c r="P452" s="738"/>
      <c r="Q452" s="738"/>
      <c r="R452" s="738"/>
      <c r="S452" s="738"/>
      <c r="T452" s="738"/>
      <c r="U452" s="738"/>
      <c r="V452" s="738"/>
      <c r="W452" s="738"/>
      <c r="X452" s="738"/>
      <c r="Y452" s="738"/>
      <c r="Z452" s="738"/>
    </row>
    <row r="453" spans="10:26" s="1944" customFormat="1" ht="21.75" customHeight="1">
      <c r="J453" s="738"/>
      <c r="K453" s="738"/>
      <c r="L453" s="738"/>
      <c r="M453" s="738"/>
      <c r="N453" s="738"/>
      <c r="O453" s="738"/>
      <c r="P453" s="738"/>
      <c r="Q453" s="738"/>
      <c r="R453" s="738"/>
      <c r="S453" s="738"/>
      <c r="T453" s="738"/>
      <c r="U453" s="738"/>
      <c r="V453" s="738"/>
      <c r="W453" s="738"/>
      <c r="X453" s="738"/>
      <c r="Y453" s="738"/>
      <c r="Z453" s="738"/>
    </row>
    <row r="454" spans="10:26" s="1944" customFormat="1" ht="21.75" customHeight="1">
      <c r="J454" s="738"/>
      <c r="K454" s="738"/>
      <c r="L454" s="738"/>
      <c r="M454" s="738"/>
      <c r="N454" s="738"/>
      <c r="O454" s="738"/>
      <c r="P454" s="738"/>
      <c r="Q454" s="738"/>
      <c r="R454" s="738"/>
      <c r="S454" s="738"/>
      <c r="T454" s="738"/>
      <c r="U454" s="738"/>
      <c r="V454" s="738"/>
      <c r="W454" s="738"/>
      <c r="X454" s="738"/>
      <c r="Y454" s="738"/>
      <c r="Z454" s="738"/>
    </row>
    <row r="455" spans="10:26" s="1944" customFormat="1" ht="21.75" customHeight="1">
      <c r="J455" s="738"/>
      <c r="K455" s="738"/>
      <c r="L455" s="738"/>
      <c r="M455" s="738"/>
      <c r="N455" s="738"/>
      <c r="O455" s="738"/>
      <c r="P455" s="738"/>
      <c r="Q455" s="738"/>
      <c r="R455" s="738"/>
      <c r="S455" s="738"/>
      <c r="T455" s="738"/>
      <c r="U455" s="738"/>
      <c r="V455" s="738"/>
      <c r="W455" s="738"/>
      <c r="X455" s="738"/>
      <c r="Y455" s="738"/>
      <c r="Z455" s="738"/>
    </row>
    <row r="456" spans="10:26" s="1944" customFormat="1" ht="21.75" customHeight="1">
      <c r="J456" s="738"/>
      <c r="K456" s="738"/>
      <c r="L456" s="738"/>
      <c r="M456" s="738"/>
      <c r="N456" s="738"/>
      <c r="O456" s="738"/>
      <c r="P456" s="738"/>
      <c r="Q456" s="738"/>
      <c r="R456" s="738"/>
      <c r="S456" s="738"/>
      <c r="T456" s="738"/>
      <c r="U456" s="738"/>
      <c r="V456" s="738"/>
      <c r="W456" s="738"/>
      <c r="X456" s="738"/>
      <c r="Y456" s="738"/>
      <c r="Z456" s="738"/>
    </row>
    <row r="457" spans="10:26" s="1944" customFormat="1" ht="21.75" customHeight="1">
      <c r="J457" s="738"/>
      <c r="K457" s="738"/>
      <c r="L457" s="738"/>
      <c r="M457" s="738"/>
      <c r="N457" s="738"/>
      <c r="O457" s="738"/>
      <c r="P457" s="738"/>
      <c r="Q457" s="738"/>
      <c r="R457" s="738"/>
      <c r="S457" s="738"/>
      <c r="T457" s="738"/>
      <c r="U457" s="738"/>
      <c r="V457" s="738"/>
      <c r="W457" s="738"/>
      <c r="X457" s="738"/>
      <c r="Y457" s="738"/>
      <c r="Z457" s="738"/>
    </row>
    <row r="458" spans="10:26" s="1944" customFormat="1" ht="21.75" customHeight="1">
      <c r="J458" s="738"/>
      <c r="K458" s="738"/>
      <c r="L458" s="738"/>
      <c r="M458" s="738"/>
      <c r="N458" s="738"/>
      <c r="O458" s="738"/>
      <c r="P458" s="738"/>
      <c r="Q458" s="738"/>
      <c r="R458" s="738"/>
      <c r="S458" s="738"/>
      <c r="T458" s="738"/>
      <c r="U458" s="738"/>
      <c r="V458" s="738"/>
      <c r="W458" s="738"/>
      <c r="X458" s="738"/>
      <c r="Y458" s="738"/>
      <c r="Z458" s="738"/>
    </row>
    <row r="459" spans="10:26" s="1944" customFormat="1" ht="21.75" customHeight="1">
      <c r="J459" s="738"/>
      <c r="K459" s="738"/>
      <c r="L459" s="738"/>
      <c r="M459" s="738"/>
      <c r="N459" s="738"/>
      <c r="O459" s="738"/>
      <c r="P459" s="738"/>
      <c r="Q459" s="738"/>
      <c r="R459" s="738"/>
      <c r="S459" s="738"/>
      <c r="T459" s="738"/>
      <c r="U459" s="738"/>
      <c r="V459" s="738"/>
      <c r="W459" s="738"/>
      <c r="X459" s="738"/>
      <c r="Y459" s="738"/>
      <c r="Z459" s="738"/>
    </row>
    <row r="460" spans="10:26" s="1944" customFormat="1" ht="21.75" customHeight="1">
      <c r="J460" s="738"/>
      <c r="K460" s="738"/>
      <c r="L460" s="738"/>
      <c r="M460" s="738"/>
      <c r="N460" s="738"/>
      <c r="O460" s="738"/>
      <c r="P460" s="738"/>
      <c r="Q460" s="738"/>
      <c r="R460" s="738"/>
      <c r="S460" s="738"/>
      <c r="T460" s="738"/>
      <c r="U460" s="738"/>
      <c r="V460" s="738"/>
      <c r="W460" s="738"/>
      <c r="X460" s="738"/>
      <c r="Y460" s="738"/>
      <c r="Z460" s="738"/>
    </row>
    <row r="461" spans="10:26" s="1944" customFormat="1" ht="21.75" customHeight="1">
      <c r="J461" s="738"/>
      <c r="K461" s="738"/>
      <c r="L461" s="738"/>
      <c r="M461" s="738"/>
      <c r="N461" s="738"/>
      <c r="O461" s="738"/>
      <c r="P461" s="738"/>
      <c r="Q461" s="738"/>
      <c r="R461" s="738"/>
      <c r="S461" s="738"/>
      <c r="T461" s="738"/>
      <c r="U461" s="738"/>
      <c r="V461" s="738"/>
      <c r="W461" s="738"/>
      <c r="X461" s="738"/>
      <c r="Y461" s="738"/>
      <c r="Z461" s="738"/>
    </row>
    <row r="462" spans="10:26" s="1944" customFormat="1" ht="21.75" customHeight="1">
      <c r="J462" s="738"/>
      <c r="K462" s="738"/>
      <c r="L462" s="738"/>
      <c r="M462" s="738"/>
      <c r="N462" s="738"/>
      <c r="O462" s="738"/>
      <c r="P462" s="738"/>
      <c r="Q462" s="738"/>
      <c r="R462" s="738"/>
      <c r="S462" s="738"/>
      <c r="T462" s="738"/>
      <c r="U462" s="738"/>
      <c r="V462" s="738"/>
      <c r="W462" s="738"/>
      <c r="X462" s="738"/>
      <c r="Y462" s="738"/>
      <c r="Z462" s="738"/>
    </row>
    <row r="463" spans="10:26" s="1944" customFormat="1" ht="21.75" customHeight="1">
      <c r="J463" s="738"/>
      <c r="K463" s="738"/>
      <c r="L463" s="738"/>
      <c r="M463" s="738"/>
      <c r="N463" s="738"/>
      <c r="O463" s="738"/>
      <c r="P463" s="738"/>
      <c r="Q463" s="738"/>
      <c r="R463" s="738"/>
      <c r="S463" s="738"/>
      <c r="T463" s="738"/>
      <c r="U463" s="738"/>
      <c r="V463" s="738"/>
      <c r="W463" s="738"/>
      <c r="X463" s="738"/>
      <c r="Y463" s="738"/>
      <c r="Z463" s="738"/>
    </row>
    <row r="464" spans="10:26" s="1944" customFormat="1" ht="21.75" customHeight="1">
      <c r="J464" s="738"/>
      <c r="K464" s="738"/>
      <c r="L464" s="738"/>
      <c r="M464" s="738"/>
      <c r="N464" s="738"/>
      <c r="O464" s="738"/>
      <c r="P464" s="738"/>
      <c r="Q464" s="738"/>
      <c r="R464" s="738"/>
      <c r="S464" s="738"/>
      <c r="T464" s="738"/>
      <c r="U464" s="738"/>
      <c r="V464" s="738"/>
      <c r="W464" s="738"/>
      <c r="X464" s="738"/>
      <c r="Y464" s="738"/>
      <c r="Z464" s="738"/>
    </row>
    <row r="465" spans="10:26" s="1944" customFormat="1" ht="21.75" customHeight="1">
      <c r="J465" s="738"/>
      <c r="K465" s="738"/>
      <c r="L465" s="738"/>
      <c r="M465" s="738"/>
      <c r="N465" s="738"/>
      <c r="O465" s="738"/>
      <c r="P465" s="738"/>
      <c r="Q465" s="738"/>
      <c r="R465" s="738"/>
      <c r="S465" s="738"/>
      <c r="T465" s="738"/>
      <c r="U465" s="738"/>
      <c r="V465" s="738"/>
      <c r="W465" s="738"/>
      <c r="X465" s="738"/>
      <c r="Y465" s="738"/>
      <c r="Z465" s="738"/>
    </row>
    <row r="466" spans="10:26" s="1944" customFormat="1" ht="21.75" customHeight="1">
      <c r="J466" s="738"/>
      <c r="K466" s="738"/>
      <c r="L466" s="738"/>
      <c r="M466" s="738"/>
      <c r="N466" s="738"/>
      <c r="O466" s="738"/>
      <c r="P466" s="738"/>
      <c r="Q466" s="738"/>
      <c r="R466" s="738"/>
      <c r="S466" s="738"/>
      <c r="T466" s="738"/>
      <c r="U466" s="738"/>
      <c r="V466" s="738"/>
      <c r="W466" s="738"/>
      <c r="X466" s="738"/>
      <c r="Y466" s="738"/>
      <c r="Z466" s="738"/>
    </row>
    <row r="467" spans="10:26" s="1944" customFormat="1" ht="21.75" customHeight="1">
      <c r="J467" s="738"/>
      <c r="K467" s="738"/>
      <c r="L467" s="738"/>
      <c r="M467" s="738"/>
      <c r="N467" s="738"/>
      <c r="O467" s="738"/>
      <c r="P467" s="738"/>
      <c r="Q467" s="738"/>
      <c r="R467" s="738"/>
      <c r="S467" s="738"/>
      <c r="T467" s="738"/>
      <c r="U467" s="738"/>
      <c r="V467" s="738"/>
      <c r="W467" s="738"/>
      <c r="X467" s="738"/>
      <c r="Y467" s="738"/>
      <c r="Z467" s="738"/>
    </row>
    <row r="468" spans="10:26" s="1944" customFormat="1" ht="21.75" customHeight="1">
      <c r="J468" s="738"/>
      <c r="K468" s="738"/>
      <c r="L468" s="738"/>
      <c r="M468" s="738"/>
      <c r="N468" s="738"/>
      <c r="O468" s="738"/>
      <c r="P468" s="738"/>
      <c r="Q468" s="738"/>
      <c r="R468" s="738"/>
      <c r="S468" s="738"/>
      <c r="T468" s="738"/>
      <c r="U468" s="738"/>
      <c r="V468" s="738"/>
      <c r="W468" s="738"/>
      <c r="X468" s="738"/>
      <c r="Y468" s="738"/>
      <c r="Z468" s="738"/>
    </row>
    <row r="469" spans="10:26" s="1944" customFormat="1" ht="21.75" customHeight="1">
      <c r="J469" s="738"/>
      <c r="K469" s="738"/>
      <c r="L469" s="738"/>
      <c r="M469" s="738"/>
      <c r="N469" s="738"/>
      <c r="O469" s="738"/>
      <c r="P469" s="738"/>
      <c r="Q469" s="738"/>
      <c r="R469" s="738"/>
      <c r="S469" s="738"/>
      <c r="T469" s="738"/>
      <c r="U469" s="738"/>
      <c r="V469" s="738"/>
      <c r="W469" s="738"/>
      <c r="X469" s="738"/>
      <c r="Y469" s="738"/>
      <c r="Z469" s="738"/>
    </row>
    <row r="470" spans="10:26" s="1944" customFormat="1" ht="21.75" customHeight="1">
      <c r="J470" s="738"/>
      <c r="K470" s="738"/>
      <c r="L470" s="738"/>
      <c r="M470" s="738"/>
      <c r="N470" s="738"/>
      <c r="O470" s="738"/>
      <c r="P470" s="738"/>
      <c r="Q470" s="738"/>
      <c r="R470" s="738"/>
      <c r="S470" s="738"/>
      <c r="T470" s="738"/>
      <c r="U470" s="738"/>
      <c r="V470" s="738"/>
      <c r="W470" s="738"/>
      <c r="X470" s="738"/>
      <c r="Y470" s="738"/>
      <c r="Z470" s="738"/>
    </row>
    <row r="471" spans="10:26" s="1944" customFormat="1" ht="21.75" customHeight="1">
      <c r="J471" s="738"/>
      <c r="K471" s="738"/>
      <c r="L471" s="738"/>
      <c r="M471" s="738"/>
      <c r="N471" s="738"/>
      <c r="O471" s="738"/>
      <c r="P471" s="738"/>
      <c r="Q471" s="738"/>
      <c r="R471" s="738"/>
      <c r="S471" s="738"/>
      <c r="T471" s="738"/>
      <c r="U471" s="738"/>
      <c r="V471" s="738"/>
      <c r="W471" s="738"/>
      <c r="X471" s="738"/>
      <c r="Y471" s="738"/>
      <c r="Z471" s="738"/>
    </row>
    <row r="472" spans="10:26" s="1944" customFormat="1" ht="21.75" customHeight="1">
      <c r="J472" s="738"/>
      <c r="K472" s="738"/>
      <c r="L472" s="738"/>
      <c r="M472" s="738"/>
      <c r="N472" s="738"/>
      <c r="O472" s="738"/>
      <c r="P472" s="738"/>
      <c r="Q472" s="738"/>
      <c r="R472" s="738"/>
      <c r="S472" s="738"/>
      <c r="T472" s="738"/>
      <c r="U472" s="738"/>
      <c r="V472" s="738"/>
      <c r="W472" s="738"/>
      <c r="X472" s="738"/>
      <c r="Y472" s="738"/>
      <c r="Z472" s="738"/>
    </row>
    <row r="473" spans="10:26" s="1944" customFormat="1" ht="21.75" customHeight="1">
      <c r="J473" s="738"/>
      <c r="K473" s="738"/>
      <c r="L473" s="738"/>
      <c r="M473" s="738"/>
      <c r="N473" s="738"/>
      <c r="O473" s="738"/>
      <c r="P473" s="738"/>
      <c r="Q473" s="738"/>
      <c r="R473" s="738"/>
      <c r="S473" s="738"/>
      <c r="T473" s="738"/>
      <c r="U473" s="738"/>
      <c r="V473" s="738"/>
      <c r="W473" s="738"/>
      <c r="X473" s="738"/>
      <c r="Y473" s="738"/>
      <c r="Z473" s="738"/>
    </row>
    <row r="474" spans="10:26" s="1944" customFormat="1" ht="21.75" customHeight="1">
      <c r="J474" s="738"/>
      <c r="K474" s="738"/>
      <c r="L474" s="738"/>
      <c r="M474" s="738"/>
      <c r="N474" s="738"/>
      <c r="O474" s="738"/>
      <c r="P474" s="738"/>
      <c r="Q474" s="738"/>
      <c r="R474" s="738"/>
      <c r="S474" s="738"/>
      <c r="T474" s="738"/>
      <c r="U474" s="738"/>
      <c r="V474" s="738"/>
      <c r="W474" s="738"/>
      <c r="X474" s="738"/>
      <c r="Y474" s="738"/>
      <c r="Z474" s="738"/>
    </row>
    <row r="475" spans="10:26" s="1944" customFormat="1" ht="21.75" customHeight="1">
      <c r="J475" s="738"/>
      <c r="K475" s="738"/>
      <c r="L475" s="738"/>
      <c r="M475" s="738"/>
      <c r="N475" s="738"/>
      <c r="O475" s="738"/>
      <c r="P475" s="738"/>
      <c r="Q475" s="738"/>
      <c r="R475" s="738"/>
      <c r="S475" s="738"/>
      <c r="T475" s="738"/>
      <c r="U475" s="738"/>
      <c r="V475" s="738"/>
      <c r="W475" s="738"/>
      <c r="X475" s="738"/>
      <c r="Y475" s="738"/>
      <c r="Z475" s="738"/>
    </row>
    <row r="476" spans="10:26" s="1944" customFormat="1" ht="21.75" customHeight="1">
      <c r="J476" s="738"/>
      <c r="K476" s="738"/>
      <c r="L476" s="738"/>
      <c r="M476" s="738"/>
      <c r="N476" s="738"/>
      <c r="O476" s="738"/>
      <c r="P476" s="738"/>
      <c r="Q476" s="738"/>
      <c r="R476" s="738"/>
      <c r="S476" s="738"/>
      <c r="T476" s="738"/>
      <c r="U476" s="738"/>
      <c r="V476" s="738"/>
      <c r="W476" s="738"/>
      <c r="X476" s="738"/>
      <c r="Y476" s="738"/>
      <c r="Z476" s="738"/>
    </row>
    <row r="477" spans="10:26" s="1944" customFormat="1" ht="21.75" customHeight="1">
      <c r="J477" s="738"/>
      <c r="K477" s="738"/>
      <c r="L477" s="738"/>
      <c r="M477" s="738"/>
      <c r="N477" s="738"/>
      <c r="O477" s="738"/>
      <c r="P477" s="738"/>
      <c r="Q477" s="738"/>
      <c r="R477" s="738"/>
      <c r="S477" s="738"/>
      <c r="T477" s="738"/>
      <c r="U477" s="738"/>
      <c r="V477" s="738"/>
      <c r="W477" s="738"/>
      <c r="X477" s="738"/>
      <c r="Y477" s="738"/>
      <c r="Z477" s="738"/>
    </row>
    <row r="478" spans="10:26" s="1944" customFormat="1" ht="21.75" customHeight="1">
      <c r="J478" s="738"/>
      <c r="K478" s="738"/>
      <c r="L478" s="738"/>
      <c r="M478" s="738"/>
      <c r="N478" s="738"/>
      <c r="O478" s="738"/>
      <c r="P478" s="738"/>
      <c r="Q478" s="738"/>
      <c r="R478" s="738"/>
      <c r="S478" s="738"/>
      <c r="T478" s="738"/>
      <c r="U478" s="738"/>
      <c r="V478" s="738"/>
      <c r="W478" s="738"/>
      <c r="X478" s="738"/>
      <c r="Y478" s="738"/>
      <c r="Z478" s="738"/>
    </row>
    <row r="479" spans="10:26" s="1944" customFormat="1" ht="21.75" customHeight="1">
      <c r="J479" s="738"/>
      <c r="K479" s="738"/>
      <c r="L479" s="738"/>
      <c r="M479" s="738"/>
      <c r="N479" s="738"/>
      <c r="O479" s="738"/>
      <c r="P479" s="738"/>
      <c r="Q479" s="738"/>
      <c r="R479" s="738"/>
      <c r="S479" s="738"/>
      <c r="T479" s="738"/>
      <c r="U479" s="738"/>
      <c r="V479" s="738"/>
      <c r="W479" s="738"/>
      <c r="X479" s="738"/>
      <c r="Y479" s="738"/>
      <c r="Z479" s="738"/>
    </row>
    <row r="480" spans="10:26" s="1944" customFormat="1" ht="21.75" customHeight="1">
      <c r="J480" s="738"/>
      <c r="K480" s="738"/>
      <c r="L480" s="738"/>
      <c r="M480" s="738"/>
      <c r="N480" s="738"/>
      <c r="O480" s="738"/>
      <c r="P480" s="738"/>
      <c r="Q480" s="738"/>
      <c r="R480" s="738"/>
      <c r="S480" s="738"/>
      <c r="T480" s="738"/>
      <c r="U480" s="738"/>
      <c r="V480" s="738"/>
      <c r="W480" s="738"/>
      <c r="X480" s="738"/>
      <c r="Y480" s="738"/>
      <c r="Z480" s="738"/>
    </row>
    <row r="481" spans="10:26" s="1944" customFormat="1" ht="21.75" customHeight="1">
      <c r="J481" s="738"/>
      <c r="K481" s="738"/>
      <c r="L481" s="738"/>
      <c r="M481" s="738"/>
      <c r="N481" s="738"/>
      <c r="O481" s="738"/>
      <c r="P481" s="738"/>
      <c r="Q481" s="738"/>
      <c r="R481" s="738"/>
      <c r="S481" s="738"/>
      <c r="T481" s="738"/>
      <c r="U481" s="738"/>
      <c r="V481" s="738"/>
      <c r="W481" s="738"/>
      <c r="X481" s="738"/>
      <c r="Y481" s="738"/>
      <c r="Z481" s="738"/>
    </row>
    <row r="482" spans="10:26" s="1944" customFormat="1" ht="21.75" customHeight="1">
      <c r="J482" s="738"/>
      <c r="K482" s="738"/>
      <c r="L482" s="738"/>
      <c r="M482" s="738"/>
      <c r="N482" s="738"/>
      <c r="O482" s="738"/>
      <c r="P482" s="738"/>
      <c r="Q482" s="738"/>
      <c r="R482" s="738"/>
      <c r="S482" s="738"/>
      <c r="T482" s="738"/>
      <c r="U482" s="738"/>
      <c r="V482" s="738"/>
      <c r="W482" s="738"/>
      <c r="X482" s="738"/>
      <c r="Y482" s="738"/>
      <c r="Z482" s="738"/>
    </row>
    <row r="483" spans="10:26" s="1944" customFormat="1" ht="21.75" customHeight="1">
      <c r="J483" s="738"/>
      <c r="K483" s="738"/>
      <c r="L483" s="738"/>
      <c r="M483" s="738"/>
      <c r="N483" s="738"/>
      <c r="O483" s="738"/>
      <c r="P483" s="738"/>
      <c r="Q483" s="738"/>
      <c r="R483" s="738"/>
      <c r="S483" s="738"/>
      <c r="T483" s="738"/>
      <c r="U483" s="738"/>
      <c r="V483" s="738"/>
      <c r="W483" s="738"/>
      <c r="X483" s="738"/>
      <c r="Y483" s="738"/>
      <c r="Z483" s="738"/>
    </row>
    <row r="484" spans="10:26" s="1944" customFormat="1" ht="21.75" customHeight="1">
      <c r="J484" s="738"/>
      <c r="K484" s="738"/>
      <c r="L484" s="738"/>
      <c r="M484" s="738"/>
      <c r="N484" s="738"/>
      <c r="O484" s="738"/>
      <c r="P484" s="738"/>
      <c r="Q484" s="738"/>
      <c r="R484" s="738"/>
      <c r="S484" s="738"/>
      <c r="T484" s="738"/>
      <c r="U484" s="738"/>
      <c r="V484" s="738"/>
      <c r="W484" s="738"/>
      <c r="X484" s="738"/>
      <c r="Y484" s="738"/>
      <c r="Z484" s="738"/>
    </row>
    <row r="485" spans="10:26" s="1944" customFormat="1" ht="21.75" customHeight="1">
      <c r="J485" s="738"/>
      <c r="K485" s="738"/>
      <c r="L485" s="738"/>
      <c r="M485" s="738"/>
      <c r="N485" s="738"/>
      <c r="O485" s="738"/>
      <c r="P485" s="738"/>
      <c r="Q485" s="738"/>
      <c r="R485" s="738"/>
      <c r="S485" s="738"/>
      <c r="T485" s="738"/>
      <c r="U485" s="738"/>
      <c r="V485" s="738"/>
      <c r="W485" s="738"/>
      <c r="X485" s="738"/>
      <c r="Y485" s="738"/>
      <c r="Z485" s="738"/>
    </row>
    <row r="486" spans="10:26" s="1944" customFormat="1" ht="21.75" customHeight="1">
      <c r="J486" s="738"/>
      <c r="K486" s="738"/>
      <c r="L486" s="738"/>
      <c r="M486" s="738"/>
      <c r="N486" s="738"/>
      <c r="O486" s="738"/>
      <c r="P486" s="738"/>
      <c r="Q486" s="738"/>
      <c r="R486" s="738"/>
      <c r="S486" s="738"/>
      <c r="T486" s="738"/>
      <c r="U486" s="738"/>
      <c r="V486" s="738"/>
      <c r="W486" s="738"/>
      <c r="X486" s="738"/>
      <c r="Y486" s="738"/>
      <c r="Z486" s="738"/>
    </row>
    <row r="487" spans="10:26" s="1944" customFormat="1" ht="21.75" customHeight="1">
      <c r="J487" s="738"/>
      <c r="K487" s="738"/>
      <c r="L487" s="738"/>
      <c r="M487" s="738"/>
      <c r="N487" s="738"/>
      <c r="O487" s="738"/>
      <c r="P487" s="738"/>
      <c r="Q487" s="738"/>
      <c r="R487" s="738"/>
      <c r="S487" s="738"/>
      <c r="T487" s="738"/>
      <c r="U487" s="738"/>
      <c r="V487" s="738"/>
      <c r="W487" s="738"/>
      <c r="X487" s="738"/>
      <c r="Y487" s="738"/>
      <c r="Z487" s="738"/>
    </row>
    <row r="488" spans="10:26" s="1944" customFormat="1" ht="21.75" customHeight="1">
      <c r="J488" s="738"/>
      <c r="K488" s="738"/>
      <c r="L488" s="738"/>
      <c r="M488" s="738"/>
      <c r="N488" s="738"/>
      <c r="O488" s="738"/>
      <c r="P488" s="738"/>
      <c r="Q488" s="738"/>
      <c r="R488" s="738"/>
      <c r="S488" s="738"/>
      <c r="T488" s="738"/>
      <c r="U488" s="738"/>
      <c r="V488" s="738"/>
      <c r="W488" s="738"/>
      <c r="X488" s="738"/>
      <c r="Y488" s="738"/>
      <c r="Z488" s="738"/>
    </row>
    <row r="489" spans="10:26" s="1944" customFormat="1" ht="21.75" customHeight="1">
      <c r="J489" s="738"/>
      <c r="K489" s="738"/>
      <c r="L489" s="738"/>
      <c r="M489" s="738"/>
      <c r="N489" s="738"/>
      <c r="O489" s="738"/>
      <c r="P489" s="738"/>
      <c r="Q489" s="738"/>
      <c r="R489" s="738"/>
      <c r="S489" s="738"/>
      <c r="T489" s="738"/>
      <c r="U489" s="738"/>
      <c r="V489" s="738"/>
      <c r="W489" s="738"/>
      <c r="X489" s="738"/>
      <c r="Y489" s="738"/>
      <c r="Z489" s="738"/>
    </row>
    <row r="490" spans="10:26" s="1944" customFormat="1" ht="21.75" customHeight="1">
      <c r="J490" s="738"/>
      <c r="K490" s="738"/>
      <c r="L490" s="738"/>
      <c r="M490" s="738"/>
      <c r="N490" s="738"/>
      <c r="O490" s="738"/>
      <c r="P490" s="738"/>
      <c r="Q490" s="738"/>
      <c r="R490" s="738"/>
      <c r="S490" s="738"/>
      <c r="T490" s="738"/>
      <c r="U490" s="738"/>
      <c r="V490" s="738"/>
      <c r="W490" s="738"/>
      <c r="X490" s="738"/>
      <c r="Y490" s="738"/>
      <c r="Z490" s="738"/>
    </row>
    <row r="491" spans="10:26" s="1944" customFormat="1" ht="21.75" customHeight="1">
      <c r="J491" s="738"/>
      <c r="K491" s="738"/>
      <c r="L491" s="738"/>
      <c r="M491" s="738"/>
      <c r="N491" s="738"/>
      <c r="O491" s="738"/>
      <c r="P491" s="738"/>
      <c r="Q491" s="738"/>
      <c r="R491" s="738"/>
      <c r="S491" s="738"/>
      <c r="T491" s="738"/>
      <c r="U491" s="738"/>
      <c r="V491" s="738"/>
      <c r="W491" s="738"/>
      <c r="X491" s="738"/>
      <c r="Y491" s="738"/>
      <c r="Z491" s="738"/>
    </row>
    <row r="492" spans="10:26" s="1944" customFormat="1" ht="21.75" customHeight="1">
      <c r="J492" s="738"/>
      <c r="K492" s="738"/>
      <c r="L492" s="738"/>
      <c r="M492" s="738"/>
      <c r="N492" s="738"/>
      <c r="O492" s="738"/>
      <c r="P492" s="738"/>
      <c r="Q492" s="738"/>
      <c r="R492" s="738"/>
      <c r="S492" s="738"/>
      <c r="T492" s="738"/>
      <c r="U492" s="738"/>
      <c r="V492" s="738"/>
      <c r="W492" s="738"/>
      <c r="X492" s="738"/>
      <c r="Y492" s="738"/>
      <c r="Z492" s="738"/>
    </row>
    <row r="493" spans="10:26" s="1944" customFormat="1" ht="21.75" customHeight="1">
      <c r="J493" s="738"/>
      <c r="K493" s="738"/>
      <c r="L493" s="738"/>
      <c r="M493" s="738"/>
      <c r="N493" s="738"/>
      <c r="O493" s="738"/>
      <c r="P493" s="738"/>
      <c r="Q493" s="738"/>
      <c r="R493" s="738"/>
      <c r="S493" s="738"/>
      <c r="T493" s="738"/>
      <c r="U493" s="738"/>
      <c r="V493" s="738"/>
      <c r="W493" s="738"/>
      <c r="X493" s="738"/>
      <c r="Y493" s="738"/>
      <c r="Z493" s="738"/>
    </row>
    <row r="494" spans="10:26" s="1944" customFormat="1" ht="21.75" customHeight="1">
      <c r="J494" s="738"/>
      <c r="K494" s="738"/>
      <c r="L494" s="738"/>
      <c r="M494" s="738"/>
      <c r="N494" s="738"/>
      <c r="O494" s="738"/>
      <c r="P494" s="738"/>
      <c r="Q494" s="738"/>
      <c r="R494" s="738"/>
      <c r="S494" s="738"/>
      <c r="T494" s="738"/>
      <c r="U494" s="738"/>
      <c r="V494" s="738"/>
      <c r="W494" s="738"/>
      <c r="X494" s="738"/>
      <c r="Y494" s="738"/>
      <c r="Z494" s="738"/>
    </row>
    <row r="495" spans="10:26" s="1944" customFormat="1" ht="21.75" customHeight="1">
      <c r="J495" s="738"/>
      <c r="K495" s="738"/>
      <c r="L495" s="738"/>
      <c r="M495" s="738"/>
      <c r="N495" s="738"/>
      <c r="O495" s="738"/>
      <c r="P495" s="738"/>
      <c r="Q495" s="738"/>
      <c r="R495" s="738"/>
      <c r="S495" s="738"/>
      <c r="T495" s="738"/>
      <c r="U495" s="738"/>
      <c r="V495" s="738"/>
      <c r="W495" s="738"/>
      <c r="X495" s="738"/>
      <c r="Y495" s="738"/>
      <c r="Z495" s="738"/>
    </row>
    <row r="496" spans="10:26" s="1944" customFormat="1" ht="21.75" customHeight="1">
      <c r="J496" s="738"/>
      <c r="K496" s="738"/>
      <c r="L496" s="738"/>
      <c r="M496" s="738"/>
      <c r="N496" s="738"/>
      <c r="O496" s="738"/>
      <c r="P496" s="738"/>
      <c r="Q496" s="738"/>
      <c r="R496" s="738"/>
      <c r="S496" s="738"/>
      <c r="T496" s="738"/>
      <c r="U496" s="738"/>
      <c r="V496" s="738"/>
      <c r="W496" s="738"/>
      <c r="X496" s="738"/>
      <c r="Y496" s="738"/>
      <c r="Z496" s="738"/>
    </row>
    <row r="497" spans="10:26" s="1944" customFormat="1" ht="21.75" customHeight="1">
      <c r="J497" s="738"/>
      <c r="K497" s="738"/>
      <c r="L497" s="738"/>
      <c r="M497" s="738"/>
      <c r="N497" s="738"/>
      <c r="O497" s="738"/>
      <c r="P497" s="738"/>
      <c r="Q497" s="738"/>
      <c r="R497" s="738"/>
      <c r="S497" s="738"/>
      <c r="T497" s="738"/>
      <c r="U497" s="738"/>
      <c r="V497" s="738"/>
      <c r="W497" s="738"/>
      <c r="X497" s="738"/>
      <c r="Y497" s="738"/>
      <c r="Z497" s="738"/>
    </row>
    <row r="498" spans="10:26" s="1944" customFormat="1" ht="21.75" customHeight="1">
      <c r="J498" s="738"/>
      <c r="K498" s="738"/>
      <c r="L498" s="738"/>
      <c r="M498" s="738"/>
      <c r="N498" s="738"/>
      <c r="O498" s="738"/>
      <c r="P498" s="738"/>
      <c r="Q498" s="738"/>
      <c r="R498" s="738"/>
      <c r="S498" s="738"/>
      <c r="T498" s="738"/>
      <c r="U498" s="738"/>
      <c r="V498" s="738"/>
      <c r="W498" s="738"/>
      <c r="X498" s="738"/>
      <c r="Y498" s="738"/>
      <c r="Z498" s="738"/>
    </row>
    <row r="499" spans="10:26" s="1944" customFormat="1" ht="21.75" customHeight="1">
      <c r="J499" s="738"/>
      <c r="K499" s="738"/>
      <c r="L499" s="738"/>
      <c r="M499" s="738"/>
      <c r="N499" s="738"/>
      <c r="O499" s="738"/>
      <c r="P499" s="738"/>
      <c r="Q499" s="738"/>
      <c r="R499" s="738"/>
      <c r="S499" s="738"/>
      <c r="T499" s="738"/>
      <c r="U499" s="738"/>
      <c r="V499" s="738"/>
      <c r="W499" s="738"/>
      <c r="X499" s="738"/>
      <c r="Y499" s="738"/>
      <c r="Z499" s="738"/>
    </row>
    <row r="500" spans="10:26" s="1944" customFormat="1" ht="21.75" customHeight="1">
      <c r="J500" s="738"/>
      <c r="K500" s="738"/>
      <c r="L500" s="738"/>
      <c r="M500" s="738"/>
      <c r="N500" s="738"/>
      <c r="O500" s="738"/>
      <c r="P500" s="738"/>
      <c r="Q500" s="738"/>
      <c r="R500" s="738"/>
      <c r="S500" s="738"/>
      <c r="T500" s="738"/>
      <c r="U500" s="738"/>
      <c r="V500" s="738"/>
      <c r="W500" s="738"/>
      <c r="X500" s="738"/>
      <c r="Y500" s="738"/>
      <c r="Z500" s="738"/>
    </row>
    <row r="501" spans="10:26" s="1944" customFormat="1" ht="21.75" customHeight="1">
      <c r="J501" s="738"/>
      <c r="K501" s="738"/>
      <c r="L501" s="738"/>
      <c r="M501" s="738"/>
      <c r="N501" s="738"/>
      <c r="O501" s="738"/>
      <c r="P501" s="738"/>
      <c r="Q501" s="738"/>
      <c r="R501" s="738"/>
      <c r="S501" s="738"/>
      <c r="T501" s="738"/>
      <c r="U501" s="738"/>
      <c r="V501" s="738"/>
      <c r="W501" s="738"/>
      <c r="X501" s="738"/>
      <c r="Y501" s="738"/>
      <c r="Z501" s="738"/>
    </row>
    <row r="502" spans="10:26" s="1944" customFormat="1" ht="21.75" customHeight="1">
      <c r="J502" s="738"/>
      <c r="K502" s="738"/>
      <c r="L502" s="738"/>
      <c r="M502" s="738"/>
      <c r="N502" s="738"/>
      <c r="O502" s="738"/>
      <c r="P502" s="738"/>
      <c r="Q502" s="738"/>
      <c r="R502" s="738"/>
      <c r="S502" s="738"/>
      <c r="T502" s="738"/>
      <c r="U502" s="738"/>
      <c r="V502" s="738"/>
      <c r="W502" s="738"/>
      <c r="X502" s="738"/>
      <c r="Y502" s="738"/>
      <c r="Z502" s="738"/>
    </row>
    <row r="503" spans="10:26" s="1944" customFormat="1" ht="21.75" customHeight="1">
      <c r="J503" s="738"/>
      <c r="K503" s="738"/>
      <c r="L503" s="738"/>
      <c r="M503" s="738"/>
      <c r="N503" s="738"/>
      <c r="O503" s="738"/>
      <c r="P503" s="738"/>
      <c r="Q503" s="738"/>
      <c r="R503" s="738"/>
      <c r="S503" s="738"/>
      <c r="T503" s="738"/>
      <c r="U503" s="738"/>
      <c r="V503" s="738"/>
      <c r="W503" s="738"/>
      <c r="X503" s="738"/>
      <c r="Y503" s="738"/>
      <c r="Z503" s="738"/>
    </row>
    <row r="504" spans="10:26" s="1944" customFormat="1" ht="21.75" customHeight="1">
      <c r="J504" s="738"/>
      <c r="K504" s="738"/>
      <c r="L504" s="738"/>
      <c r="M504" s="738"/>
      <c r="N504" s="738"/>
      <c r="O504" s="738"/>
      <c r="P504" s="738"/>
      <c r="Q504" s="738"/>
      <c r="R504" s="738"/>
      <c r="S504" s="738"/>
      <c r="T504" s="738"/>
      <c r="U504" s="738"/>
      <c r="V504" s="738"/>
      <c r="W504" s="738"/>
      <c r="X504" s="738"/>
      <c r="Y504" s="738"/>
      <c r="Z504" s="738"/>
    </row>
    <row r="505" spans="10:26" s="1944" customFormat="1" ht="21.75" customHeight="1">
      <c r="J505" s="738"/>
      <c r="K505" s="738"/>
      <c r="L505" s="738"/>
      <c r="M505" s="738"/>
      <c r="N505" s="738"/>
      <c r="O505" s="738"/>
      <c r="P505" s="738"/>
      <c r="Q505" s="738"/>
      <c r="R505" s="738"/>
      <c r="S505" s="738"/>
      <c r="T505" s="738"/>
      <c r="U505" s="738"/>
      <c r="V505" s="738"/>
      <c r="W505" s="738"/>
      <c r="X505" s="738"/>
      <c r="Y505" s="738"/>
      <c r="Z505" s="738"/>
    </row>
    <row r="506" spans="10:26" s="1944" customFormat="1" ht="21.75" customHeight="1">
      <c r="J506" s="738"/>
      <c r="K506" s="738"/>
      <c r="L506" s="738"/>
      <c r="M506" s="738"/>
      <c r="N506" s="738"/>
      <c r="O506" s="738"/>
      <c r="P506" s="738"/>
      <c r="Q506" s="738"/>
      <c r="R506" s="738"/>
      <c r="S506" s="738"/>
      <c r="T506" s="738"/>
      <c r="U506" s="738"/>
      <c r="V506" s="738"/>
      <c r="W506" s="738"/>
      <c r="X506" s="738"/>
      <c r="Y506" s="738"/>
      <c r="Z506" s="738"/>
    </row>
    <row r="507" spans="10:26" s="1944" customFormat="1" ht="21.75" customHeight="1">
      <c r="J507" s="738"/>
      <c r="K507" s="738"/>
      <c r="L507" s="738"/>
      <c r="M507" s="738"/>
      <c r="N507" s="738"/>
      <c r="O507" s="738"/>
      <c r="P507" s="738"/>
      <c r="Q507" s="738"/>
      <c r="R507" s="738"/>
      <c r="S507" s="738"/>
      <c r="T507" s="738"/>
      <c r="U507" s="738"/>
      <c r="V507" s="738"/>
      <c r="W507" s="738"/>
      <c r="X507" s="738"/>
      <c r="Y507" s="738"/>
      <c r="Z507" s="738"/>
    </row>
    <row r="508" spans="10:26" s="1944" customFormat="1" ht="21.75" customHeight="1">
      <c r="J508" s="738"/>
      <c r="K508" s="738"/>
      <c r="L508" s="738"/>
      <c r="M508" s="738"/>
      <c r="N508" s="738"/>
      <c r="O508" s="738"/>
      <c r="P508" s="738"/>
      <c r="Q508" s="738"/>
      <c r="R508" s="738"/>
      <c r="S508" s="738"/>
      <c r="T508" s="738"/>
      <c r="U508" s="738"/>
      <c r="V508" s="738"/>
      <c r="W508" s="738"/>
      <c r="X508" s="738"/>
      <c r="Y508" s="738"/>
      <c r="Z508" s="738"/>
    </row>
    <row r="509" spans="10:26" s="1944" customFormat="1" ht="21.75" customHeight="1">
      <c r="J509" s="738"/>
      <c r="K509" s="738"/>
      <c r="L509" s="738"/>
      <c r="M509" s="738"/>
      <c r="N509" s="738"/>
      <c r="O509" s="738"/>
      <c r="P509" s="738"/>
      <c r="Q509" s="738"/>
      <c r="R509" s="738"/>
      <c r="S509" s="738"/>
      <c r="T509" s="738"/>
      <c r="U509" s="738"/>
      <c r="V509" s="738"/>
      <c r="W509" s="738"/>
      <c r="X509" s="738"/>
      <c r="Y509" s="738"/>
      <c r="Z509" s="738"/>
    </row>
    <row r="510" spans="10:26" s="1944" customFormat="1" ht="21.75" customHeight="1">
      <c r="J510" s="738"/>
      <c r="K510" s="738"/>
      <c r="L510" s="738"/>
      <c r="M510" s="738"/>
      <c r="N510" s="738"/>
      <c r="O510" s="738"/>
      <c r="P510" s="738"/>
      <c r="Q510" s="738"/>
      <c r="R510" s="738"/>
      <c r="S510" s="738"/>
      <c r="T510" s="738"/>
      <c r="U510" s="738"/>
      <c r="V510" s="738"/>
      <c r="W510" s="738"/>
      <c r="X510" s="738"/>
      <c r="Y510" s="738"/>
      <c r="Z510" s="738"/>
    </row>
    <row r="511" spans="10:26" s="1944" customFormat="1" ht="21.75" customHeight="1">
      <c r="J511" s="738"/>
      <c r="K511" s="738"/>
      <c r="L511" s="738"/>
      <c r="M511" s="738"/>
      <c r="N511" s="738"/>
      <c r="O511" s="738"/>
      <c r="P511" s="738"/>
      <c r="Q511" s="738"/>
      <c r="R511" s="738"/>
      <c r="S511" s="738"/>
      <c r="T511" s="738"/>
      <c r="U511" s="738"/>
      <c r="V511" s="738"/>
      <c r="W511" s="738"/>
      <c r="X511" s="738"/>
      <c r="Y511" s="738"/>
      <c r="Z511" s="738"/>
    </row>
    <row r="512" spans="10:26" s="1944" customFormat="1" ht="21.75" customHeight="1">
      <c r="J512" s="738"/>
      <c r="K512" s="738"/>
      <c r="L512" s="738"/>
      <c r="M512" s="738"/>
      <c r="N512" s="738"/>
      <c r="O512" s="738"/>
      <c r="P512" s="738"/>
      <c r="Q512" s="738"/>
      <c r="R512" s="738"/>
      <c r="S512" s="738"/>
      <c r="T512" s="738"/>
      <c r="U512" s="738"/>
      <c r="V512" s="738"/>
      <c r="W512" s="738"/>
      <c r="X512" s="738"/>
      <c r="Y512" s="738"/>
      <c r="Z512" s="73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3203125" defaultRowHeight="13.2"/>
  <cols>
    <col min="1" max="1" width="10.33203125" style="279" customWidth="1"/>
    <col min="2" max="2" width="29.21875" style="261" customWidth="1"/>
    <col min="3" max="3" width="12.109375" style="261" customWidth="1"/>
    <col min="4" max="5" width="11.21875" style="282" customWidth="1"/>
    <col min="6" max="6" width="9.44140625" style="261" customWidth="1"/>
    <col min="7" max="7" width="31.88671875" style="261" customWidth="1"/>
    <col min="8" max="254" width="9" style="261" customWidth="1"/>
    <col min="255" max="16384" width="8.33203125" style="261"/>
  </cols>
  <sheetData>
    <row r="1" spans="1:9" s="210" customFormat="1" ht="21">
      <c r="A1" s="206" t="s">
        <v>2156</v>
      </c>
      <c r="B1" s="1660"/>
      <c r="C1" s="208"/>
      <c r="D1" s="208"/>
      <c r="E1" s="208"/>
      <c r="F1" s="208"/>
      <c r="G1" s="1292">
        <f>MATCH(B1,'数据-取费表'!A6:A16,0)+5</f>
        <v>7</v>
      </c>
    </row>
    <row r="2" spans="1:9" s="210" customFormat="1" ht="18" customHeight="1">
      <c r="A2" s="211" t="s">
        <v>2157</v>
      </c>
      <c r="B2" s="212">
        <f ca="1">IF(D2="——",C52,C52-E2)</f>
        <v>7457</v>
      </c>
      <c r="C2" s="209" t="s">
        <v>2158</v>
      </c>
      <c r="D2" s="2045" t="s">
        <v>70</v>
      </c>
      <c r="E2" s="1335" t="e">
        <f ca="1">SUMIF(INDIRECT("'"&amp;G2&amp;"'"&amp;"!A:A"),"承租人权益价值",INDIRECT("'"&amp;G2&amp;"'"&amp;"!c:c"))</f>
        <v>#REF!</v>
      </c>
      <c r="F2" s="2046" t="s">
        <v>2158</v>
      </c>
      <c r="G2" s="2047"/>
    </row>
    <row r="3" spans="1:9" s="210" customFormat="1" ht="18" customHeight="1" thickBot="1">
      <c r="A3" s="213" t="s">
        <v>2159</v>
      </c>
      <c r="B3" s="214">
        <f ca="1">ROUND(B2*10000/(IF(B1="",'数据-汇总表'!E3,INDIRECT("'数据-取费表'!k"&amp;$G$1))),0)</f>
        <v>8631</v>
      </c>
      <c r="C3" s="209" t="s">
        <v>2160</v>
      </c>
      <c r="D3" s="209"/>
      <c r="E3" s="209"/>
      <c r="F3" s="209"/>
      <c r="G3" s="209"/>
    </row>
    <row r="4" spans="1:9" s="218" customFormat="1" ht="16.2">
      <c r="A4" s="215" t="s">
        <v>2161</v>
      </c>
      <c r="B4" s="216"/>
      <c r="C4" s="216"/>
      <c r="D4" s="216"/>
      <c r="E4" s="216"/>
      <c r="F4" s="216"/>
      <c r="G4" s="217"/>
    </row>
    <row r="5" spans="1:9" s="224" customFormat="1" ht="13.5" customHeight="1">
      <c r="A5" s="265" t="s">
        <v>2162</v>
      </c>
      <c r="B5" s="220" t="s">
        <v>2163</v>
      </c>
      <c r="C5" s="221">
        <f ca="1">C6+C7+C8</f>
        <v>3189</v>
      </c>
      <c r="D5" s="221" t="s">
        <v>2164</v>
      </c>
      <c r="E5" s="222" t="s">
        <v>2165</v>
      </c>
      <c r="F5" s="222" t="s">
        <v>2166</v>
      </c>
      <c r="G5" s="223"/>
    </row>
    <row r="6" spans="1:9" s="224" customFormat="1" ht="13.5" customHeight="1">
      <c r="A6" s="890" t="s">
        <v>2167</v>
      </c>
      <c r="B6" s="225" t="s">
        <v>2168</v>
      </c>
      <c r="C6" s="226">
        <f ca="1">基准地价修正!E29</f>
        <v>2927</v>
      </c>
      <c r="D6" s="227"/>
      <c r="E6" s="228"/>
      <c r="F6" s="228"/>
      <c r="G6" s="229"/>
    </row>
    <row r="7" spans="1:9" s="224" customFormat="1" ht="13.5" customHeight="1">
      <c r="A7" s="890" t="s">
        <v>2169</v>
      </c>
      <c r="B7" s="225" t="s">
        <v>2170</v>
      </c>
      <c r="C7" s="230">
        <f ca="1">ROUND(C6*F7,0)</f>
        <v>89</v>
      </c>
      <c r="D7" s="230"/>
      <c r="E7" s="228"/>
      <c r="F7" s="231">
        <f>IF(项目基本情况!B8="出让",0,'数据-取费表'!B48+'数据-取费表'!B49)</f>
        <v>3.0499999999999999E-2</v>
      </c>
      <c r="G7" s="229"/>
    </row>
    <row r="8" spans="1:9" s="233" customFormat="1">
      <c r="A8" s="890" t="s">
        <v>2171</v>
      </c>
      <c r="B8" s="225" t="s">
        <v>2172</v>
      </c>
      <c r="C8" s="230">
        <f>IF(G8="已包含在土地购买价格中","0",IF(B1="",'数据-取费表'!B29,IF(G9="全部缴纳",C9+C10,H9)))</f>
        <v>173</v>
      </c>
      <c r="D8" s="232"/>
      <c r="E8" s="230"/>
      <c r="F8" s="231"/>
      <c r="G8" s="2048"/>
    </row>
    <row r="9" spans="1:9" s="224" customFormat="1" ht="13.5" customHeight="1">
      <c r="A9" s="891" t="s">
        <v>800</v>
      </c>
      <c r="B9" s="234" t="s">
        <v>2173</v>
      </c>
      <c r="C9" s="235">
        <f ca="1">ROUND(D9*E9/10000,0)</f>
        <v>0</v>
      </c>
      <c r="D9" s="958">
        <f ca="1">IF(B1="",'数据-汇总表'!E5,IF(INDIRECT("'数据-取费表'!c"&amp;$G$1)="住宅",INDIRECT("'数据-取费表'!k"&amp;$G$1),0))</f>
        <v>0</v>
      </c>
      <c r="E9" s="235">
        <f>'数据-取费表'!B27</f>
        <v>0</v>
      </c>
      <c r="F9" s="231"/>
      <c r="G9" s="2049"/>
      <c r="H9" s="1303"/>
      <c r="I9" s="2050" t="s">
        <v>2174</v>
      </c>
    </row>
    <row r="10" spans="1:9" s="224" customFormat="1" ht="13.5" customHeight="1">
      <c r="A10" s="891" t="s">
        <v>801</v>
      </c>
      <c r="B10" s="234" t="s">
        <v>2175</v>
      </c>
      <c r="C10" s="235">
        <f ca="1">ROUND(D10*E10/10000,0)</f>
        <v>173</v>
      </c>
      <c r="D10" s="958">
        <f ca="1">IF(B1="",'数据-汇总表'!E6,IF(INDIRECT("'数据-取费表'!c"&amp;$G$1)="住宅",INDIRECT("'数据-取费表'!s"&amp;$G$1),INDIRECT("'数据-取费表'!k"&amp;$G$1)+INDIRECT("'数据-取费表'!s"&amp;$G$1)))</f>
        <v>8640.14</v>
      </c>
      <c r="E10" s="235">
        <f>'数据-取费表'!B28</f>
        <v>200</v>
      </c>
      <c r="F10" s="231"/>
      <c r="G10" s="236"/>
    </row>
    <row r="11" spans="1:9" s="224" customFormat="1" ht="13.5" hidden="1" customHeight="1">
      <c r="A11" s="237" t="s">
        <v>7</v>
      </c>
      <c r="B11" s="225" t="s">
        <v>2176</v>
      </c>
      <c r="C11" s="221"/>
      <c r="D11" s="960"/>
      <c r="E11" s="228"/>
      <c r="F11" s="228"/>
      <c r="G11" s="229"/>
    </row>
    <row r="12" spans="1:9" s="224" customFormat="1" ht="13.5" hidden="1" customHeight="1">
      <c r="A12" s="237" t="s">
        <v>8</v>
      </c>
      <c r="B12" s="225" t="s">
        <v>2177</v>
      </c>
      <c r="C12" s="221">
        <v>0</v>
      </c>
      <c r="D12" s="960"/>
      <c r="E12" s="238"/>
      <c r="F12" s="231">
        <v>3.0499999999999999E-2</v>
      </c>
      <c r="G12" s="229"/>
    </row>
    <row r="13" spans="1:9" s="224" customFormat="1" ht="13.5" hidden="1" customHeight="1">
      <c r="A13" s="237" t="s">
        <v>9</v>
      </c>
      <c r="B13" s="225" t="s">
        <v>2178</v>
      </c>
      <c r="C13" s="221"/>
      <c r="D13" s="960"/>
      <c r="E13" s="228"/>
      <c r="F13" s="228"/>
      <c r="G13" s="229"/>
    </row>
    <row r="14" spans="1:9" s="224" customFormat="1" ht="13.5" hidden="1" customHeight="1">
      <c r="A14" s="237" t="s">
        <v>10</v>
      </c>
      <c r="B14" s="225" t="s">
        <v>2179</v>
      </c>
      <c r="C14" s="221"/>
      <c r="D14" s="960"/>
      <c r="E14" s="228"/>
      <c r="F14" s="228"/>
      <c r="G14" s="229" t="s">
        <v>2180</v>
      </c>
    </row>
    <row r="15" spans="1:9" s="224" customFormat="1" ht="13.5" hidden="1" customHeight="1">
      <c r="A15" s="237" t="s">
        <v>11</v>
      </c>
      <c r="B15" s="225" t="s">
        <v>2181</v>
      </c>
      <c r="C15" s="230"/>
      <c r="D15" s="960"/>
      <c r="E15" s="228"/>
      <c r="F15" s="228"/>
      <c r="G15" s="229" t="s">
        <v>2182</v>
      </c>
    </row>
    <row r="16" spans="1:9" s="224" customFormat="1" ht="13.5" hidden="1" customHeight="1">
      <c r="A16" s="237" t="s">
        <v>12</v>
      </c>
      <c r="B16" s="225" t="s">
        <v>2179</v>
      </c>
      <c r="C16" s="230"/>
      <c r="D16" s="960"/>
      <c r="E16" s="228"/>
      <c r="F16" s="228"/>
      <c r="G16" s="229"/>
    </row>
    <row r="17" spans="1:7" s="224" customFormat="1" ht="13.5" hidden="1" customHeight="1">
      <c r="A17" s="237" t="s">
        <v>13</v>
      </c>
      <c r="B17" s="225" t="s">
        <v>2183</v>
      </c>
      <c r="C17" s="239"/>
      <c r="D17" s="961"/>
      <c r="E17" s="239"/>
      <c r="F17" s="239"/>
      <c r="G17" s="229" t="s">
        <v>2182</v>
      </c>
    </row>
    <row r="18" spans="1:7" s="224" customFormat="1" ht="13.5" hidden="1" customHeight="1">
      <c r="A18" s="237" t="s">
        <v>14</v>
      </c>
      <c r="B18" s="225" t="s">
        <v>2184</v>
      </c>
      <c r="C18" s="230">
        <v>0</v>
      </c>
      <c r="D18" s="960"/>
      <c r="E18" s="228"/>
      <c r="F18" s="231">
        <v>3.0499999999999999E-2</v>
      </c>
      <c r="G18" s="229" t="s">
        <v>2185</v>
      </c>
    </row>
    <row r="19" spans="1:7" s="233" customFormat="1" ht="13.5" customHeight="1">
      <c r="A19" s="265" t="s">
        <v>2186</v>
      </c>
      <c r="B19" s="220" t="s">
        <v>2187</v>
      </c>
      <c r="C19" s="3111" t="str">
        <f>IF(G19="已包含在土地取得成本中","0",ROUND(D19*E19/10000,0))</f>
        <v>0</v>
      </c>
      <c r="D19" s="962">
        <f ca="1">D9+D10</f>
        <v>8640.14</v>
      </c>
      <c r="E19" s="221">
        <f>'数据-取费表'!B31</f>
        <v>200</v>
      </c>
      <c r="F19" s="241"/>
      <c r="G19" s="2048" t="s">
        <v>4405</v>
      </c>
    </row>
    <row r="20" spans="1:7" s="224" customFormat="1" ht="13.5" customHeight="1">
      <c r="A20" s="265" t="s">
        <v>2188</v>
      </c>
      <c r="B20" s="220" t="s">
        <v>2189</v>
      </c>
      <c r="C20" s="242">
        <f ca="1">ROUND((C5+C19)*F20,0)</f>
        <v>64</v>
      </c>
      <c r="D20" s="242"/>
      <c r="E20" s="242"/>
      <c r="F20" s="243">
        <f>'数据-取费表'!B37</f>
        <v>0.02</v>
      </c>
      <c r="G20" s="244" t="s">
        <v>2190</v>
      </c>
    </row>
    <row r="21" spans="1:7" s="224" customFormat="1" ht="13.5" customHeight="1">
      <c r="A21" s="265" t="s">
        <v>2191</v>
      </c>
      <c r="B21" s="220" t="s">
        <v>2192</v>
      </c>
      <c r="C21" s="245">
        <f>F21</f>
        <v>0.02</v>
      </c>
      <c r="D21" s="246" t="s">
        <v>2193</v>
      </c>
      <c r="E21" s="242"/>
      <c r="F21" s="243">
        <f>'数据-取费表'!B38</f>
        <v>0.02</v>
      </c>
      <c r="G21" s="244" t="s">
        <v>2194</v>
      </c>
    </row>
    <row r="22" spans="1:7" s="224" customFormat="1" ht="13.5" customHeight="1">
      <c r="A22" s="265" t="s">
        <v>2195</v>
      </c>
      <c r="B22" s="220" t="s">
        <v>2196</v>
      </c>
      <c r="C22" s="1268">
        <f ca="1">ROUND(SUM(C23:C25),0)</f>
        <v>232</v>
      </c>
      <c r="D22" s="245">
        <f ca="1">C26</f>
        <v>6.9999999999999999E-4</v>
      </c>
      <c r="E22" s="246" t="s">
        <v>2193</v>
      </c>
      <c r="F22" s="247">
        <f ca="1">'数据-取费表'!B40</f>
        <v>4.7500000000000001E-2</v>
      </c>
      <c r="G22" s="244" t="str">
        <f>IF('数据-取费表'!B22&lt;=1,"单利计息","复利计息")</f>
        <v>复利计息</v>
      </c>
    </row>
    <row r="23" spans="1:7" s="224" customFormat="1" ht="13.5" customHeight="1">
      <c r="A23" s="892" t="s">
        <v>2197</v>
      </c>
      <c r="B23" s="225" t="s">
        <v>2198</v>
      </c>
      <c r="C23" s="1269">
        <f ca="1">ROUND(IF('数据-取费表'!B22&lt;=1,C5*F22*'数据-取费表'!B23,C5*(POWER((1+F22),'数据-取费表'!B23)-1)),0)</f>
        <v>230</v>
      </c>
      <c r="D23" s="248"/>
      <c r="E23" s="248"/>
      <c r="F23" s="249"/>
      <c r="G23" s="250" t="s">
        <v>2199</v>
      </c>
    </row>
    <row r="24" spans="1:7" s="224" customFormat="1" ht="13.5" customHeight="1">
      <c r="A24" s="892" t="s">
        <v>2200</v>
      </c>
      <c r="B24" s="225" t="s">
        <v>2201</v>
      </c>
      <c r="C24" s="1269">
        <f ca="1">ROUND(IF('数据-取费表'!B22&lt;=1,C19*F22*('数据-取费表'!B19/2+'数据-取费表'!B21),C19*(POWER((1+F22),('数据-取费表'!B19/2+'数据-取费表'!B21))-1)),0)</f>
        <v>0</v>
      </c>
      <c r="D24" s="248"/>
      <c r="E24" s="248"/>
      <c r="F24" s="249"/>
      <c r="G24" s="250" t="s">
        <v>2202</v>
      </c>
    </row>
    <row r="25" spans="1:7" s="224" customFormat="1" ht="24">
      <c r="A25" s="892" t="s">
        <v>2203</v>
      </c>
      <c r="B25" s="225" t="s">
        <v>2204</v>
      </c>
      <c r="C25" s="1269">
        <f ca="1">ROUND(IF('数据-取费表'!B22&lt;=1,C20*F22*'数据-取费表'!B23/2,C20*(POWER((1+F22),'数据-取费表'!B23/2)-1)),0)</f>
        <v>2</v>
      </c>
      <c r="D25" s="248"/>
      <c r="E25" s="251"/>
      <c r="F25" s="249"/>
      <c r="G25" s="252" t="s">
        <v>2205</v>
      </c>
    </row>
    <row r="26" spans="1:7" s="224" customFormat="1">
      <c r="A26" s="892" t="s">
        <v>795</v>
      </c>
      <c r="B26" s="225" t="s">
        <v>2206</v>
      </c>
      <c r="C26" s="248">
        <f ca="1">ROUND(IF('数据-取费表'!B22&lt;=1,F21*F22*'数据-取费表'!B23/2,F21*(POWER((1+F22),'数据-取费表'!B23/2)-1)),4)</f>
        <v>6.9999999999999999E-4</v>
      </c>
      <c r="D26" s="248"/>
      <c r="E26" s="251"/>
      <c r="F26" s="249"/>
      <c r="G26" s="253"/>
    </row>
    <row r="27" spans="1:7" s="224" customFormat="1" ht="26.4">
      <c r="A27" s="265" t="s">
        <v>2207</v>
      </c>
      <c r="B27" s="254" t="s">
        <v>2208</v>
      </c>
      <c r="C27" s="255">
        <f ca="1">C28</f>
        <v>325</v>
      </c>
      <c r="D27" s="245">
        <f ca="1">C29</f>
        <v>2E-3</v>
      </c>
      <c r="E27" s="246" t="s">
        <v>2209</v>
      </c>
      <c r="F27" s="256">
        <f ca="1">IF(B1="",'数据-取费表'!Q16,INDIRECT("'数据-取费表'!q"&amp;$G$1))</f>
        <v>0.1</v>
      </c>
      <c r="G27" s="257" t="s">
        <v>2210</v>
      </c>
    </row>
    <row r="28" spans="1:7" s="224" customFormat="1" ht="13.5" customHeight="1">
      <c r="A28" s="892" t="s">
        <v>791</v>
      </c>
      <c r="B28" s="258" t="s">
        <v>2211</v>
      </c>
      <c r="C28" s="259">
        <f ca="1">ROUND((C5+C19+C20)*F27*'数据-取费表'!B21/'数据-取费表'!B20,0)</f>
        <v>325</v>
      </c>
      <c r="D28" s="245"/>
      <c r="E28" s="246"/>
      <c r="F28" s="256"/>
      <c r="G28" s="257"/>
    </row>
    <row r="29" spans="1:7" s="224" customFormat="1" ht="13.5" customHeight="1">
      <c r="A29" s="892" t="s">
        <v>792</v>
      </c>
      <c r="B29" s="258" t="s">
        <v>2212</v>
      </c>
      <c r="C29" s="248">
        <f ca="1">ROUND(C21*F27*'数据-取费表'!B21/'数据-取费表'!B20,4)</f>
        <v>2E-3</v>
      </c>
      <c r="D29" s="245"/>
      <c r="E29" s="246"/>
      <c r="F29" s="256"/>
      <c r="G29" s="257"/>
    </row>
    <row r="30" spans="1:7" s="224" customFormat="1" ht="13.5" customHeight="1">
      <c r="A30" s="265" t="s">
        <v>2213</v>
      </c>
      <c r="B30" s="220" t="s">
        <v>2214</v>
      </c>
      <c r="C30" s="245">
        <f>ROUND(F30/(1+'数据-取费表'!C42),4)</f>
        <v>5.2400000000000002E-2</v>
      </c>
      <c r="D30" s="246" t="s">
        <v>2209</v>
      </c>
      <c r="E30" s="251"/>
      <c r="F30" s="247">
        <f>'数据-取费表'!B41</f>
        <v>5.5000000000000007E-2</v>
      </c>
      <c r="G30" s="244" t="s">
        <v>2215</v>
      </c>
    </row>
    <row r="31" spans="1:7" ht="16.5" customHeight="1">
      <c r="A31" s="219">
        <v>1</v>
      </c>
      <c r="B31" s="220" t="s">
        <v>2216</v>
      </c>
      <c r="C31" s="221">
        <f ca="1">ROUND((C5+C19+C20+C22+C27)/(1-C21-D22-D27-C30),0)</f>
        <v>4119</v>
      </c>
      <c r="D31" s="240"/>
      <c r="E31" s="221"/>
      <c r="F31" s="260"/>
      <c r="G31" s="244" t="s">
        <v>2217</v>
      </c>
    </row>
    <row r="32" spans="1:7" s="218" customFormat="1" ht="16.2">
      <c r="A32" s="262" t="s">
        <v>2218</v>
      </c>
      <c r="B32" s="263"/>
      <c r="C32" s="263"/>
      <c r="D32" s="263"/>
      <c r="E32" s="263"/>
      <c r="F32" s="263"/>
      <c r="G32" s="264"/>
    </row>
    <row r="33" spans="1:7" s="224" customFormat="1" ht="13.5" customHeight="1">
      <c r="A33" s="265" t="s">
        <v>782</v>
      </c>
      <c r="B33" s="220" t="s">
        <v>2219</v>
      </c>
      <c r="C33" s="266">
        <f ca="1">SUM(C34:C38)</f>
        <v>3333</v>
      </c>
      <c r="D33" s="242"/>
      <c r="E33" s="222"/>
      <c r="F33" s="251"/>
      <c r="G33" s="244"/>
    </row>
    <row r="34" spans="1:7" s="268" customFormat="1" ht="13.5" customHeight="1">
      <c r="A34" s="892" t="s">
        <v>791</v>
      </c>
      <c r="B34" s="225" t="s">
        <v>2220</v>
      </c>
      <c r="C34" s="230">
        <f ca="1">IF(B1="",IF(F34=100%,'数据-取费表'!M16,'数据-取费表'!O16),IF(F34=100%,INDIRECT("'数据-取费表'!m"&amp;$G$1)+INDIRECT("'数据-取费表'!t"&amp;$G$1),INDIRECT("'数据-取费表'!o"&amp;$G$1)+INDIRECT("'数据-取费表'!aq"&amp;$G$1)))</f>
        <v>3024</v>
      </c>
      <c r="D34" s="227"/>
      <c r="E34" s="230"/>
      <c r="F34" s="267">
        <f ca="1">IF('数据-取费表'!B24=0,1,IF(B1="",'数据-取费表'!N16,INDIRECT("'数据-取费表'!n"&amp;$G$1)))</f>
        <v>1</v>
      </c>
      <c r="G34" s="229" t="s">
        <v>2221</v>
      </c>
    </row>
    <row r="35" spans="1:7" ht="13.5" customHeight="1">
      <c r="A35" s="892" t="s">
        <v>796</v>
      </c>
      <c r="B35" s="225" t="s">
        <v>2222</v>
      </c>
      <c r="C35" s="230">
        <f ca="1">ROUND(C34*F35,0)</f>
        <v>91</v>
      </c>
      <c r="D35" s="230"/>
      <c r="E35" s="230"/>
      <c r="F35" s="269">
        <f>'数据-取费表'!B33</f>
        <v>0.03</v>
      </c>
      <c r="G35" s="229" t="s">
        <v>2223</v>
      </c>
    </row>
    <row r="36" spans="1:7" ht="24">
      <c r="A36" s="892" t="s">
        <v>797</v>
      </c>
      <c r="B36" s="225" t="s">
        <v>2224</v>
      </c>
      <c r="C36" s="230">
        <f ca="1">ROUND(IF(B1="",SUMIF('数据-取费表'!C:C,"住宅",IF(F34=100%,'数据-取费表'!M:M,'数据-取费表'!O:O))*F36,IF(INDIRECT("'数据-取费表'!c"&amp;$G$1)="住宅",IF(F34=100%,INDIRECT("'数据-取费表'!m"&amp;$G$1)*F36,INDIRECT("'数据-取费表'!o"&amp;$G$1)*F36),0)),0)</f>
        <v>0</v>
      </c>
      <c r="D36" s="230"/>
      <c r="E36" s="230"/>
      <c r="F36" s="269">
        <f>'数据-取费表'!B34</f>
        <v>0</v>
      </c>
      <c r="G36" s="270" t="s">
        <v>2225</v>
      </c>
    </row>
    <row r="37" spans="1:7" s="268" customFormat="1" ht="13.5" customHeight="1">
      <c r="A37" s="892" t="s">
        <v>798</v>
      </c>
      <c r="B37" s="225" t="s">
        <v>2226</v>
      </c>
      <c r="C37" s="259">
        <f ca="1">ROUND(E37*D37*F34/10000,0)</f>
        <v>173</v>
      </c>
      <c r="D37" s="227">
        <f ca="1">D19</f>
        <v>8640.14</v>
      </c>
      <c r="E37" s="259">
        <f>'数据-取费表'!B35</f>
        <v>200</v>
      </c>
      <c r="F37" s="269"/>
      <c r="G37" s="271" t="s">
        <v>2227</v>
      </c>
    </row>
    <row r="38" spans="1:7" ht="13.5" customHeight="1">
      <c r="A38" s="892" t="s">
        <v>799</v>
      </c>
      <c r="B38" s="225" t="s">
        <v>2228</v>
      </c>
      <c r="C38" s="230">
        <f ca="1">ROUND(C34*F38,0)</f>
        <v>45</v>
      </c>
      <c r="D38" s="230"/>
      <c r="E38" s="230"/>
      <c r="F38" s="269">
        <f>'数据-取费表'!B36</f>
        <v>1.4999999999999999E-2</v>
      </c>
      <c r="G38" s="229" t="s">
        <v>2223</v>
      </c>
    </row>
    <row r="39" spans="1:7" s="224" customFormat="1" ht="13.5" customHeight="1">
      <c r="A39" s="265" t="s">
        <v>2229</v>
      </c>
      <c r="B39" s="220" t="s">
        <v>2230</v>
      </c>
      <c r="C39" s="242">
        <f ca="1">ROUND(C33*F20,0)</f>
        <v>67</v>
      </c>
      <c r="D39" s="242"/>
      <c r="E39" s="242"/>
      <c r="F39" s="2541">
        <f>F20</f>
        <v>0.02</v>
      </c>
      <c r="G39" s="244" t="s">
        <v>2231</v>
      </c>
    </row>
    <row r="40" spans="1:7" s="224" customFormat="1" ht="13.5" customHeight="1">
      <c r="A40" s="265" t="s">
        <v>2232</v>
      </c>
      <c r="B40" s="220" t="s">
        <v>2233</v>
      </c>
      <c r="C40" s="1501">
        <f>F21</f>
        <v>0.02</v>
      </c>
      <c r="D40" s="246" t="s">
        <v>2234</v>
      </c>
      <c r="E40" s="242"/>
      <c r="F40" s="2541">
        <f>F21</f>
        <v>0.02</v>
      </c>
      <c r="G40" s="244" t="s">
        <v>2235</v>
      </c>
    </row>
    <row r="41" spans="1:7" s="224" customFormat="1" ht="13.5" customHeight="1">
      <c r="A41" s="265" t="s">
        <v>2236</v>
      </c>
      <c r="B41" s="220" t="s">
        <v>2237</v>
      </c>
      <c r="C41" s="242">
        <f ca="1">ROUND(SUM(C42:C43),0)</f>
        <v>120</v>
      </c>
      <c r="D41" s="245">
        <f ca="1">C44</f>
        <v>6.9999999999999999E-4</v>
      </c>
      <c r="E41" s="246" t="s">
        <v>2234</v>
      </c>
      <c r="F41" s="2542">
        <f ca="1">F22</f>
        <v>4.7500000000000001E-2</v>
      </c>
      <c r="G41" s="244" t="str">
        <f>IF('数据-取费表'!B22&lt;=1,"单利计息","复利计息")</f>
        <v>复利计息</v>
      </c>
    </row>
    <row r="42" spans="1:7" ht="13.5" customHeight="1">
      <c r="A42" s="892" t="s">
        <v>791</v>
      </c>
      <c r="B42" s="225" t="s">
        <v>2238</v>
      </c>
      <c r="C42" s="248">
        <f ca="1">ROUND(IF('数据-取费表'!B22&lt;=1,C33*F22*'数据-取费表'!B21/2,C33*(POWER((1+F22),'数据-取费表'!B21/2)-1)),0)</f>
        <v>118</v>
      </c>
      <c r="D42" s="248"/>
      <c r="E42" s="248"/>
      <c r="F42" s="249"/>
      <c r="G42" s="3306" t="s">
        <v>2239</v>
      </c>
    </row>
    <row r="43" spans="1:7" ht="13.5" customHeight="1">
      <c r="A43" s="892" t="s">
        <v>792</v>
      </c>
      <c r="B43" s="225" t="s">
        <v>2240</v>
      </c>
      <c r="C43" s="248">
        <f ca="1">ROUND(IF('数据-取费表'!B22&lt;=1,C39*F22*'数据-取费表'!B21/2,C39*(POWER((1+F22),'数据-取费表'!B21/2)-1)),0)</f>
        <v>2</v>
      </c>
      <c r="D43" s="248"/>
      <c r="E43" s="248"/>
      <c r="F43" s="249"/>
      <c r="G43" s="3307"/>
    </row>
    <row r="44" spans="1:7" ht="13.5" customHeight="1">
      <c r="A44" s="892" t="s">
        <v>793</v>
      </c>
      <c r="B44" s="225" t="s">
        <v>2241</v>
      </c>
      <c r="C44" s="248">
        <f ca="1">ROUND(IF('数据-取费表'!B22&lt;=1,C40*F22*'数据-取费表'!B21/2,C40*(POWER((1+F22),'数据-取费表'!B21/2)-1)),4)</f>
        <v>6.9999999999999999E-4</v>
      </c>
      <c r="D44" s="248"/>
      <c r="E44" s="248"/>
      <c r="F44" s="249"/>
      <c r="G44" s="3308"/>
    </row>
    <row r="45" spans="1:7" s="224" customFormat="1" ht="13.5" customHeight="1">
      <c r="A45" s="265" t="s">
        <v>2242</v>
      </c>
      <c r="B45" s="254" t="s">
        <v>2208</v>
      </c>
      <c r="C45" s="255">
        <f ca="1">C46</f>
        <v>340</v>
      </c>
      <c r="D45" s="245">
        <f ca="1">C47</f>
        <v>2E-3</v>
      </c>
      <c r="E45" s="246" t="s">
        <v>2234</v>
      </c>
      <c r="F45" s="2543">
        <f ca="1">F27</f>
        <v>0.1</v>
      </c>
      <c r="G45" s="257" t="s">
        <v>2243</v>
      </c>
    </row>
    <row r="46" spans="1:7" s="224" customFormat="1" ht="13.5" customHeight="1">
      <c r="A46" s="892" t="s">
        <v>791</v>
      </c>
      <c r="B46" s="258" t="s">
        <v>2244</v>
      </c>
      <c r="C46" s="259">
        <f ca="1">ROUND((C33+C39)*F27,0)</f>
        <v>340</v>
      </c>
      <c r="D46" s="273"/>
      <c r="E46" s="246"/>
      <c r="F46" s="256"/>
      <c r="G46" s="257"/>
    </row>
    <row r="47" spans="1:7" s="224" customFormat="1" ht="13.5" customHeight="1">
      <c r="A47" s="892" t="s">
        <v>792</v>
      </c>
      <c r="B47" s="258" t="s">
        <v>2245</v>
      </c>
      <c r="C47" s="248">
        <f ca="1">ROUND(C40*F27,4)</f>
        <v>2E-3</v>
      </c>
      <c r="D47" s="273"/>
      <c r="E47" s="246"/>
      <c r="F47" s="256"/>
      <c r="G47" s="257"/>
    </row>
    <row r="48" spans="1:7" s="224" customFormat="1" ht="13.5" customHeight="1">
      <c r="A48" s="265" t="s">
        <v>2207</v>
      </c>
      <c r="B48" s="220" t="s">
        <v>2246</v>
      </c>
      <c r="C48" s="1501">
        <f>ROUND(F30/(1+'数据-取费表'!C42),4)</f>
        <v>5.2400000000000002E-2</v>
      </c>
      <c r="D48" s="246" t="s">
        <v>2234</v>
      </c>
      <c r="E48" s="242"/>
      <c r="F48" s="2542">
        <f>F30</f>
        <v>5.5000000000000007E-2</v>
      </c>
      <c r="G48" s="244" t="s">
        <v>2247</v>
      </c>
    </row>
    <row r="49" spans="1:7" ht="16.5" customHeight="1">
      <c r="A49" s="265" t="s">
        <v>2213</v>
      </c>
      <c r="B49" s="220" t="s">
        <v>2248</v>
      </c>
      <c r="C49" s="242">
        <f ca="1">ROUND((C33+C39+C41+C45)/(1-C40-D41-D45-C48),0)</f>
        <v>4173</v>
      </c>
      <c r="D49" s="242"/>
      <c r="E49" s="242"/>
      <c r="F49" s="274"/>
      <c r="G49" s="244" t="s">
        <v>2249</v>
      </c>
    </row>
    <row r="50" spans="1:7" s="268" customFormat="1" ht="24">
      <c r="A50" s="265" t="s">
        <v>2250</v>
      </c>
      <c r="B50" s="220" t="s">
        <v>2251</v>
      </c>
      <c r="C50" s="242"/>
      <c r="D50" s="242"/>
      <c r="E50" s="242"/>
      <c r="F50" s="274">
        <f>IF('数据-取费表'!B24=0,'数据-取费表'!N16,1)</f>
        <v>0.8</v>
      </c>
      <c r="G50" s="257" t="s">
        <v>2252</v>
      </c>
    </row>
    <row r="51" spans="1:7" ht="16.5" customHeight="1">
      <c r="A51" s="265" t="s">
        <v>2253</v>
      </c>
      <c r="B51" s="220" t="s">
        <v>2254</v>
      </c>
      <c r="C51" s="242">
        <f ca="1">ROUND(C49*F50,0)</f>
        <v>3338</v>
      </c>
      <c r="D51" s="242"/>
      <c r="E51" s="242"/>
      <c r="F51" s="274"/>
      <c r="G51" s="244" t="s">
        <v>2255</v>
      </c>
    </row>
    <row r="52" spans="1:7" s="218" customFormat="1" ht="16.8" thickBot="1">
      <c r="A52" s="275" t="s">
        <v>2256</v>
      </c>
      <c r="B52" s="276"/>
      <c r="C52" s="277">
        <f ca="1">C31+C51</f>
        <v>7457</v>
      </c>
      <c r="D52" s="276"/>
      <c r="E52" s="276"/>
      <c r="F52" s="276"/>
      <c r="G52" s="278"/>
    </row>
    <row r="55" spans="1:7" ht="15">
      <c r="B55" s="280" t="s">
        <v>2257</v>
      </c>
      <c r="C55" s="281"/>
    </row>
    <row r="56" spans="1:7">
      <c r="B56" s="283" t="s">
        <v>1478</v>
      </c>
      <c r="C56" s="285">
        <f ca="1">1-C57</f>
        <v>0.55200000000000005</v>
      </c>
    </row>
    <row r="57" spans="1:7">
      <c r="B57" s="283" t="s">
        <v>1479</v>
      </c>
      <c r="C57" s="284">
        <f ca="1">ROUND(C51/C52,3)</f>
        <v>0.44800000000000001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6" customWidth="1"/>
    <col min="2" max="9" width="10" style="956" customWidth="1"/>
    <col min="10" max="16384" width="9" style="956"/>
  </cols>
  <sheetData>
    <row r="36" spans="1:9">
      <c r="A36" s="955" t="s">
        <v>818</v>
      </c>
      <c r="B36" s="955" t="s">
        <v>819</v>
      </c>
    </row>
    <row r="37" spans="1:9" ht="27.75" customHeight="1">
      <c r="A37" s="955"/>
      <c r="B37" s="3117" t="str">
        <f>项目基本情况!B1</f>
        <v>北京市北京经济技术开发区东环北路1号工业用房房地产抵押价值预评估</v>
      </c>
      <c r="C37" s="3117"/>
      <c r="D37" s="3117"/>
      <c r="E37" s="3117"/>
      <c r="F37" s="3117"/>
      <c r="G37" s="3117"/>
      <c r="H37" s="3117"/>
      <c r="I37" s="3117"/>
    </row>
    <row r="38" spans="1:9">
      <c r="A38" s="957"/>
      <c r="B38" s="957"/>
    </row>
    <row r="39" spans="1:9">
      <c r="A39" s="955" t="s">
        <v>818</v>
      </c>
      <c r="B39" s="955" t="s">
        <v>820</v>
      </c>
    </row>
    <row r="40" spans="1:9">
      <c r="A40" s="955"/>
      <c r="B40" s="1665" t="str">
        <f>项目基本情况!B5</f>
        <v>北京百得利汽车进出口集团有限公司</v>
      </c>
    </row>
    <row r="41" spans="1:9">
      <c r="A41" s="955"/>
      <c r="B41" s="955"/>
    </row>
    <row r="42" spans="1:9">
      <c r="A42" s="955" t="s">
        <v>818</v>
      </c>
      <c r="B42" s="955" t="s">
        <v>821</v>
      </c>
    </row>
    <row r="43" spans="1:9">
      <c r="A43" s="955"/>
      <c r="B43" s="1665" t="s">
        <v>822</v>
      </c>
    </row>
    <row r="44" spans="1:9">
      <c r="A44" s="955"/>
      <c r="B44" s="955"/>
    </row>
    <row r="45" spans="1:9">
      <c r="A45" s="955" t="s">
        <v>818</v>
      </c>
      <c r="B45" s="955" t="s">
        <v>823</v>
      </c>
    </row>
    <row r="46" spans="1:9" s="955" customFormat="1">
      <c r="B46" s="1665" t="str">
        <f ca="1">项目基本情况!K4</f>
        <v>崔锴（注册号：1120100036)、郑燚（注册号：1120070131)</v>
      </c>
    </row>
    <row r="47" spans="1:9">
      <c r="A47" s="955"/>
      <c r="B47" s="955" t="str">
        <f>项目基本情况!K5</f>
        <v>（注册号：0)、（注册号：0)</v>
      </c>
    </row>
    <row r="48" spans="1:9">
      <c r="A48" s="955" t="s">
        <v>818</v>
      </c>
      <c r="B48" s="955" t="s">
        <v>824</v>
      </c>
    </row>
    <row r="49" spans="2:2">
      <c r="B49" s="166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3203125" defaultRowHeight="13.2"/>
  <cols>
    <col min="1" max="1" width="9.33203125" style="279" customWidth="1"/>
    <col min="2" max="2" width="29.21875" style="261" customWidth="1"/>
    <col min="3" max="3" width="12.109375" style="261" customWidth="1"/>
    <col min="4" max="5" width="11.21875" style="282" customWidth="1"/>
    <col min="6" max="6" width="9.44140625" style="261" customWidth="1"/>
    <col min="7" max="7" width="31.88671875" style="261" customWidth="1"/>
    <col min="8" max="8" width="10.77734375" style="261" customWidth="1"/>
    <col min="9" max="254" width="9" style="261" customWidth="1"/>
    <col min="255" max="16384" width="8.33203125" style="261"/>
  </cols>
  <sheetData>
    <row r="1" spans="1:8" s="210" customFormat="1" ht="21">
      <c r="A1" s="206" t="s">
        <v>2156</v>
      </c>
      <c r="B1" s="1660"/>
      <c r="C1" s="2051" t="s">
        <v>2258</v>
      </c>
      <c r="D1" s="208"/>
      <c r="E1" s="208"/>
      <c r="F1" s="208"/>
      <c r="G1" s="1292">
        <f>MATCH(B1,'数据-取费表'!A6:A16,0)+5</f>
        <v>7</v>
      </c>
      <c r="H1" s="1196" t="str">
        <f>IF(ISERROR(FIND("住宅",B1)),"非住宅","住宅")</f>
        <v>非住宅</v>
      </c>
    </row>
    <row r="2" spans="1:8" s="210" customFormat="1" ht="18" customHeight="1">
      <c r="A2" s="211" t="s">
        <v>2157</v>
      </c>
      <c r="B2" s="212">
        <f ca="1">ROUND(IF(D2="——",C52/10000,C52/10000-E2),0)</f>
        <v>3785</v>
      </c>
      <c r="C2" s="209" t="s">
        <v>2158</v>
      </c>
      <c r="D2" s="2045" t="s">
        <v>70</v>
      </c>
      <c r="E2" s="1335" t="e">
        <f ca="1">SUMIF(INDIRECT("'"&amp;G2&amp;"'"&amp;"!A:A"),"承租人权益价值",INDIRECT("'"&amp;G2&amp;"'"&amp;"!c:c"))</f>
        <v>#REF!</v>
      </c>
      <c r="F2" s="2046" t="s">
        <v>2158</v>
      </c>
      <c r="G2" s="2047"/>
    </row>
    <row r="3" spans="1:8" s="210" customFormat="1" ht="18" customHeight="1" thickBot="1">
      <c r="A3" s="213" t="s">
        <v>2159</v>
      </c>
      <c r="B3" s="214">
        <f ca="1">ROUND(B2*10000/(IF(B1="",'数据-汇总表'!E3,INDIRECT("'数据-取费表'!k"&amp;$G$1))),0)</f>
        <v>4381</v>
      </c>
      <c r="C3" s="209" t="s">
        <v>2160</v>
      </c>
      <c r="D3" s="209"/>
      <c r="E3" s="209"/>
      <c r="F3" s="209"/>
      <c r="G3" s="209"/>
    </row>
    <row r="4" spans="1:8" s="218" customFormat="1" ht="16.2">
      <c r="A4" s="215" t="s">
        <v>2161</v>
      </c>
      <c r="B4" s="216"/>
      <c r="C4" s="216"/>
      <c r="D4" s="216"/>
      <c r="E4" s="216"/>
      <c r="F4" s="216"/>
      <c r="G4" s="217"/>
    </row>
    <row r="5" spans="1:8" s="224" customFormat="1" ht="13.5" customHeight="1">
      <c r="A5" s="265" t="s">
        <v>2162</v>
      </c>
      <c r="B5" s="220" t="s">
        <v>2163</v>
      </c>
      <c r="C5" s="221">
        <f ca="1">C6+C7+C8</f>
        <v>1728028</v>
      </c>
      <c r="D5" s="221" t="s">
        <v>2164</v>
      </c>
      <c r="E5" s="222" t="s">
        <v>2165</v>
      </c>
      <c r="F5" s="222" t="s">
        <v>2166</v>
      </c>
      <c r="G5" s="223"/>
    </row>
    <row r="6" spans="1:8" s="224" customFormat="1" ht="13.5" customHeight="1">
      <c r="A6" s="890" t="s">
        <v>2167</v>
      </c>
      <c r="B6" s="225" t="s">
        <v>2168</v>
      </c>
      <c r="C6" s="226"/>
      <c r="D6" s="227"/>
      <c r="E6" s="228"/>
      <c r="F6" s="228"/>
      <c r="G6" s="229"/>
    </row>
    <row r="7" spans="1:8" s="224" customFormat="1" ht="13.5" customHeight="1">
      <c r="A7" s="890" t="s">
        <v>2169</v>
      </c>
      <c r="B7" s="225" t="s">
        <v>2170</v>
      </c>
      <c r="C7" s="230">
        <f>ROUND(C6*F7,0)</f>
        <v>0</v>
      </c>
      <c r="D7" s="230"/>
      <c r="E7" s="228"/>
      <c r="F7" s="231">
        <f>IF(项目基本情况!B8="出让",0,'数据-取费表'!B48+'数据-取费表'!B49)</f>
        <v>3.0499999999999999E-2</v>
      </c>
      <c r="G7" s="229"/>
    </row>
    <row r="8" spans="1:8" s="233" customFormat="1">
      <c r="A8" s="890" t="s">
        <v>2171</v>
      </c>
      <c r="B8" s="225" t="s">
        <v>2172</v>
      </c>
      <c r="C8" s="230">
        <f ca="1">IF(G8="已包含在土地购买价格中",0,C9+C10)</f>
        <v>1728028</v>
      </c>
      <c r="D8" s="232"/>
      <c r="E8" s="230"/>
      <c r="F8" s="231"/>
      <c r="G8" s="2048"/>
    </row>
    <row r="9" spans="1:8" s="224" customFormat="1" ht="13.5" customHeight="1">
      <c r="A9" s="891" t="s">
        <v>800</v>
      </c>
      <c r="B9" s="234" t="s">
        <v>2173</v>
      </c>
      <c r="C9" s="235">
        <f ca="1">ROUND(D9*E9,0)</f>
        <v>0</v>
      </c>
      <c r="D9" s="958">
        <f ca="1">IF(B1="",'数据-汇总表'!E5,IF(INDIRECT("'数据-取费表'!c"&amp;$G$1)="住宅",INDIRECT("'数据-取费表'!k"&amp;$G$1),0))</f>
        <v>0</v>
      </c>
      <c r="E9" s="235">
        <f>'数据-取费表'!B27</f>
        <v>0</v>
      </c>
      <c r="F9" s="231"/>
      <c r="G9" s="236"/>
    </row>
    <row r="10" spans="1:8" s="224" customFormat="1" ht="13.5" customHeight="1">
      <c r="A10" s="891" t="s">
        <v>801</v>
      </c>
      <c r="B10" s="234" t="s">
        <v>2175</v>
      </c>
      <c r="C10" s="235">
        <f ca="1">ROUND(D10*E10,0)</f>
        <v>1728028</v>
      </c>
      <c r="D10" s="958">
        <f ca="1">IF(B1="",'数据-汇总表'!E6,IF(INDIRECT("'数据-取费表'!c"&amp;$G$1)="住宅",INDIRECT("'数据-取费表'!s"&amp;$G$1),INDIRECT("'数据-取费表'!k"&amp;$G$1)+INDIRECT("'数据-取费表'!s"&amp;$G$1)))</f>
        <v>8640.14</v>
      </c>
      <c r="E10" s="235">
        <f>'数据-取费表'!B28</f>
        <v>200</v>
      </c>
      <c r="F10" s="231"/>
      <c r="G10" s="236"/>
    </row>
    <row r="11" spans="1:8" s="224" customFormat="1" ht="13.5" hidden="1" customHeight="1">
      <c r="A11" s="237" t="s">
        <v>7</v>
      </c>
      <c r="B11" s="225" t="s">
        <v>2176</v>
      </c>
      <c r="C11" s="221"/>
      <c r="D11" s="960"/>
      <c r="E11" s="228"/>
      <c r="F11" s="228"/>
      <c r="G11" s="229"/>
    </row>
    <row r="12" spans="1:8" s="224" customFormat="1" ht="13.5" hidden="1" customHeight="1">
      <c r="A12" s="237" t="s">
        <v>8</v>
      </c>
      <c r="B12" s="225" t="s">
        <v>2259</v>
      </c>
      <c r="C12" s="221">
        <v>0</v>
      </c>
      <c r="D12" s="960"/>
      <c r="E12" s="238"/>
      <c r="F12" s="231">
        <v>3.0499999999999999E-2</v>
      </c>
      <c r="G12" s="229"/>
    </row>
    <row r="13" spans="1:8" s="224" customFormat="1" ht="13.5" hidden="1" customHeight="1">
      <c r="A13" s="237" t="s">
        <v>9</v>
      </c>
      <c r="B13" s="225" t="s">
        <v>2260</v>
      </c>
      <c r="C13" s="221"/>
      <c r="D13" s="960"/>
      <c r="E13" s="228"/>
      <c r="F13" s="228"/>
      <c r="G13" s="229"/>
    </row>
    <row r="14" spans="1:8" s="224" customFormat="1" ht="13.5" hidden="1" customHeight="1">
      <c r="A14" s="237" t="s">
        <v>10</v>
      </c>
      <c r="B14" s="225" t="s">
        <v>2172</v>
      </c>
      <c r="C14" s="221"/>
      <c r="D14" s="960"/>
      <c r="E14" s="228"/>
      <c r="F14" s="228"/>
      <c r="G14" s="229" t="s">
        <v>2261</v>
      </c>
    </row>
    <row r="15" spans="1:8" s="224" customFormat="1" ht="13.5" hidden="1" customHeight="1">
      <c r="A15" s="237" t="s">
        <v>11</v>
      </c>
      <c r="B15" s="225" t="s">
        <v>2262</v>
      </c>
      <c r="C15" s="230"/>
      <c r="D15" s="960"/>
      <c r="E15" s="228"/>
      <c r="F15" s="228"/>
      <c r="G15" s="229" t="s">
        <v>2263</v>
      </c>
    </row>
    <row r="16" spans="1:8" s="224" customFormat="1" ht="13.5" hidden="1" customHeight="1">
      <c r="A16" s="237" t="s">
        <v>12</v>
      </c>
      <c r="B16" s="225" t="s">
        <v>2172</v>
      </c>
      <c r="C16" s="230"/>
      <c r="D16" s="960"/>
      <c r="E16" s="228"/>
      <c r="F16" s="228"/>
      <c r="G16" s="229"/>
    </row>
    <row r="17" spans="1:7" s="224" customFormat="1" ht="13.5" hidden="1" customHeight="1">
      <c r="A17" s="237" t="s">
        <v>13</v>
      </c>
      <c r="B17" s="225" t="s">
        <v>2264</v>
      </c>
      <c r="C17" s="239"/>
      <c r="D17" s="961"/>
      <c r="E17" s="239"/>
      <c r="F17" s="239"/>
      <c r="G17" s="229" t="s">
        <v>2263</v>
      </c>
    </row>
    <row r="18" spans="1:7" s="224" customFormat="1" ht="13.5" hidden="1" customHeight="1">
      <c r="A18" s="237" t="s">
        <v>14</v>
      </c>
      <c r="B18" s="225" t="s">
        <v>2265</v>
      </c>
      <c r="C18" s="230">
        <v>0</v>
      </c>
      <c r="D18" s="960"/>
      <c r="E18" s="228"/>
      <c r="F18" s="231">
        <v>3.0499999999999999E-2</v>
      </c>
      <c r="G18" s="229" t="s">
        <v>2266</v>
      </c>
    </row>
    <row r="19" spans="1:7" s="233" customFormat="1" ht="13.5" customHeight="1">
      <c r="A19" s="265" t="s">
        <v>2267</v>
      </c>
      <c r="B19" s="220" t="s">
        <v>2268</v>
      </c>
      <c r="C19" s="221">
        <f ca="1">IF(G19="已包含在土地取得成本中","0",ROUND(D19*E19,0))</f>
        <v>1728028</v>
      </c>
      <c r="D19" s="962">
        <f ca="1">D9+D10</f>
        <v>8640.14</v>
      </c>
      <c r="E19" s="221">
        <f>'数据-取费表'!B31</f>
        <v>200</v>
      </c>
      <c r="F19" s="241"/>
      <c r="G19" s="2048"/>
    </row>
    <row r="20" spans="1:7" s="224" customFormat="1" ht="13.5" customHeight="1">
      <c r="A20" s="265" t="s">
        <v>2269</v>
      </c>
      <c r="B20" s="220" t="s">
        <v>2270</v>
      </c>
      <c r="C20" s="242">
        <f ca="1">ROUND((C5+C19)*F20,0)</f>
        <v>69121</v>
      </c>
      <c r="D20" s="242"/>
      <c r="E20" s="242"/>
      <c r="F20" s="243">
        <f>'数据-取费表'!B37</f>
        <v>0.02</v>
      </c>
      <c r="G20" s="244" t="s">
        <v>2271</v>
      </c>
    </row>
    <row r="21" spans="1:7" s="224" customFormat="1" ht="13.5" customHeight="1">
      <c r="A21" s="265" t="s">
        <v>2272</v>
      </c>
      <c r="B21" s="220" t="s">
        <v>2273</v>
      </c>
      <c r="C21" s="245">
        <f>F21</f>
        <v>0.02</v>
      </c>
      <c r="D21" s="246" t="s">
        <v>2274</v>
      </c>
      <c r="E21" s="242"/>
      <c r="F21" s="243">
        <f>'数据-取费表'!B38</f>
        <v>0.02</v>
      </c>
      <c r="G21" s="244" t="s">
        <v>2275</v>
      </c>
    </row>
    <row r="22" spans="1:7" s="224" customFormat="1" ht="13.5" customHeight="1">
      <c r="A22" s="265" t="s">
        <v>2276</v>
      </c>
      <c r="B22" s="220" t="s">
        <v>2277</v>
      </c>
      <c r="C22" s="1293">
        <f ca="1">ROUND(SUM(C23:C25),0)</f>
        <v>251594</v>
      </c>
      <c r="D22" s="245">
        <f ca="1">C26</f>
        <v>6.9999999999999999E-4</v>
      </c>
      <c r="E22" s="246" t="s">
        <v>2274</v>
      </c>
      <c r="F22" s="247">
        <f ca="1">'数据-取费表'!B40</f>
        <v>4.7500000000000001E-2</v>
      </c>
      <c r="G22" s="244" t="str">
        <f>IF('数据-取费表'!B22&lt;=1,"单利计息","复利计息")</f>
        <v>复利计息</v>
      </c>
    </row>
    <row r="23" spans="1:7" s="224" customFormat="1" ht="13.5" customHeight="1">
      <c r="A23" s="892" t="s">
        <v>2167</v>
      </c>
      <c r="B23" s="225" t="s">
        <v>2278</v>
      </c>
      <c r="C23" s="1294">
        <f ca="1">ROUND(IF('数据-取费表'!B22&lt;=1,C5*F22*'数据-取费表'!B22,C5*(POWER((1+F22),'数据-取费表'!B22)-1)),0)</f>
        <v>124573</v>
      </c>
      <c r="D23" s="248"/>
      <c r="E23" s="248"/>
      <c r="F23" s="249"/>
      <c r="G23" s="250" t="s">
        <v>2279</v>
      </c>
    </row>
    <row r="24" spans="1:7" s="224" customFormat="1" ht="13.5" customHeight="1">
      <c r="A24" s="892" t="s">
        <v>2169</v>
      </c>
      <c r="B24" s="225" t="s">
        <v>2280</v>
      </c>
      <c r="C24" s="1294">
        <f ca="1">ROUND(IF('数据-取费表'!B22&lt;=1,C19*F22*('数据-取费表'!B19/2+'数据-取费表'!B20),C19*(POWER((1+F22),('数据-取费表'!B19/2+'数据-取费表'!B20))-1)),0)</f>
        <v>124573</v>
      </c>
      <c r="D24" s="248"/>
      <c r="E24" s="248"/>
      <c r="F24" s="249"/>
      <c r="G24" s="250" t="s">
        <v>2281</v>
      </c>
    </row>
    <row r="25" spans="1:7" s="224" customFormat="1" ht="24">
      <c r="A25" s="892" t="s">
        <v>2171</v>
      </c>
      <c r="B25" s="225" t="s">
        <v>2282</v>
      </c>
      <c r="C25" s="1294">
        <f ca="1">ROUND(IF('数据-取费表'!B22&lt;=1,C20*F22*'数据-取费表'!B22/2,C20*(POWER((1+F22),'数据-取费表'!B22/2)-1)),0)</f>
        <v>2448</v>
      </c>
      <c r="D25" s="248"/>
      <c r="E25" s="251"/>
      <c r="F25" s="249"/>
      <c r="G25" s="252" t="s">
        <v>2283</v>
      </c>
    </row>
    <row r="26" spans="1:7" s="224" customFormat="1">
      <c r="A26" s="892" t="s">
        <v>795</v>
      </c>
      <c r="B26" s="225" t="s">
        <v>2206</v>
      </c>
      <c r="C26" s="248">
        <f ca="1">ROUND(IF('数据-取费表'!B22&lt;=1,F21*F22*'数据-取费表'!B22/2,F21*(POWER((1+F22),'数据-取费表'!B22/2)-1)),4)</f>
        <v>6.9999999999999999E-4</v>
      </c>
      <c r="D26" s="248"/>
      <c r="E26" s="251"/>
      <c r="F26" s="249"/>
      <c r="G26" s="253"/>
    </row>
    <row r="27" spans="1:7" s="224" customFormat="1" ht="26.4">
      <c r="A27" s="265" t="s">
        <v>2207</v>
      </c>
      <c r="B27" s="254" t="s">
        <v>2208</v>
      </c>
      <c r="C27" s="255">
        <f ca="1">C28</f>
        <v>352518</v>
      </c>
      <c r="D27" s="245">
        <f ca="1">C29</f>
        <v>2E-3</v>
      </c>
      <c r="E27" s="246" t="s">
        <v>2209</v>
      </c>
      <c r="F27" s="256">
        <f ca="1">IF(B1="",'数据-取费表'!Q16,INDIRECT("'数据-取费表'!q"&amp;$G$1))</f>
        <v>0.1</v>
      </c>
      <c r="G27" s="257" t="s">
        <v>2210</v>
      </c>
    </row>
    <row r="28" spans="1:7" s="224" customFormat="1" ht="13.5" customHeight="1">
      <c r="A28" s="892" t="s">
        <v>791</v>
      </c>
      <c r="B28" s="258" t="s">
        <v>2211</v>
      </c>
      <c r="C28" s="259">
        <f ca="1">ROUND((C5+C19+C20)*F27,0)</f>
        <v>352518</v>
      </c>
      <c r="D28" s="245"/>
      <c r="E28" s="246"/>
      <c r="F28" s="256"/>
      <c r="G28" s="257"/>
    </row>
    <row r="29" spans="1:7" s="224" customFormat="1" ht="13.5" customHeight="1">
      <c r="A29" s="892" t="s">
        <v>792</v>
      </c>
      <c r="B29" s="258" t="s">
        <v>2212</v>
      </c>
      <c r="C29" s="248">
        <f ca="1">ROUND(C21*F27,4)</f>
        <v>2E-3</v>
      </c>
      <c r="D29" s="245"/>
      <c r="E29" s="246"/>
      <c r="F29" s="256"/>
      <c r="G29" s="257"/>
    </row>
    <row r="30" spans="1:7" s="224" customFormat="1" ht="13.5" customHeight="1">
      <c r="A30" s="265" t="s">
        <v>2213</v>
      </c>
      <c r="B30" s="220" t="s">
        <v>2214</v>
      </c>
      <c r="C30" s="245">
        <f>ROUND(F30/(1+'数据-取费表'!C42),4)</f>
        <v>5.2400000000000002E-2</v>
      </c>
      <c r="D30" s="246" t="s">
        <v>2209</v>
      </c>
      <c r="E30" s="251"/>
      <c r="F30" s="247">
        <f>'数据-取费表'!B41</f>
        <v>5.5000000000000007E-2</v>
      </c>
      <c r="G30" s="244" t="s">
        <v>2215</v>
      </c>
    </row>
    <row r="31" spans="1:7" ht="16.5" customHeight="1">
      <c r="A31" s="219">
        <v>1</v>
      </c>
      <c r="B31" s="220" t="s">
        <v>2216</v>
      </c>
      <c r="C31" s="221">
        <f ca="1">ROUND((C5+C19+C20+C22+C27)/(1-C21-D22-D27-C30),0)</f>
        <v>4464579</v>
      </c>
      <c r="D31" s="240"/>
      <c r="E31" s="221"/>
      <c r="F31" s="260"/>
      <c r="G31" s="244" t="s">
        <v>2217</v>
      </c>
    </row>
    <row r="32" spans="1:7" s="218" customFormat="1" ht="16.2">
      <c r="A32" s="262" t="s">
        <v>2284</v>
      </c>
      <c r="B32" s="263"/>
      <c r="C32" s="263"/>
      <c r="D32" s="263"/>
      <c r="E32" s="263"/>
      <c r="F32" s="263"/>
      <c r="G32" s="264"/>
    </row>
    <row r="33" spans="1:7" s="224" customFormat="1" ht="13.5" customHeight="1">
      <c r="A33" s="265" t="s">
        <v>782</v>
      </c>
      <c r="B33" s="220" t="s">
        <v>2285</v>
      </c>
      <c r="C33" s="266">
        <f ca="1">SUM(C34:C38)</f>
        <v>33329340</v>
      </c>
      <c r="D33" s="242"/>
      <c r="E33" s="222"/>
      <c r="F33" s="251"/>
      <c r="G33" s="244"/>
    </row>
    <row r="34" spans="1:7" s="268" customFormat="1" ht="13.5" customHeight="1">
      <c r="A34" s="892" t="s">
        <v>791</v>
      </c>
      <c r="B34" s="225" t="s">
        <v>2220</v>
      </c>
      <c r="C34" s="230">
        <f ca="1">ROUND(IF(B1="",SUMPRODUCT('数据-取费表'!K6:K14,'数据-取费表'!L6:L14),INDIRECT("'数据-取费表'!l"&amp;$G$1)*INDIRECT("'数据-取费表'!k"&amp;$G$1)+'数据-取费表'!L14*INDIRECT("'数据-取费表'!S"&amp;$G$1)),0)</f>
        <v>30240490</v>
      </c>
      <c r="D34" s="227"/>
      <c r="E34" s="230"/>
      <c r="F34" s="267"/>
      <c r="G34" s="229"/>
    </row>
    <row r="35" spans="1:7" ht="13.5" customHeight="1">
      <c r="A35" s="892" t="s">
        <v>796</v>
      </c>
      <c r="B35" s="225" t="s">
        <v>2222</v>
      </c>
      <c r="C35" s="230">
        <f ca="1">ROUND(C34*F35,0)</f>
        <v>907215</v>
      </c>
      <c r="D35" s="230"/>
      <c r="E35" s="230"/>
      <c r="F35" s="269">
        <f>'数据-取费表'!B33</f>
        <v>0.03</v>
      </c>
      <c r="G35" s="229" t="s">
        <v>2223</v>
      </c>
    </row>
    <row r="36" spans="1:7" ht="24">
      <c r="A36" s="892" t="s">
        <v>797</v>
      </c>
      <c r="B36" s="225" t="s">
        <v>2224</v>
      </c>
      <c r="C36" s="230">
        <f ca="1">ROUND(IF(B1="",SUM('数据-取费表'!AP6:AP13)*F36,IF(INDIRECT("'数据-取费表'!c"&amp;$G$1)="住宅",INDIRECT("'数据-取费表'!k"&amp;$G$1)*INDIRECT("'数据-取费表'!l"&amp;$G$1)*F36,0)),0)</f>
        <v>0</v>
      </c>
      <c r="D36" s="230"/>
      <c r="E36" s="230"/>
      <c r="F36" s="269">
        <f>'数据-取费表'!B34</f>
        <v>0</v>
      </c>
      <c r="G36" s="270" t="s">
        <v>2225</v>
      </c>
    </row>
    <row r="37" spans="1:7" s="268" customFormat="1" ht="13.5" customHeight="1">
      <c r="A37" s="892" t="s">
        <v>798</v>
      </c>
      <c r="B37" s="225" t="s">
        <v>2226</v>
      </c>
      <c r="C37" s="259">
        <f ca="1">ROUND(E37*D37,0)</f>
        <v>1728028</v>
      </c>
      <c r="D37" s="227">
        <f ca="1">D19</f>
        <v>8640.14</v>
      </c>
      <c r="E37" s="259">
        <f>'数据-取费表'!B35</f>
        <v>200</v>
      </c>
      <c r="F37" s="269"/>
      <c r="G37" s="271"/>
    </row>
    <row r="38" spans="1:7" ht="13.5" customHeight="1">
      <c r="A38" s="892" t="s">
        <v>799</v>
      </c>
      <c r="B38" s="225" t="s">
        <v>2228</v>
      </c>
      <c r="C38" s="230">
        <f ca="1">ROUND(C34*F38,0)</f>
        <v>453607</v>
      </c>
      <c r="D38" s="230"/>
      <c r="E38" s="230"/>
      <c r="F38" s="269">
        <f>'数据-取费表'!B36</f>
        <v>1.4999999999999999E-2</v>
      </c>
      <c r="G38" s="229" t="s">
        <v>2223</v>
      </c>
    </row>
    <row r="39" spans="1:7" s="224" customFormat="1" ht="13.5" customHeight="1">
      <c r="A39" s="265" t="s">
        <v>2229</v>
      </c>
      <c r="B39" s="220" t="s">
        <v>2230</v>
      </c>
      <c r="C39" s="242">
        <f ca="1">ROUND(C33*F20,0)</f>
        <v>666587</v>
      </c>
      <c r="D39" s="242"/>
      <c r="E39" s="242"/>
      <c r="F39" s="2541">
        <f>F20</f>
        <v>0.02</v>
      </c>
      <c r="G39" s="244" t="s">
        <v>2231</v>
      </c>
    </row>
    <row r="40" spans="1:7" s="224" customFormat="1" ht="13.5" customHeight="1">
      <c r="A40" s="265" t="s">
        <v>2232</v>
      </c>
      <c r="B40" s="220" t="s">
        <v>2233</v>
      </c>
      <c r="C40" s="1501">
        <f>F21</f>
        <v>0.02</v>
      </c>
      <c r="D40" s="246" t="s">
        <v>2234</v>
      </c>
      <c r="E40" s="242"/>
      <c r="F40" s="2541">
        <f>F21</f>
        <v>0.02</v>
      </c>
      <c r="G40" s="244" t="s">
        <v>2235</v>
      </c>
    </row>
    <row r="41" spans="1:7" s="224" customFormat="1" ht="13.5" customHeight="1">
      <c r="A41" s="265" t="s">
        <v>2236</v>
      </c>
      <c r="B41" s="220" t="s">
        <v>2237</v>
      </c>
      <c r="C41" s="242">
        <f ca="1">ROUND(SUM(C42:C43),0)</f>
        <v>1204053</v>
      </c>
      <c r="D41" s="245">
        <f ca="1">C44</f>
        <v>6.9999999999999999E-4</v>
      </c>
      <c r="E41" s="246" t="s">
        <v>2234</v>
      </c>
      <c r="F41" s="2542">
        <f ca="1">F22</f>
        <v>4.7500000000000001E-2</v>
      </c>
      <c r="G41" s="244" t="str">
        <f>IF('数据-取费表'!B22&lt;=1,"单利计息","复利计息")</f>
        <v>复利计息</v>
      </c>
    </row>
    <row r="42" spans="1:7" ht="13.5" customHeight="1">
      <c r="A42" s="892" t="s">
        <v>791</v>
      </c>
      <c r="B42" s="225" t="s">
        <v>2238</v>
      </c>
      <c r="C42" s="248">
        <f ca="1">ROUND(IF('数据-取费表'!B22&lt;=1,C33*F22*'数据-取费表'!B20/2,C33*(POWER((1+F22),'数据-取费表'!B20/2)-1)),0)</f>
        <v>1180444</v>
      </c>
      <c r="D42" s="248"/>
      <c r="E42" s="248"/>
      <c r="F42" s="249"/>
      <c r="G42" s="3306" t="s">
        <v>2286</v>
      </c>
    </row>
    <row r="43" spans="1:7" ht="13.5" customHeight="1">
      <c r="A43" s="892" t="s">
        <v>792</v>
      </c>
      <c r="B43" s="225" t="s">
        <v>2240</v>
      </c>
      <c r="C43" s="248">
        <f ca="1">ROUND(IF('数据-取费表'!B22&lt;=1,C39*F22*'数据-取费表'!B20/2,C39*(POWER((1+F22),'数据-取费表'!B20/2)-1)),0)</f>
        <v>23609</v>
      </c>
      <c r="D43" s="248"/>
      <c r="E43" s="248"/>
      <c r="F43" s="249"/>
      <c r="G43" s="3307"/>
    </row>
    <row r="44" spans="1:7" ht="13.5" customHeight="1">
      <c r="A44" s="892" t="s">
        <v>793</v>
      </c>
      <c r="B44" s="225" t="s">
        <v>2241</v>
      </c>
      <c r="C44" s="248">
        <f ca="1">ROUND(IF('数据-取费表'!B22&lt;=1,C40*F22*'数据-取费表'!B20/2,C40*(POWER((1+F22),'数据-取费表'!B20/2)-1)),4)</f>
        <v>6.9999999999999999E-4</v>
      </c>
      <c r="D44" s="248"/>
      <c r="E44" s="248"/>
      <c r="F44" s="249"/>
      <c r="G44" s="3308"/>
    </row>
    <row r="45" spans="1:7" s="224" customFormat="1" ht="13.5" customHeight="1">
      <c r="A45" s="265" t="s">
        <v>2242</v>
      </c>
      <c r="B45" s="254" t="s">
        <v>2208</v>
      </c>
      <c r="C45" s="255">
        <f ca="1">C46</f>
        <v>3399593</v>
      </c>
      <c r="D45" s="245">
        <f ca="1">C47</f>
        <v>2E-3</v>
      </c>
      <c r="E45" s="246" t="s">
        <v>2234</v>
      </c>
      <c r="F45" s="2543">
        <f ca="1">F27</f>
        <v>0.1</v>
      </c>
      <c r="G45" s="257" t="s">
        <v>2243</v>
      </c>
    </row>
    <row r="46" spans="1:7" s="224" customFormat="1" ht="13.5" customHeight="1">
      <c r="A46" s="892" t="s">
        <v>791</v>
      </c>
      <c r="B46" s="258" t="s">
        <v>2244</v>
      </c>
      <c r="C46" s="259">
        <f ca="1">ROUND((C33+C39)*F27,0)</f>
        <v>3399593</v>
      </c>
      <c r="D46" s="273"/>
      <c r="E46" s="246"/>
      <c r="F46" s="256"/>
      <c r="G46" s="257"/>
    </row>
    <row r="47" spans="1:7" s="224" customFormat="1" ht="13.5" customHeight="1">
      <c r="A47" s="892" t="s">
        <v>792</v>
      </c>
      <c r="B47" s="258" t="s">
        <v>2245</v>
      </c>
      <c r="C47" s="248">
        <f ca="1">ROUND(C40*F27,4)</f>
        <v>2E-3</v>
      </c>
      <c r="D47" s="273"/>
      <c r="E47" s="246"/>
      <c r="F47" s="256"/>
      <c r="G47" s="257"/>
    </row>
    <row r="48" spans="1:7" s="224" customFormat="1" ht="13.5" customHeight="1">
      <c r="A48" s="265" t="s">
        <v>2207</v>
      </c>
      <c r="B48" s="220" t="s">
        <v>2246</v>
      </c>
      <c r="C48" s="272">
        <f>ROUND(F30/(1+'数据-取费表'!C42),4)</f>
        <v>5.2400000000000002E-2</v>
      </c>
      <c r="D48" s="246" t="s">
        <v>2234</v>
      </c>
      <c r="E48" s="242"/>
      <c r="F48" s="2542">
        <f>F30</f>
        <v>5.5000000000000007E-2</v>
      </c>
      <c r="G48" s="244" t="s">
        <v>2247</v>
      </c>
    </row>
    <row r="49" spans="1:7" ht="16.5" customHeight="1">
      <c r="A49" s="265" t="s">
        <v>2213</v>
      </c>
      <c r="B49" s="220" t="s">
        <v>2287</v>
      </c>
      <c r="C49" s="242">
        <f ca="1">ROUND((C33+C39+C41+C45)/(1-C40-D41-D45-C48),0)</f>
        <v>41733780</v>
      </c>
      <c r="D49" s="242"/>
      <c r="E49" s="242"/>
      <c r="F49" s="274"/>
      <c r="G49" s="244" t="s">
        <v>2249</v>
      </c>
    </row>
    <row r="50" spans="1:7" s="268" customFormat="1">
      <c r="A50" s="265" t="s">
        <v>2250</v>
      </c>
      <c r="B50" s="220" t="s">
        <v>2251</v>
      </c>
      <c r="C50" s="242"/>
      <c r="D50" s="242"/>
      <c r="E50" s="242"/>
      <c r="F50" s="274">
        <f>IF('数据-取费表'!B24=0,'数据-取费表'!N16,1)</f>
        <v>0.8</v>
      </c>
      <c r="G50" s="257"/>
    </row>
    <row r="51" spans="1:7" ht="16.5" customHeight="1">
      <c r="A51" s="265" t="s">
        <v>2253</v>
      </c>
      <c r="B51" s="220" t="s">
        <v>2288</v>
      </c>
      <c r="C51" s="242">
        <f ca="1">ROUND(C49*F50,0)</f>
        <v>33387024</v>
      </c>
      <c r="D51" s="242"/>
      <c r="E51" s="242"/>
      <c r="F51" s="274"/>
      <c r="G51" s="244" t="s">
        <v>2255</v>
      </c>
    </row>
    <row r="52" spans="1:7" s="218" customFormat="1" ht="16.8" thickBot="1">
      <c r="A52" s="275" t="s">
        <v>2256</v>
      </c>
      <c r="B52" s="276"/>
      <c r="C52" s="277">
        <f ca="1">C31+C51</f>
        <v>37851603</v>
      </c>
      <c r="D52" s="276"/>
      <c r="E52" s="276"/>
      <c r="F52" s="276"/>
      <c r="G52" s="278"/>
    </row>
    <row r="55" spans="1:7" ht="15">
      <c r="B55" s="280" t="s">
        <v>2257</v>
      </c>
      <c r="C55" s="281"/>
    </row>
    <row r="56" spans="1:7">
      <c r="B56" s="283" t="s">
        <v>1478</v>
      </c>
      <c r="C56" s="285">
        <f ca="1">1-C57</f>
        <v>0.11799999999999999</v>
      </c>
    </row>
    <row r="57" spans="1:7">
      <c r="B57" s="283" t="s">
        <v>1479</v>
      </c>
      <c r="C57" s="284">
        <f ca="1">ROUND(C51/C52,3)</f>
        <v>0.88200000000000001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640625" defaultRowHeight="13.2"/>
  <cols>
    <col min="1" max="1" width="9.77734375" style="741" customWidth="1"/>
    <col min="2" max="2" width="25.77734375" style="893" customWidth="1"/>
    <col min="3" max="3" width="10.33203125" style="936" customWidth="1"/>
    <col min="4" max="4" width="9.88671875" style="893" customWidth="1"/>
    <col min="5" max="5" width="9.44140625" style="741" customWidth="1"/>
    <col min="6" max="6" width="10.109375" style="893" customWidth="1"/>
    <col min="7" max="7" width="10.77734375" style="893" customWidth="1"/>
    <col min="8" max="8" width="10" style="893" customWidth="1"/>
    <col min="9" max="11" width="9.44140625" style="893" customWidth="1"/>
    <col min="12" max="12" width="9" style="893" customWidth="1"/>
    <col min="13" max="13" width="10.44140625" style="893" bestFit="1" customWidth="1"/>
    <col min="14" max="254" width="9" style="893" customWidth="1"/>
    <col min="255" max="16384" width="6.6640625" style="893"/>
  </cols>
  <sheetData>
    <row r="1" spans="1:33" ht="21">
      <c r="A1" s="206" t="s">
        <v>2289</v>
      </c>
      <c r="B1" s="1357"/>
      <c r="C1" s="1358"/>
      <c r="D1" s="1356"/>
      <c r="E1" s="286"/>
      <c r="F1" s="286"/>
      <c r="G1" s="1357"/>
      <c r="H1" s="286"/>
      <c r="I1" s="286"/>
      <c r="J1" s="286"/>
      <c r="K1" s="286">
        <f>MATCH(C1,'数据-取费表'!A6:A16,0)+5</f>
        <v>7</v>
      </c>
    </row>
    <row r="2" spans="1:33" ht="18" customHeight="1">
      <c r="A2" s="211" t="s">
        <v>2157</v>
      </c>
      <c r="B2" s="214">
        <f ca="1">C32</f>
        <v>0</v>
      </c>
      <c r="C2" s="286" t="s">
        <v>2290</v>
      </c>
      <c r="D2" s="286"/>
      <c r="E2" s="286"/>
      <c r="F2" s="286"/>
      <c r="G2" s="286"/>
      <c r="H2" s="286"/>
      <c r="I2" s="286"/>
      <c r="J2" s="286"/>
      <c r="K2" s="286"/>
    </row>
    <row r="3" spans="1:33" ht="18" customHeight="1" thickBot="1">
      <c r="A3" s="213" t="s">
        <v>2159</v>
      </c>
      <c r="B3" s="214">
        <f ca="1">ROUND(B2*10000/IF(C1="",'数据-汇总表'!E3,INDIRECT("'数据-取费表'!K"&amp;$K$1)),0)</f>
        <v>0</v>
      </c>
      <c r="C3" s="286" t="s">
        <v>2291</v>
      </c>
      <c r="D3" s="286"/>
      <c r="E3" s="286"/>
      <c r="F3" s="286"/>
      <c r="G3" s="286"/>
      <c r="H3" s="286"/>
      <c r="I3" s="286"/>
      <c r="J3" s="286"/>
      <c r="K3" s="286"/>
    </row>
    <row r="4" spans="1:33" s="897" customFormat="1" ht="16.5" customHeight="1">
      <c r="A4" s="894" t="s">
        <v>2292</v>
      </c>
      <c r="B4" s="895"/>
      <c r="C4" s="937">
        <f>SUM(C8:K8)</f>
        <v>0</v>
      </c>
      <c r="D4" s="895"/>
      <c r="E4" s="895"/>
      <c r="F4" s="895"/>
      <c r="G4" s="895"/>
      <c r="H4" s="895"/>
      <c r="I4" s="895"/>
      <c r="J4" s="895"/>
      <c r="K4" s="896"/>
    </row>
    <row r="5" spans="1:33" s="901" customFormat="1" ht="25.2">
      <c r="A5" s="898" t="s">
        <v>2293</v>
      </c>
      <c r="B5" s="899" t="s">
        <v>2294</v>
      </c>
      <c r="C5" s="2052" t="s">
        <v>2295</v>
      </c>
      <c r="D5" s="2052" t="s">
        <v>2296</v>
      </c>
      <c r="E5" s="2052" t="s">
        <v>2297</v>
      </c>
      <c r="F5" s="2052"/>
      <c r="G5" s="2052"/>
      <c r="H5" s="2052"/>
      <c r="I5" s="2052"/>
      <c r="J5" s="2052"/>
      <c r="K5" s="2052"/>
      <c r="L5" s="900"/>
      <c r="M5" s="900"/>
      <c r="N5" s="900"/>
      <c r="O5" s="900"/>
      <c r="P5" s="900"/>
      <c r="Q5" s="900"/>
      <c r="R5" s="900"/>
      <c r="S5" s="900"/>
      <c r="T5" s="900"/>
      <c r="U5" s="900"/>
      <c r="V5" s="900"/>
      <c r="W5" s="900"/>
      <c r="X5" s="900"/>
      <c r="Y5" s="900"/>
      <c r="Z5" s="900"/>
      <c r="AA5" s="900"/>
      <c r="AB5" s="900"/>
      <c r="AC5" s="900"/>
      <c r="AD5" s="900"/>
      <c r="AE5" s="900"/>
      <c r="AF5" s="900"/>
      <c r="AG5" s="900"/>
    </row>
    <row r="6" spans="1:33" s="906" customFormat="1" ht="13.5" customHeight="1">
      <c r="A6" s="902" t="s">
        <v>802</v>
      </c>
      <c r="B6" s="140" t="s">
        <v>2298</v>
      </c>
      <c r="C6" s="903"/>
      <c r="D6" s="903"/>
      <c r="E6" s="903"/>
      <c r="F6" s="903"/>
      <c r="G6" s="903"/>
      <c r="H6" s="903"/>
      <c r="I6" s="903"/>
      <c r="J6" s="903"/>
      <c r="K6" s="904"/>
      <c r="L6" s="905"/>
      <c r="M6" s="905"/>
      <c r="N6" s="905"/>
      <c r="O6" s="905"/>
      <c r="P6" s="905"/>
      <c r="Q6" s="905"/>
      <c r="R6" s="905"/>
      <c r="S6" s="905"/>
      <c r="T6" s="905"/>
      <c r="U6" s="905"/>
      <c r="V6" s="905"/>
      <c r="W6" s="905"/>
      <c r="X6" s="905"/>
      <c r="Y6" s="905"/>
      <c r="Z6" s="905"/>
      <c r="AA6" s="905"/>
      <c r="AB6" s="905"/>
      <c r="AC6" s="905"/>
      <c r="AD6" s="905"/>
      <c r="AE6" s="905"/>
      <c r="AF6" s="905"/>
      <c r="AG6" s="905"/>
    </row>
    <row r="7" spans="1:33" s="906" customFormat="1" ht="13.5" customHeight="1">
      <c r="A7" s="902" t="s">
        <v>2299</v>
      </c>
      <c r="B7" s="140" t="s">
        <v>2300</v>
      </c>
      <c r="C7" s="287">
        <f>SUMIF('数据-汇总表'!$C19:$C33,假设开发法!C5,'数据-汇总表'!$E19:$E33)</f>
        <v>0</v>
      </c>
      <c r="D7" s="287">
        <f>SUMIF('数据-汇总表'!$C19:$C33,假设开发法!D5,'数据-汇总表'!$E19:$E33)</f>
        <v>0</v>
      </c>
      <c r="E7" s="287">
        <f>SUMIF('数据-汇总表'!$C19:$C33,假设开发法!E5,'数据-汇总表'!$E19:$E33)</f>
        <v>0</v>
      </c>
      <c r="F7" s="287">
        <f>SUMIF('数据-汇总表'!$C19:$C33,假设开发法!F5,'数据-汇总表'!$E19:$E33)</f>
        <v>0</v>
      </c>
      <c r="G7" s="287">
        <f>SUMIF('数据-汇总表'!$C19:$C33,假设开发法!G5,'数据-汇总表'!$E19:$E33)</f>
        <v>0</v>
      </c>
      <c r="H7" s="287">
        <f>SUMIF('数据-汇总表'!$C19:$C33,假设开发法!H5,'数据-汇总表'!$E19:$E33)</f>
        <v>0</v>
      </c>
      <c r="I7" s="287">
        <f>SUMIF('数据-汇总表'!$C19:$C33,假设开发法!I5,'数据-汇总表'!$E19:$E33)</f>
        <v>0</v>
      </c>
      <c r="J7" s="287">
        <f>SUMIF('数据-汇总表'!$C19:$C33,假设开发法!J5,'数据-汇总表'!$E19:$E33)</f>
        <v>0</v>
      </c>
      <c r="K7" s="288">
        <f>SUMIF('数据-汇总表'!$C19:$C33,假设开发法!K5,'数据-汇总表'!$E19:$E33)</f>
        <v>0</v>
      </c>
      <c r="L7" s="905"/>
      <c r="M7" s="905"/>
      <c r="N7" s="905"/>
      <c r="O7" s="905"/>
      <c r="P7" s="905"/>
      <c r="Q7" s="905"/>
      <c r="R7" s="905"/>
      <c r="S7" s="905"/>
      <c r="T7" s="905"/>
      <c r="U7" s="905"/>
      <c r="V7" s="905"/>
      <c r="W7" s="905"/>
      <c r="X7" s="905"/>
      <c r="Y7" s="905"/>
      <c r="Z7" s="905"/>
      <c r="AA7" s="905"/>
      <c r="AB7" s="905"/>
      <c r="AC7" s="905"/>
      <c r="AD7" s="905"/>
      <c r="AE7" s="905"/>
      <c r="AF7" s="905"/>
      <c r="AG7" s="905"/>
    </row>
    <row r="8" spans="1:33" s="906" customFormat="1" ht="13.5" customHeight="1" thickBot="1">
      <c r="A8" s="2053" t="s">
        <v>2301</v>
      </c>
      <c r="B8" s="173" t="s">
        <v>2302</v>
      </c>
      <c r="C8" s="938"/>
      <c r="D8" s="938"/>
      <c r="E8" s="938"/>
      <c r="F8" s="939"/>
      <c r="G8" s="939"/>
      <c r="H8" s="939"/>
      <c r="I8" s="939"/>
      <c r="J8" s="939"/>
      <c r="K8" s="940"/>
      <c r="L8" s="905"/>
      <c r="M8" s="905"/>
      <c r="N8" s="905"/>
      <c r="O8" s="905"/>
      <c r="P8" s="905"/>
      <c r="Q8" s="905"/>
      <c r="R8" s="905"/>
      <c r="S8" s="905"/>
      <c r="T8" s="905"/>
      <c r="U8" s="905"/>
      <c r="V8" s="905"/>
      <c r="W8" s="905"/>
      <c r="X8" s="905"/>
      <c r="Y8" s="905"/>
      <c r="Z8" s="905"/>
      <c r="AA8" s="905"/>
      <c r="AB8" s="905"/>
      <c r="AC8" s="905"/>
      <c r="AD8" s="905"/>
      <c r="AE8" s="905"/>
      <c r="AF8" s="905"/>
      <c r="AG8" s="905"/>
    </row>
    <row r="9" spans="1:33" s="897" customFormat="1" ht="16.5" customHeight="1">
      <c r="A9" s="894" t="s">
        <v>2303</v>
      </c>
      <c r="B9" s="895"/>
      <c r="C9" s="895"/>
      <c r="D9" s="895"/>
      <c r="E9" s="895"/>
      <c r="F9" s="895"/>
      <c r="G9" s="895"/>
      <c r="H9" s="895"/>
      <c r="I9" s="895"/>
      <c r="J9" s="895"/>
      <c r="K9" s="896"/>
    </row>
    <row r="10" spans="1:33" s="911" customFormat="1" ht="13.5" customHeight="1">
      <c r="A10" s="898" t="s">
        <v>2304</v>
      </c>
      <c r="B10" s="8" t="s">
        <v>2305</v>
      </c>
      <c r="C10" s="907" t="s">
        <v>2306</v>
      </c>
      <c r="D10" s="908" t="s">
        <v>2307</v>
      </c>
      <c r="E10" s="908" t="s">
        <v>2308</v>
      </c>
      <c r="F10" s="908" t="s">
        <v>2309</v>
      </c>
      <c r="G10" s="8"/>
      <c r="H10" s="909"/>
      <c r="I10" s="909"/>
      <c r="J10" s="909"/>
      <c r="K10" s="910"/>
    </row>
    <row r="11" spans="1:33" s="916" customFormat="1" ht="13.5" customHeight="1">
      <c r="A11" s="912" t="s">
        <v>1300</v>
      </c>
      <c r="B11" s="913" t="s">
        <v>2310</v>
      </c>
      <c r="C11" s="289">
        <f ca="1">IF(C1="",'数据-取费表'!P16,INDIRECT("'数据-取费表'!p"&amp;$K$1)+INDIRECT("'数据-取费表'!ar"&amp;$K$1))</f>
        <v>0</v>
      </c>
      <c r="D11" s="914"/>
      <c r="E11" s="339"/>
      <c r="F11" s="915">
        <f ca="1">1-IF('数据-取费表'!B24=0,1,IF(C1="",'数据-取费表'!N16,INDIRECT("'数据-取费表'!n"&amp;$K$1)))</f>
        <v>0</v>
      </c>
      <c r="G11" s="8"/>
      <c r="H11" s="909"/>
      <c r="I11" s="909"/>
      <c r="J11" s="909"/>
      <c r="K11" s="910"/>
    </row>
    <row r="12" spans="1:33" s="916" customFormat="1" ht="13.5" customHeight="1">
      <c r="A12" s="912" t="s">
        <v>1301</v>
      </c>
      <c r="B12" s="913" t="s">
        <v>2311</v>
      </c>
      <c r="C12" s="24">
        <f ca="1">ROUND(C11*F12,0)</f>
        <v>0</v>
      </c>
      <c r="D12" s="914"/>
      <c r="E12" s="339"/>
      <c r="F12" s="917">
        <f>'数据-取费表'!B33</f>
        <v>0.03</v>
      </c>
      <c r="G12" s="8" t="s">
        <v>2312</v>
      </c>
      <c r="H12" s="909"/>
      <c r="I12" s="909"/>
      <c r="J12" s="909"/>
      <c r="K12" s="910"/>
    </row>
    <row r="13" spans="1:33" s="916" customFormat="1" ht="13.5" customHeight="1">
      <c r="A13" s="912" t="s">
        <v>1302</v>
      </c>
      <c r="B13" s="913" t="s">
        <v>2313</v>
      </c>
      <c r="C13" s="24">
        <f ca="1">ROUND(IF(C1="",SUMIF('数据-取费表'!C:C,"住宅",'数据-取费表'!P:P)*F13,IF(INDIRECT("'数据-取费表'!c"&amp;$K$1)="住宅",INDIRECT("'数据-取费表'!P"&amp;$K$1)*F13,0)),0)</f>
        <v>0</v>
      </c>
      <c r="D13" s="959"/>
      <c r="E13" s="339"/>
      <c r="F13" s="917">
        <f>'数据-取费表'!B34</f>
        <v>0</v>
      </c>
      <c r="G13" s="8" t="s">
        <v>2314</v>
      </c>
      <c r="H13" s="909"/>
      <c r="I13" s="909"/>
      <c r="J13" s="909"/>
      <c r="K13" s="910"/>
    </row>
    <row r="14" spans="1:33" s="918" customFormat="1" ht="13.5" customHeight="1">
      <c r="A14" s="912" t="s">
        <v>1303</v>
      </c>
      <c r="B14" s="913" t="s">
        <v>2315</v>
      </c>
      <c r="C14" s="24">
        <f ca="1">ROUND(D14*E14*F11/10000,0)</f>
        <v>0</v>
      </c>
      <c r="D14" s="959">
        <f ca="1">IF(C1="",'数据-汇总表'!E3,INDIRECT("'数据-取费表'!K"&amp;$K$1)+INDIRECT("'数据-取费表'!S"&amp;$K$1))</f>
        <v>8640.14</v>
      </c>
      <c r="E14" s="24">
        <f>'数据-取费表'!B35</f>
        <v>200</v>
      </c>
      <c r="F14" s="917"/>
      <c r="G14" s="8" t="s">
        <v>2316</v>
      </c>
      <c r="H14" s="909"/>
      <c r="I14" s="909"/>
      <c r="J14" s="909"/>
      <c r="K14" s="910"/>
      <c r="L14" s="916"/>
      <c r="M14" s="916"/>
      <c r="N14" s="916"/>
      <c r="O14" s="916"/>
      <c r="P14" s="916"/>
      <c r="Q14" s="916"/>
      <c r="R14" s="916"/>
      <c r="S14" s="916"/>
      <c r="T14" s="916"/>
      <c r="U14" s="916"/>
      <c r="V14" s="916"/>
      <c r="W14" s="916"/>
      <c r="X14" s="916"/>
      <c r="Y14" s="916"/>
      <c r="Z14" s="916"/>
      <c r="AA14" s="916"/>
      <c r="AB14" s="916"/>
      <c r="AC14" s="916"/>
      <c r="AD14" s="916"/>
      <c r="AE14" s="916"/>
      <c r="AF14" s="916"/>
      <c r="AG14" s="916"/>
    </row>
    <row r="15" spans="1:33" s="918" customFormat="1" ht="13.5" customHeight="1">
      <c r="A15" s="912" t="s">
        <v>1304</v>
      </c>
      <c r="B15" s="913" t="s">
        <v>2317</v>
      </c>
      <c r="C15" s="924">
        <f ca="1">ROUND(C11*F15,0)</f>
        <v>0</v>
      </c>
      <c r="D15" s="919"/>
      <c r="E15" s="924"/>
      <c r="F15" s="925">
        <f>'数据-取费表'!B36</f>
        <v>1.4999999999999999E-2</v>
      </c>
      <c r="G15" s="140" t="s">
        <v>2318</v>
      </c>
      <c r="H15" s="920"/>
      <c r="I15" s="920"/>
      <c r="J15" s="920"/>
      <c r="K15" s="921"/>
      <c r="L15" s="916"/>
      <c r="M15" s="916"/>
      <c r="N15" s="916"/>
      <c r="O15" s="916"/>
      <c r="P15" s="916"/>
      <c r="Q15" s="916"/>
      <c r="R15" s="916"/>
      <c r="S15" s="916"/>
      <c r="T15" s="916"/>
      <c r="U15" s="916"/>
      <c r="V15" s="916"/>
      <c r="W15" s="916"/>
      <c r="X15" s="916"/>
      <c r="Y15" s="916"/>
      <c r="Z15" s="916"/>
      <c r="AA15" s="916"/>
      <c r="AB15" s="916"/>
      <c r="AC15" s="916"/>
      <c r="AD15" s="916"/>
      <c r="AE15" s="916"/>
      <c r="AF15" s="916"/>
      <c r="AG15" s="916"/>
    </row>
    <row r="16" spans="1:33" s="918" customFormat="1" ht="13.5" customHeight="1">
      <c r="A16" s="912" t="s">
        <v>803</v>
      </c>
      <c r="B16" s="913" t="s">
        <v>2319</v>
      </c>
      <c r="C16" s="924">
        <f ca="1">SUM(C11:C15)</f>
        <v>0</v>
      </c>
      <c r="D16" s="919"/>
      <c r="E16" s="924"/>
      <c r="F16" s="925"/>
      <c r="G16" s="140"/>
      <c r="H16" s="1354"/>
      <c r="I16" s="920"/>
      <c r="J16" s="920"/>
      <c r="K16" s="921"/>
      <c r="L16" s="916"/>
      <c r="M16" s="916"/>
      <c r="N16" s="916"/>
      <c r="O16" s="916"/>
      <c r="P16" s="916"/>
      <c r="Q16" s="916"/>
      <c r="R16" s="916"/>
      <c r="S16" s="916"/>
      <c r="T16" s="916"/>
      <c r="U16" s="916"/>
      <c r="V16" s="916"/>
      <c r="W16" s="916"/>
      <c r="X16" s="916"/>
      <c r="Y16" s="916"/>
      <c r="Z16" s="916"/>
      <c r="AA16" s="916"/>
      <c r="AB16" s="916"/>
      <c r="AC16" s="916"/>
      <c r="AD16" s="916"/>
      <c r="AE16" s="916"/>
      <c r="AF16" s="916"/>
      <c r="AG16" s="916"/>
    </row>
    <row r="17" spans="1:33" s="918" customFormat="1" ht="13.5" customHeight="1">
      <c r="A17" s="912" t="s">
        <v>804</v>
      </c>
      <c r="B17" s="913" t="s">
        <v>2320</v>
      </c>
      <c r="C17" s="24">
        <f ca="1">ROUND(D17*E17/10000,0)</f>
        <v>0</v>
      </c>
      <c r="D17" s="959">
        <f ca="1">D14</f>
        <v>8640.14</v>
      </c>
      <c r="E17" s="24">
        <f>'数据-取费表'!B32</f>
        <v>0</v>
      </c>
      <c r="F17" s="919"/>
      <c r="G17" s="140" t="s">
        <v>2321</v>
      </c>
      <c r="H17" s="1354"/>
      <c r="I17" s="920"/>
      <c r="J17" s="920"/>
      <c r="K17" s="921"/>
      <c r="L17" s="916"/>
      <c r="M17" s="916"/>
      <c r="N17" s="916"/>
      <c r="O17" s="916"/>
      <c r="P17" s="916"/>
      <c r="Q17" s="916"/>
      <c r="R17" s="916"/>
      <c r="S17" s="916"/>
      <c r="T17" s="916"/>
      <c r="U17" s="916"/>
      <c r="V17" s="916"/>
      <c r="W17" s="916"/>
      <c r="X17" s="916"/>
      <c r="Y17" s="916"/>
      <c r="Z17" s="916"/>
      <c r="AA17" s="916"/>
      <c r="AB17" s="916"/>
      <c r="AC17" s="916"/>
      <c r="AD17" s="916"/>
      <c r="AE17" s="916"/>
      <c r="AF17" s="916"/>
      <c r="AG17" s="916"/>
    </row>
    <row r="18" spans="1:33" s="916" customFormat="1" ht="13.5" customHeight="1">
      <c r="A18" s="912" t="s">
        <v>1305</v>
      </c>
      <c r="B18" s="913" t="s">
        <v>2322</v>
      </c>
      <c r="C18" s="24">
        <f ca="1">C19+C20-IF(C1="",'数据-取费表'!B29,IF(G18="已全部缴纳",C19+C20,H18))</f>
        <v>0</v>
      </c>
      <c r="D18" s="959"/>
      <c r="E18" s="24"/>
      <c r="F18" s="917"/>
      <c r="G18" s="2054"/>
      <c r="H18" s="1353"/>
      <c r="I18" s="2055" t="s">
        <v>2323</v>
      </c>
      <c r="J18" s="920"/>
      <c r="K18" s="921"/>
    </row>
    <row r="19" spans="1:33" s="916" customFormat="1" ht="13.5" customHeight="1">
      <c r="A19" s="912" t="s">
        <v>805</v>
      </c>
      <c r="B19" s="913" t="s">
        <v>2324</v>
      </c>
      <c r="C19" s="24">
        <f ca="1">ROUND(D19*E19/10000,0)</f>
        <v>0</v>
      </c>
      <c r="D19" s="959">
        <f ca="1">IF(C1="",'数据-汇总表'!E5,IF(INDIRECT("'数据-取费表'!c"&amp;$K$1)="住宅",INDIRECT("'数据-取费表'!k"&amp;$K$1),0))</f>
        <v>0</v>
      </c>
      <c r="E19" s="24">
        <f>'数据-取费表'!B27</f>
        <v>0</v>
      </c>
      <c r="F19" s="917"/>
      <c r="G19" s="15"/>
      <c r="H19" s="1355"/>
      <c r="I19" s="922"/>
      <c r="J19" s="922"/>
      <c r="K19" s="923"/>
    </row>
    <row r="20" spans="1:33" s="916" customFormat="1" ht="13.5" customHeight="1">
      <c r="A20" s="912" t="s">
        <v>806</v>
      </c>
      <c r="B20" s="913" t="s">
        <v>2325</v>
      </c>
      <c r="C20" s="24">
        <f ca="1">ROUND(D20*E20/10000,0)</f>
        <v>173</v>
      </c>
      <c r="D20" s="959">
        <f ca="1">IF(C1="",'数据-汇总表'!E6,IF(INDIRECT("'数据-取费表'!c"&amp;$K$1)="住宅",INDIRECT("'数据-取费表'!s"&amp;$K$1),INDIRECT("'数据-取费表'!k"&amp;$K$1)+INDIRECT("'数据-取费表'!s"&amp;$K$1)))</f>
        <v>8640.14</v>
      </c>
      <c r="E20" s="24">
        <f>'数据-取费表'!B28</f>
        <v>200</v>
      </c>
      <c r="F20" s="917"/>
      <c r="G20" s="15"/>
      <c r="H20" s="922"/>
      <c r="I20" s="922"/>
      <c r="J20" s="922"/>
      <c r="K20" s="923"/>
    </row>
    <row r="21" spans="1:33" s="916" customFormat="1" ht="13.5" customHeight="1">
      <c r="A21" s="902" t="s">
        <v>802</v>
      </c>
      <c r="B21" s="926" t="s">
        <v>2326</v>
      </c>
      <c r="C21" s="927">
        <f ca="1">C16+C17+C18</f>
        <v>0</v>
      </c>
      <c r="D21" s="928"/>
      <c r="E21" s="291"/>
      <c r="F21" s="291"/>
      <c r="G21" s="140" t="s">
        <v>2327</v>
      </c>
      <c r="H21" s="920"/>
      <c r="I21" s="920"/>
      <c r="J21" s="920"/>
      <c r="K21" s="921"/>
    </row>
    <row r="22" spans="1:33" s="916" customFormat="1" ht="13.5" customHeight="1">
      <c r="A22" s="902" t="s">
        <v>2299</v>
      </c>
      <c r="B22" s="926" t="s">
        <v>2328</v>
      </c>
      <c r="C22" s="927">
        <f ca="1">ROUND(C21*F22,0)</f>
        <v>0</v>
      </c>
      <c r="D22" s="291"/>
      <c r="E22" s="291"/>
      <c r="F22" s="929">
        <f>'数据-取费表'!B37</f>
        <v>0.02</v>
      </c>
      <c r="G22" s="8" t="s">
        <v>2329</v>
      </c>
      <c r="H22" s="909"/>
      <c r="I22" s="909"/>
      <c r="J22" s="909"/>
      <c r="K22" s="910"/>
    </row>
    <row r="23" spans="1:33" s="916" customFormat="1" ht="13.5" customHeight="1">
      <c r="A23" s="902" t="s">
        <v>2301</v>
      </c>
      <c r="B23" s="926" t="s">
        <v>2330</v>
      </c>
      <c r="C23" s="927">
        <f ca="1">ROUND(C4*F23*F11,0)</f>
        <v>0</v>
      </c>
      <c r="D23" s="291"/>
      <c r="E23" s="291"/>
      <c r="F23" s="929">
        <f>'数据-取费表'!B38</f>
        <v>0.02</v>
      </c>
      <c r="G23" s="8" t="s">
        <v>2331</v>
      </c>
      <c r="H23" s="909"/>
      <c r="I23" s="909"/>
      <c r="J23" s="909"/>
      <c r="K23" s="910"/>
    </row>
    <row r="24" spans="1:33" s="916" customFormat="1" ht="13.5" customHeight="1">
      <c r="A24" s="902" t="s">
        <v>2332</v>
      </c>
      <c r="B24" s="926" t="s">
        <v>2333</v>
      </c>
      <c r="C24" s="290">
        <f>ROUND(F24/(1+'数据-取费表'!C42),4)</f>
        <v>2.9000000000000001E-2</v>
      </c>
      <c r="D24" s="291" t="s">
        <v>15</v>
      </c>
      <c r="E24" s="291"/>
      <c r="F24" s="929">
        <f>IF(项目基本情况!B8="出让",0,'数据-取费表'!B48+'数据-取费表'!B49)</f>
        <v>3.0499999999999999E-2</v>
      </c>
      <c r="G24" s="8" t="s">
        <v>2334</v>
      </c>
      <c r="H24" s="931"/>
      <c r="I24" s="931"/>
      <c r="J24" s="931"/>
      <c r="K24" s="932"/>
    </row>
    <row r="25" spans="1:33" s="916" customFormat="1" ht="13.5" customHeight="1">
      <c r="A25" s="902" t="s">
        <v>2335</v>
      </c>
      <c r="B25" s="928" t="s">
        <v>2336</v>
      </c>
      <c r="C25" s="1270">
        <f ca="1">C27</f>
        <v>0</v>
      </c>
      <c r="D25" s="290">
        <f ca="1">C26</f>
        <v>0</v>
      </c>
      <c r="E25" s="292" t="s">
        <v>15</v>
      </c>
      <c r="F25" s="293">
        <f ca="1">'数据-取费表'!B40</f>
        <v>4.7500000000000001E-2</v>
      </c>
      <c r="G25" s="140" t="str">
        <f>IF('数据-取费表'!B22&lt;=1,"单利计息。","复利计息。")&amp;"后续开发成本、管理费用及销售费用产生的利息。"</f>
        <v>复利计息。后续开发成本、管理费用及销售费用产生的利息。</v>
      </c>
      <c r="H25" s="931"/>
      <c r="I25" s="931"/>
      <c r="J25" s="931"/>
      <c r="K25" s="932"/>
    </row>
    <row r="26" spans="1:33" s="934" customFormat="1" ht="13.5" customHeight="1">
      <c r="A26" s="912" t="s">
        <v>803</v>
      </c>
      <c r="B26" s="933" t="s">
        <v>2337</v>
      </c>
      <c r="C26" s="1271">
        <f ca="1">ROUND(IF('数据-取费表'!B22&lt;=1,(1+C24)*F25*'数据-取费表'!B24,(1+C24)*(POWER((1+F25),'数据-取费表'!B24)-1)),4)</f>
        <v>0</v>
      </c>
      <c r="D26" s="294"/>
      <c r="E26" s="295"/>
      <c r="F26" s="296"/>
      <c r="G26" s="2056" t="str">
        <f>IF('数据-取费表'!B22&lt;=1,"（(1)+取得税费率/(1+5%)）×年利率×建设期","（(1)+取得税费率）/(1+5%)×((1+年利率)^建设期-1)")</f>
        <v>（(1)+取得税费率）/(1+5%)×((1+年利率)^建设期-1)</v>
      </c>
      <c r="H26" s="920"/>
      <c r="I26" s="920"/>
      <c r="J26" s="920"/>
      <c r="K26" s="921"/>
    </row>
    <row r="27" spans="1:33" s="934" customFormat="1" ht="13.5" customHeight="1">
      <c r="A27" s="912" t="s">
        <v>804</v>
      </c>
      <c r="B27" s="933" t="s">
        <v>2338</v>
      </c>
      <c r="C27" s="1272">
        <f ca="1">ROUND(IF('数据-取费表'!B22&lt;=1,(C21+C22+C23)*F25*'数据-取费表'!B24/2,(C21+C22+C23)*(POWER((1+F25),'数据-取费表'!B24/2)-1)),0)</f>
        <v>0</v>
      </c>
      <c r="D27" s="294"/>
      <c r="E27" s="295"/>
      <c r="F27" s="296"/>
      <c r="G27" s="2056" t="str">
        <f>IF('数据-取费表'!B22&lt;=1,"（1）-（3）项×年利率×建设期÷2","（1）-（3）项×((1+年利率)^(建设期÷2)-1)")</f>
        <v>（1）-（3）项×((1+年利率)^(建设期÷2)-1)</v>
      </c>
      <c r="H27" s="920"/>
      <c r="I27" s="920"/>
      <c r="J27" s="920"/>
      <c r="K27" s="921"/>
    </row>
    <row r="28" spans="1:33" s="299" customFormat="1" ht="13.5" customHeight="1">
      <c r="A28" s="902" t="s">
        <v>2339</v>
      </c>
      <c r="B28" s="2057" t="s">
        <v>2340</v>
      </c>
      <c r="C28" s="297">
        <f ca="1">C30</f>
        <v>0</v>
      </c>
      <c r="D28" s="290">
        <f ca="1">C29</f>
        <v>0</v>
      </c>
      <c r="E28" s="292" t="s">
        <v>15</v>
      </c>
      <c r="F28" s="298">
        <f ca="1">IF(C1="",'数据-取费表'!Q16,INDIRECT("'数据-取费表'!q"&amp;$K$1))</f>
        <v>0.1</v>
      </c>
      <c r="G28" s="930"/>
      <c r="H28" s="931"/>
      <c r="I28" s="931"/>
      <c r="J28" s="931"/>
      <c r="K28" s="932"/>
    </row>
    <row r="29" spans="1:33" s="301" customFormat="1" ht="13.5" customHeight="1">
      <c r="A29" s="912" t="s">
        <v>803</v>
      </c>
      <c r="B29" s="935" t="s">
        <v>2341</v>
      </c>
      <c r="C29" s="294">
        <f ca="1">ROUND((1+C24)*F28*'数据-取费表'!B24/'数据-取费表'!B20,4)</f>
        <v>0</v>
      </c>
      <c r="D29" s="294"/>
      <c r="E29" s="295"/>
      <c r="F29" s="300"/>
      <c r="G29" s="140" t="s">
        <v>2342</v>
      </c>
      <c r="H29" s="920"/>
      <c r="I29" s="920"/>
      <c r="J29" s="920"/>
      <c r="K29" s="921"/>
    </row>
    <row r="30" spans="1:33" s="301" customFormat="1" ht="13.5" customHeight="1">
      <c r="A30" s="912" t="s">
        <v>804</v>
      </c>
      <c r="B30" s="935" t="s">
        <v>2343</v>
      </c>
      <c r="C30" s="302">
        <f ca="1">ROUND((C21+C22+C23)*F28,0)</f>
        <v>0</v>
      </c>
      <c r="D30" s="294"/>
      <c r="E30" s="295"/>
      <c r="F30" s="300"/>
      <c r="G30" s="140"/>
      <c r="H30" s="920"/>
      <c r="I30" s="920"/>
      <c r="J30" s="920"/>
      <c r="K30" s="921"/>
    </row>
    <row r="31" spans="1:33" s="916" customFormat="1" ht="13.5" customHeight="1" thickBot="1">
      <c r="A31" s="2058" t="s">
        <v>2344</v>
      </c>
      <c r="B31" s="946" t="s">
        <v>2345</v>
      </c>
      <c r="C31" s="947">
        <f>ROUND(C4*F31/(1+'数据-取费表'!C42),0)</f>
        <v>0</v>
      </c>
      <c r="D31" s="948"/>
      <c r="E31" s="949"/>
      <c r="F31" s="950">
        <f>'数据-取费表'!B41</f>
        <v>5.5000000000000007E-2</v>
      </c>
      <c r="G31" s="951" t="s">
        <v>2346</v>
      </c>
      <c r="H31" s="952"/>
      <c r="I31" s="952"/>
      <c r="J31" s="952"/>
      <c r="K31" s="953"/>
    </row>
    <row r="32" spans="1:33" s="911" customFormat="1" ht="13.5" customHeight="1" thickBot="1">
      <c r="A32" s="941" t="s">
        <v>2347</v>
      </c>
      <c r="B32" s="942"/>
      <c r="C32" s="943">
        <f ca="1">ROUND((C4-C21-C22-C23-C25-C28-C31)/(1+C24+D25+D28),0)</f>
        <v>0</v>
      </c>
      <c r="D32" s="942"/>
      <c r="E32" s="942"/>
      <c r="F32" s="942"/>
      <c r="G32" s="944" t="s">
        <v>2348</v>
      </c>
      <c r="H32" s="942"/>
      <c r="I32" s="942"/>
      <c r="J32" s="942"/>
      <c r="K32" s="94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Normal="80" zoomScaleSheetLayoutView="100" workbookViewId="0">
      <selection activeCell="F25" sqref="F25"/>
    </sheetView>
  </sheetViews>
  <sheetFormatPr defaultColWidth="12" defaultRowHeight="13.2"/>
  <cols>
    <col min="1" max="1" width="9.77734375" style="2256" customWidth="1"/>
    <col min="2" max="2" width="19.21875" style="2359" customWidth="1"/>
    <col min="3" max="4" width="12" style="2190"/>
    <col min="5" max="5" width="14.6640625" style="2190" customWidth="1"/>
    <col min="6" max="8" width="12" style="2190"/>
    <col min="9" max="9" width="12.21875" style="2190" bestFit="1" customWidth="1"/>
    <col min="10" max="10" width="12" style="2190"/>
    <col min="11" max="11" width="8.109375" style="2251" customWidth="1"/>
    <col min="12" max="12" width="12" style="2190"/>
    <col min="13" max="13" width="8.44140625" style="2190" customWidth="1"/>
    <col min="14" max="14" width="9.77734375" style="2190" customWidth="1"/>
    <col min="15" max="25" width="12" style="2190"/>
    <col min="26" max="26" width="9.33203125" style="2256" customWidth="1"/>
    <col min="27" max="32" width="9.33203125" style="1286" customWidth="1"/>
    <col min="33" max="36" width="9.33203125" style="2256" customWidth="1"/>
    <col min="37" max="38" width="9.33203125" style="2190" customWidth="1"/>
    <col min="39" max="16384" width="12" style="2190"/>
  </cols>
  <sheetData>
    <row r="1" spans="1:36" ht="31.2">
      <c r="A1" s="206" t="s">
        <v>2633</v>
      </c>
      <c r="B1" s="207"/>
      <c r="C1" s="211" t="s">
        <v>2634</v>
      </c>
      <c r="D1" s="352">
        <f>SUM(D29:D30,D33:D39)</f>
        <v>8640.14</v>
      </c>
      <c r="E1" s="2187"/>
      <c r="F1" s="2187"/>
      <c r="G1" s="2187"/>
      <c r="H1" s="2187"/>
      <c r="I1" s="2187"/>
      <c r="J1" s="2187"/>
      <c r="K1" s="1284"/>
      <c r="L1" s="2188" t="s">
        <v>2635</v>
      </c>
      <c r="M1" s="998">
        <f>SUMPRODUCT((区片价!B5:B9=I2)*(区片价!C3:F3=E2)*(区片价!C5:F9))</f>
        <v>0</v>
      </c>
      <c r="N1" s="1001">
        <f>SUMPRODUCT((因素修正幅度!B5:B9=I2)*(因素修正幅度!C3:F3=E2)*(因素修正幅度!C5:F9))</f>
        <v>0</v>
      </c>
      <c r="O1" s="2189"/>
      <c r="P1" s="2189"/>
      <c r="Q1" s="1284"/>
      <c r="R1" s="1378" t="s">
        <v>2636</v>
      </c>
      <c r="S1" s="1378" t="s">
        <v>2637</v>
      </c>
      <c r="T1" s="1378" t="s">
        <v>2638</v>
      </c>
      <c r="U1" s="1378" t="s">
        <v>2639</v>
      </c>
      <c r="V1" s="1378" t="s">
        <v>2640</v>
      </c>
      <c r="W1" s="1382"/>
      <c r="X1" s="1382"/>
      <c r="Y1" s="1382"/>
      <c r="Z1" s="1382"/>
      <c r="AA1" s="1382"/>
      <c r="AB1" s="1382"/>
      <c r="AC1" s="1383"/>
      <c r="AD1" s="1384"/>
      <c r="AE1" s="1384"/>
      <c r="AF1" s="1384"/>
      <c r="AG1" s="1384"/>
      <c r="AH1" s="1384"/>
      <c r="AI1" s="1384"/>
      <c r="AJ1" s="1385"/>
    </row>
    <row r="2" spans="1:36" ht="15.6">
      <c r="A2" s="211" t="s">
        <v>2641</v>
      </c>
      <c r="B2" s="214">
        <f ca="1">C26</f>
        <v>2927</v>
      </c>
      <c r="C2" s="2191" t="s">
        <v>2642</v>
      </c>
      <c r="D2" s="2192" t="s">
        <v>2643</v>
      </c>
      <c r="E2" s="2193" t="s">
        <v>6</v>
      </c>
      <c r="F2" s="2192" t="s">
        <v>2644</v>
      </c>
      <c r="G2" s="2194" t="str">
        <f>IF(E2="商业",项目基本情况!B37,IF(E2="办公",项目基本情况!C37,IF(E2="住宅",项目基本情况!D37,项目基本情况!E37)))</f>
        <v>七级</v>
      </c>
      <c r="H2" s="2192" t="s">
        <v>2645</v>
      </c>
      <c r="I2" s="2194" t="str">
        <f>IF(E2="商业",项目基本情况!B38,IF(E2="办公",项目基本情况!C38,IF(E2="住宅",项目基本情况!D38,项目基本情况!E38)))</f>
        <v>Ⅶ-亦1</v>
      </c>
      <c r="J2" s="2195"/>
      <c r="K2" s="1284"/>
      <c r="L2" s="2196" t="s">
        <v>2646</v>
      </c>
      <c r="M2" s="999">
        <f>SUMPRODUCT((区片价!B10:B28=I2)*(区片价!C3:F3=E2)*(区片价!C10:F28))</f>
        <v>0</v>
      </c>
      <c r="N2" s="1001">
        <f>SUMPRODUCT((因素修正幅度!B10:B28=I2)*(因素修正幅度!C3:F3=E2)*(因素修正幅度!C10:F28))</f>
        <v>0</v>
      </c>
      <c r="O2" s="1284"/>
      <c r="P2" s="1284"/>
      <c r="Q2" s="1284"/>
      <c r="R2" s="1378">
        <v>1</v>
      </c>
      <c r="S2" s="1378">
        <f>ROUND(IF(G3&gt;1,IF(R2&lt;7,SUMPRODUCT((B93:B98=R2)*(C92:N92=G2)*(C93:N98)),SUMIF(C92:N92,G2,C100:N100)),IF(R2&lt;7,SUMPRODUCT((B102:B107=R2)*(C92:N92=G2)*(C102:N107)),SUMIF(C92:N92,G2,C109:N109))),4)</f>
        <v>3.3266</v>
      </c>
      <c r="T2" s="1378">
        <f ca="1">ROUND($C$5*$C$18*$C$19*$C$20*S2*$C$24,0)</f>
        <v>5632</v>
      </c>
      <c r="U2" s="1379"/>
      <c r="V2" s="1378">
        <f ca="1">ROUND(T2*U2/10000,0)</f>
        <v>0</v>
      </c>
      <c r="W2" s="1382"/>
      <c r="X2" s="1382"/>
      <c r="Y2" s="1382"/>
      <c r="Z2" s="1382"/>
      <c r="AA2" s="1382"/>
      <c r="AB2" s="1382"/>
      <c r="AC2" s="1383"/>
      <c r="AD2" s="1384"/>
      <c r="AE2" s="1384"/>
      <c r="AF2" s="1384"/>
      <c r="AG2" s="1384"/>
      <c r="AH2" s="1384"/>
      <c r="AI2" s="1384"/>
      <c r="AJ2" s="1385"/>
    </row>
    <row r="3" spans="1:36" ht="15.6">
      <c r="A3" s="213" t="s">
        <v>2647</v>
      </c>
      <c r="B3" s="214">
        <f ca="1">ROUND(B2*10000/D1,0)</f>
        <v>3388</v>
      </c>
      <c r="C3" s="2191" t="s">
        <v>2648</v>
      </c>
      <c r="D3" s="2192" t="s">
        <v>2649</v>
      </c>
      <c r="E3" s="2197" t="s">
        <v>3112</v>
      </c>
      <c r="F3" s="2198" t="s">
        <v>2650</v>
      </c>
      <c r="G3" s="859">
        <f>IF(F3="宗地容积率",'数据-汇总表'!I4,IF(F3="估价对象容积率",'数据-汇总表'!I6,'数据-汇总表'!I7))</f>
        <v>0.56000000000000005</v>
      </c>
      <c r="H3" s="179" t="s">
        <v>2651</v>
      </c>
      <c r="I3" s="885"/>
      <c r="J3" s="2195" t="s">
        <v>2652</v>
      </c>
      <c r="K3" s="1284"/>
      <c r="L3" s="2196" t="s">
        <v>2653</v>
      </c>
      <c r="M3" s="999">
        <f>SUMPRODUCT((区片价!B29:B48=I2)*(区片价!C3:F3=E2)*(区片价!C29:F48))</f>
        <v>0</v>
      </c>
      <c r="N3" s="1001">
        <f>SUMPRODUCT((因素修正幅度!B29:B48=I2)*(因素修正幅度!C3:F3=E2)*(因素修正幅度!C29:F48))</f>
        <v>0</v>
      </c>
      <c r="O3" s="1284"/>
      <c r="P3" s="1284"/>
      <c r="Q3" s="1284"/>
      <c r="R3" s="1378">
        <v>2</v>
      </c>
      <c r="S3" s="1378">
        <f>ROUND(IF(G3&gt;1,IF(R3&lt;7,SUMPRODUCT((B93:B98=R3)*(C92:N92=G2)*(C93:N98)),SUMIF(C92:N92,G2,C100:N100)),IF(R3&lt;7,SUMPRODUCT((B102:B107=R3)*(C92:N92=G2)*(C102:N107)),SUMIF(C92:N92,G2,C109:N109))),4)</f>
        <v>2.3879000000000001</v>
      </c>
      <c r="T3" s="1378">
        <f t="shared" ref="T3:T16" ca="1" si="0">ROUND($C$5*$C$18*$C$19*$C$20*S3*$C$24,0)</f>
        <v>4043</v>
      </c>
      <c r="U3" s="1379"/>
      <c r="V3" s="1378">
        <f t="shared" ref="V3:V16" ca="1" si="1">ROUND(T3*U3/10000,0)</f>
        <v>0</v>
      </c>
      <c r="W3" s="1382"/>
      <c r="X3" s="1382"/>
      <c r="Y3" s="1382"/>
      <c r="Z3" s="1382"/>
      <c r="AA3" s="1382"/>
      <c r="AB3" s="1382"/>
      <c r="AC3" s="1383"/>
      <c r="AD3" s="1384"/>
      <c r="AE3" s="1384"/>
      <c r="AF3" s="1384"/>
      <c r="AG3" s="1384"/>
      <c r="AH3" s="1384"/>
      <c r="AI3" s="1384"/>
      <c r="AJ3" s="1385"/>
    </row>
    <row r="4" spans="1:36" ht="15.6">
      <c r="A4" s="3327"/>
      <c r="B4" s="3328"/>
      <c r="C4" s="3328"/>
      <c r="D4" s="3329"/>
      <c r="E4" s="3329"/>
      <c r="F4" s="3329"/>
      <c r="G4" s="3329"/>
      <c r="H4" s="3329"/>
      <c r="I4" s="3329"/>
      <c r="J4" s="3330"/>
      <c r="K4" s="1284"/>
      <c r="L4" s="2196" t="s">
        <v>2654</v>
      </c>
      <c r="M4" s="999">
        <f>SUMPRODUCT((区片价!B49:B75=I2)*(区片价!C3:F3=E2)*(区片价!C49:F75))</f>
        <v>0</v>
      </c>
      <c r="N4" s="1001">
        <f>SUMPRODUCT((因素修正幅度!B49:B75=I2)*(因素修正幅度!C3:F3=E2)*(因素修正幅度!C49:F75))</f>
        <v>0</v>
      </c>
      <c r="O4" s="1284"/>
      <c r="P4" s="1284"/>
      <c r="Q4" s="1284"/>
      <c r="R4" s="1378">
        <v>3</v>
      </c>
      <c r="S4" s="1378">
        <f>ROUND(IF(G3&gt;1,IF(R4&lt;7,SUMPRODUCT((B93:B98=R4)*(C92:N92=G2)*(C93:N98)),SUMIF(C92:N92,G2,C100:N100)),IF(R4&lt;7,SUMPRODUCT((B102:B107=R4)*(C92:N92=G2)*(C102:N107)),SUMIF(C92:N92,G2,C109:N109))),4)</f>
        <v>1.9263999999999999</v>
      </c>
      <c r="T4" s="1378">
        <f t="shared" ca="1" si="0"/>
        <v>3261</v>
      </c>
      <c r="U4" s="1379"/>
      <c r="V4" s="1378">
        <f t="shared" ca="1" si="1"/>
        <v>0</v>
      </c>
      <c r="W4" s="1382"/>
      <c r="X4" s="1382"/>
      <c r="Y4" s="1382"/>
      <c r="Z4" s="1382"/>
      <c r="AA4" s="1382"/>
      <c r="AB4" s="1382"/>
      <c r="AC4" s="1383"/>
      <c r="AD4" s="1384"/>
      <c r="AE4" s="1384"/>
      <c r="AF4" s="1384"/>
      <c r="AG4" s="1384"/>
      <c r="AH4" s="1384"/>
      <c r="AI4" s="1384"/>
      <c r="AJ4" s="1385"/>
    </row>
    <row r="5" spans="1:36" s="2208" customFormat="1" ht="15.6" thickBot="1">
      <c r="A5" s="2199" t="s">
        <v>807</v>
      </c>
      <c r="B5" s="2200" t="s">
        <v>2655</v>
      </c>
      <c r="C5" s="860">
        <f>ROUND(IF(E2="商业",C6*C7+C16,(IF(E2="住宅",C6*C12+C16,C6+C16))),0)</f>
        <v>1360</v>
      </c>
      <c r="D5" s="1529">
        <f>ROUND(C6+C16,0)</f>
        <v>1360</v>
      </c>
      <c r="E5" s="1529"/>
      <c r="F5" s="2201"/>
      <c r="G5" s="2202"/>
      <c r="H5" s="2202"/>
      <c r="I5" s="2202"/>
      <c r="J5" s="2203"/>
      <c r="K5" s="2204"/>
      <c r="L5" s="2196" t="s">
        <v>2656</v>
      </c>
      <c r="M5" s="999">
        <f>SUMPRODUCT((区片价!B76:B109=I2)*(区片价!C3:F3=E2)*(区片价!C76:F109))</f>
        <v>0</v>
      </c>
      <c r="N5" s="1001">
        <f>SUMPRODUCT((因素修正幅度!B76:B109=I2)*(因素修正幅度!C3:F3=E2)*(因素修正幅度!C76:F109))</f>
        <v>0</v>
      </c>
      <c r="O5" s="1284"/>
      <c r="P5" s="1284"/>
      <c r="Q5" s="1284"/>
      <c r="R5" s="1378">
        <v>4</v>
      </c>
      <c r="S5" s="1378">
        <f>ROUND(IF(G3&gt;1,IF(R5&lt;7,SUMPRODUCT((B93:B98=R5)*(C92:N92=G2)*(C93:N98)),SUMIF(C92:N92,G2,C100:N100)),IF(R5&lt;7,SUMPRODUCT((B102:B107=R5)*(C92:N92=G2)*(C102:N107)),SUMIF(C92:N92,G2,C109:N109))),4)</f>
        <v>1.5457000000000001</v>
      </c>
      <c r="T5" s="1378">
        <f t="shared" ca="1" si="0"/>
        <v>2617</v>
      </c>
      <c r="U5" s="1379"/>
      <c r="V5" s="1378">
        <f t="shared" ca="1" si="1"/>
        <v>0</v>
      </c>
      <c r="W5" s="1382"/>
      <c r="X5" s="1382"/>
      <c r="Y5" s="1382"/>
      <c r="Z5" s="1382"/>
      <c r="AA5" s="1382"/>
      <c r="AB5" s="1382"/>
      <c r="AC5" s="2205"/>
      <c r="AD5" s="2206"/>
      <c r="AE5" s="2206"/>
      <c r="AF5" s="2206"/>
      <c r="AG5" s="2206"/>
      <c r="AH5" s="2206"/>
      <c r="AI5" s="2206"/>
      <c r="AJ5" s="2207"/>
    </row>
    <row r="6" spans="1:36" ht="15.6" thickBot="1">
      <c r="A6" s="2209" t="s">
        <v>2657</v>
      </c>
      <c r="B6" s="2210" t="s">
        <v>2658</v>
      </c>
      <c r="C6" s="861">
        <f>SUMIF(L1:L12,G2,M1:M12)</f>
        <v>1360</v>
      </c>
      <c r="D6" s="2211" t="s">
        <v>2659</v>
      </c>
      <c r="E6" s="2212"/>
      <c r="F6" s="2212"/>
      <c r="G6" s="2213"/>
      <c r="H6" s="2213"/>
      <c r="I6" s="2213"/>
      <c r="J6" s="2214"/>
      <c r="K6" s="1574"/>
      <c r="L6" s="2196" t="s">
        <v>2660</v>
      </c>
      <c r="M6" s="999">
        <f>SUMPRODUCT((区片价!B110:B157=I2)*(区片价!C3:F3=E2)*(区片价!C110:F157))</f>
        <v>0</v>
      </c>
      <c r="N6" s="1001">
        <f>SUMPRODUCT((因素修正幅度!B110:B157=I2)*(因素修正幅度!C3:F3=E2)*(因素修正幅度!C110:F157))</f>
        <v>0</v>
      </c>
      <c r="O6" s="1284"/>
      <c r="P6" s="1284"/>
      <c r="Q6" s="1284"/>
      <c r="R6" s="1378">
        <v>5</v>
      </c>
      <c r="S6" s="1378">
        <f>ROUND(IF(G3&gt;1,IF(R6&lt;7,SUMPRODUCT((B93:B98=R6)*(C92:N92=G2)*(C93:N98)),SUMIF(C92:N92,G2,C100:N100)),IF(R6&lt;7,SUMPRODUCT((B102:B107=R6)*(C92:N92=G2)*(C102:N107)),SUMIF(C92:N92,G2,C109:N109))),4)</f>
        <v>1.3163</v>
      </c>
      <c r="T6" s="1378">
        <f t="shared" ca="1" si="0"/>
        <v>2228</v>
      </c>
      <c r="U6" s="1379"/>
      <c r="V6" s="1378">
        <f t="shared" ca="1" si="1"/>
        <v>0</v>
      </c>
      <c r="W6" s="1382"/>
      <c r="X6" s="1382"/>
      <c r="Y6" s="1382"/>
      <c r="Z6" s="1382"/>
      <c r="AA6" s="1382"/>
      <c r="AB6" s="1382"/>
      <c r="AC6" s="2205"/>
      <c r="AD6" s="2206"/>
      <c r="AE6" s="2206"/>
      <c r="AF6" s="2206"/>
      <c r="AG6" s="2206"/>
      <c r="AH6" s="2206"/>
      <c r="AI6" s="2206"/>
      <c r="AJ6" s="2207"/>
    </row>
    <row r="7" spans="1:36" ht="24">
      <c r="A7" s="3309" t="str">
        <f>IF(E2="商业",IF(C8="不临58条商业街","",2),"")</f>
        <v/>
      </c>
      <c r="B7" s="2215" t="s">
        <v>2661</v>
      </c>
      <c r="C7" s="862">
        <f>IF(C8="不临58条商业街",1,ROUND(1+(1.6*E8+1.2*E9+0.8*E10+0.4*E11)*C9,4))</f>
        <v>1</v>
      </c>
      <c r="D7" s="2216" t="s">
        <v>2662</v>
      </c>
      <c r="E7" s="886"/>
      <c r="F7" s="2217"/>
      <c r="G7" s="2218"/>
      <c r="H7" s="2218"/>
      <c r="I7" s="2218"/>
      <c r="J7" s="2219"/>
      <c r="K7" s="1574"/>
      <c r="L7" s="2196" t="s">
        <v>2663</v>
      </c>
      <c r="M7" s="999">
        <f>SUMPRODUCT((区片价!B158:B205=I2)*(区片价!C3:F3=E2)*(区片价!C158:F205))</f>
        <v>1360</v>
      </c>
      <c r="N7" s="1001">
        <f>SUMPRODUCT((因素修正幅度!B158:B205=I2)*(因素修正幅度!C3:F3=E2)*(因素修正幅度!C158:F205))</f>
        <v>0.13</v>
      </c>
      <c r="O7" s="1284"/>
      <c r="P7" s="1284"/>
      <c r="Q7" s="1284"/>
      <c r="R7" s="1378">
        <v>6</v>
      </c>
      <c r="S7" s="1378">
        <f>ROUND(IF(G3&gt;1,IF(R7&lt;7,SUMPRODUCT((B93:B98=R7)*(C92:N92=G2)*(C93:N98)),SUMIF(C92:N92,G2,C100:N100)),IF(R7&lt;7,SUMPRODUCT((B102:B107=R7)*(C92:N92=G2)*(C102:N107)),SUMIF(C92:N92,G2,C109:N109))),4)</f>
        <v>1.1575</v>
      </c>
      <c r="T7" s="1378">
        <f t="shared" ca="1" si="0"/>
        <v>1960</v>
      </c>
      <c r="U7" s="1379"/>
      <c r="V7" s="1378">
        <f t="shared" ca="1" si="1"/>
        <v>0</v>
      </c>
      <c r="W7" s="1548" t="s">
        <v>2664</v>
      </c>
      <c r="X7" s="1380" t="str">
        <f>G2</f>
        <v>七级</v>
      </c>
      <c r="Y7" s="1380" t="s">
        <v>2665</v>
      </c>
      <c r="Z7" s="1381">
        <f>G3</f>
        <v>0.56000000000000005</v>
      </c>
      <c r="AA7" s="1382"/>
      <c r="AB7" s="1382"/>
      <c r="AC7" s="1383"/>
      <c r="AD7" s="1384"/>
      <c r="AE7" s="1384"/>
      <c r="AF7" s="1384"/>
      <c r="AG7" s="1384"/>
      <c r="AH7" s="1384"/>
      <c r="AI7" s="1384"/>
      <c r="AJ7" s="1385"/>
    </row>
    <row r="8" spans="1:36" ht="26.4">
      <c r="A8" s="3331"/>
      <c r="B8" s="179" t="s">
        <v>2666</v>
      </c>
      <c r="C8" s="2220" t="s">
        <v>4374</v>
      </c>
      <c r="D8" s="863" t="s">
        <v>139</v>
      </c>
      <c r="E8" s="864" t="e">
        <f>ROUND(C11/E7,4)</f>
        <v>#DIV/0!</v>
      </c>
      <c r="F8" s="2221" t="s">
        <v>2667</v>
      </c>
      <c r="G8" s="2222"/>
      <c r="H8" s="2222"/>
      <c r="I8" s="2222"/>
      <c r="J8" s="2223"/>
      <c r="K8" s="1284"/>
      <c r="L8" s="2196" t="s">
        <v>2668</v>
      </c>
      <c r="M8" s="999">
        <f>SUMPRODUCT((区片价!B206:B244=I2)*(区片价!C3:F3=E2)*(区片价!C206:F244))</f>
        <v>0</v>
      </c>
      <c r="N8" s="1001">
        <f>SUMPRODUCT((因素修正幅度!B206:B244=I2)*(因素修正幅度!C3:F3=E2)*(因素修正幅度!C206:F244))</f>
        <v>0</v>
      </c>
      <c r="O8" s="1284"/>
      <c r="P8" s="1284"/>
      <c r="Q8" s="1284"/>
      <c r="R8" s="1378">
        <v>7</v>
      </c>
      <c r="S8" s="1379"/>
      <c r="T8" s="1378">
        <f t="shared" ca="1" si="0"/>
        <v>0</v>
      </c>
      <c r="U8" s="1379"/>
      <c r="V8" s="1378">
        <f t="shared" ca="1" si="1"/>
        <v>0</v>
      </c>
      <c r="W8" s="3324" t="s">
        <v>2669</v>
      </c>
      <c r="X8" s="3325"/>
      <c r="Y8" s="1386" t="s">
        <v>2670</v>
      </c>
      <c r="Z8" s="1386" t="s">
        <v>2671</v>
      </c>
      <c r="AA8" s="1386" t="s">
        <v>2672</v>
      </c>
      <c r="AB8" s="1386" t="s">
        <v>2673</v>
      </c>
      <c r="AC8" s="1386" t="s">
        <v>2674</v>
      </c>
      <c r="AD8" s="1386" t="s">
        <v>2675</v>
      </c>
      <c r="AE8" s="1386" t="s">
        <v>2676</v>
      </c>
      <c r="AF8" s="1386" t="s">
        <v>2677</v>
      </c>
      <c r="AG8" s="1386" t="s">
        <v>2678</v>
      </c>
      <c r="AH8" s="1386" t="s">
        <v>2679</v>
      </c>
      <c r="AI8" s="1386" t="s">
        <v>2680</v>
      </c>
      <c r="AJ8" s="1386" t="s">
        <v>2681</v>
      </c>
    </row>
    <row r="9" spans="1:36" ht="15">
      <c r="A9" s="3331"/>
      <c r="B9" s="179" t="s">
        <v>2682</v>
      </c>
      <c r="C9" s="865">
        <f>SUMIF(修正!C59:C119,C8,修正!E59:E119)</f>
        <v>0</v>
      </c>
      <c r="D9" s="180" t="s">
        <v>140</v>
      </c>
      <c r="E9" s="180" t="e">
        <f>ROUND(C11/E7,4)</f>
        <v>#DIV/0!</v>
      </c>
      <c r="F9" s="2221" t="s">
        <v>2683</v>
      </c>
      <c r="G9" s="2222"/>
      <c r="H9" s="2222"/>
      <c r="I9" s="2222"/>
      <c r="J9" s="2223"/>
      <c r="K9" s="1284"/>
      <c r="L9" s="2196" t="s">
        <v>2684</v>
      </c>
      <c r="M9" s="999">
        <f>SUMPRODUCT((区片价!B245:B289=I2)*(区片价!C3:F3=E2)*(区片价!C245:F289))</f>
        <v>0</v>
      </c>
      <c r="N9" s="1001">
        <f>SUMPRODUCT((因素修正幅度!B245:B289=I2)*(因素修正幅度!C3:F3=E2)*(因素修正幅度!C245:F289))</f>
        <v>0</v>
      </c>
      <c r="O9" s="1284"/>
      <c r="P9" s="1284"/>
      <c r="Q9" s="1284"/>
      <c r="R9" s="1378">
        <v>8</v>
      </c>
      <c r="S9" s="1379"/>
      <c r="T9" s="1378">
        <f t="shared" ca="1" si="0"/>
        <v>0</v>
      </c>
      <c r="U9" s="1379"/>
      <c r="V9" s="1378">
        <f t="shared" ca="1" si="1"/>
        <v>0</v>
      </c>
      <c r="W9" s="3326" t="s">
        <v>2685</v>
      </c>
      <c r="X9" s="1387" t="s">
        <v>2686</v>
      </c>
      <c r="Y9" s="1514"/>
      <c r="Z9" s="1388">
        <f>$Y$9</f>
        <v>0</v>
      </c>
      <c r="AA9" s="1388">
        <f t="shared" ref="AA9:AJ9" si="2">$Y$9</f>
        <v>0</v>
      </c>
      <c r="AB9" s="1388">
        <f t="shared" si="2"/>
        <v>0</v>
      </c>
      <c r="AC9" s="1388">
        <f t="shared" si="2"/>
        <v>0</v>
      </c>
      <c r="AD9" s="1388">
        <f t="shared" si="2"/>
        <v>0</v>
      </c>
      <c r="AE9" s="1388">
        <f t="shared" si="2"/>
        <v>0</v>
      </c>
      <c r="AF9" s="1388">
        <f t="shared" si="2"/>
        <v>0</v>
      </c>
      <c r="AG9" s="1388">
        <f t="shared" si="2"/>
        <v>0</v>
      </c>
      <c r="AH9" s="1388">
        <f t="shared" si="2"/>
        <v>0</v>
      </c>
      <c r="AI9" s="1388">
        <f t="shared" si="2"/>
        <v>0</v>
      </c>
      <c r="AJ9" s="1388">
        <f t="shared" si="2"/>
        <v>0</v>
      </c>
    </row>
    <row r="10" spans="1:36" ht="15">
      <c r="A10" s="3331"/>
      <c r="B10" s="179" t="s">
        <v>2687</v>
      </c>
      <c r="C10" s="180">
        <f>SUMIF(修正!C59:C119,C8,修正!F59:F119)</f>
        <v>0</v>
      </c>
      <c r="D10" s="180" t="s">
        <v>141</v>
      </c>
      <c r="E10" s="180" t="e">
        <f>ROUND(C11/E7,4)</f>
        <v>#DIV/0!</v>
      </c>
      <c r="F10" s="2221" t="s">
        <v>2688</v>
      </c>
      <c r="G10" s="2222"/>
      <c r="H10" s="2222"/>
      <c r="I10" s="2222"/>
      <c r="J10" s="2223"/>
      <c r="K10" s="1284"/>
      <c r="L10" s="2196" t="s">
        <v>2689</v>
      </c>
      <c r="M10" s="999">
        <f>SUMPRODUCT((区片价!B290:B316=I2)*(区片价!C3:F3=E2)*(区片价!C290:F316))</f>
        <v>0</v>
      </c>
      <c r="N10" s="1001">
        <f>SUMPRODUCT((因素修正幅度!B290:B316=I2)*(因素修正幅度!C3:F3=E2)*(因素修正幅度!C290:F316))</f>
        <v>0</v>
      </c>
      <c r="O10" s="1284"/>
      <c r="P10" s="1284"/>
      <c r="Q10" s="1284"/>
      <c r="R10" s="1378">
        <v>9</v>
      </c>
      <c r="S10" s="1379"/>
      <c r="T10" s="1378">
        <f t="shared" ca="1" si="0"/>
        <v>0</v>
      </c>
      <c r="U10" s="1379"/>
      <c r="V10" s="1378">
        <f t="shared" ca="1" si="1"/>
        <v>0</v>
      </c>
      <c r="W10" s="3326"/>
      <c r="X10" s="1387">
        <v>7</v>
      </c>
      <c r="Y10" s="1389">
        <f>(-0.163*(Y9^2)-0.59*Y9+7617)*(10^(-4))</f>
        <v>0.76170000000000004</v>
      </c>
      <c r="Z10" s="1389">
        <f>(-0.163*(Z9^2)-0.59*Z9+7617)*(10^(-4))</f>
        <v>0.76170000000000004</v>
      </c>
      <c r="AA10" s="1389">
        <f>(-0.161*(AA9^2)-7.509*AA9+6533)*(10^(-4))</f>
        <v>0.65329999999999999</v>
      </c>
      <c r="AB10" s="1389">
        <f>(-0.161*(AB9^2)-7.509*AB9+6533)*(10^(-4))</f>
        <v>0.65329999999999999</v>
      </c>
      <c r="AC10" s="1389">
        <f>(-0.161*(AC9^2)-7.509*AC9+6533)*(10^(-4))</f>
        <v>0.65329999999999999</v>
      </c>
      <c r="AD10" s="1389">
        <f>(-0.161*(AD9^2)-7.509*AD9+6533)*(10^(-4))</f>
        <v>0.65329999999999999</v>
      </c>
      <c r="AE10" s="1389">
        <f>(-0.161*(AE9^2)-7.509*AE9+6533)*(10^(-4))</f>
        <v>0.65329999999999999</v>
      </c>
      <c r="AF10" s="1389">
        <f>(-0.214*(AF9^2)-21.991*AF9+4665)*(10^(-4))</f>
        <v>0.46650000000000003</v>
      </c>
      <c r="AG10" s="1389">
        <f>(-0.214*(AG9^2)-21.991*AG9+4665)*(10^(-4))</f>
        <v>0.46650000000000003</v>
      </c>
      <c r="AH10" s="1389">
        <f>(-0.214*(AH9^2)-21.991*AH9+4665)*(10^(-4))</f>
        <v>0.46650000000000003</v>
      </c>
      <c r="AI10" s="1389">
        <f>(-0.214*(AI9^2)-21.991*AI9+4665)*(10^(-4))</f>
        <v>0.46650000000000003</v>
      </c>
      <c r="AJ10" s="1389">
        <f>(-0.214*(AJ9^2)-21.991*AJ9+4665)*(10^(-4))</f>
        <v>0.46650000000000003</v>
      </c>
    </row>
    <row r="11" spans="1:36" ht="15.6" thickBot="1">
      <c r="A11" s="3331"/>
      <c r="B11" s="2224" t="s">
        <v>2690</v>
      </c>
      <c r="C11" s="866">
        <f>C10/4</f>
        <v>0</v>
      </c>
      <c r="D11" s="866" t="s">
        <v>142</v>
      </c>
      <c r="E11" s="866" t="e">
        <f>ROUND(C11/E7,4)</f>
        <v>#DIV/0!</v>
      </c>
      <c r="F11" s="2225" t="s">
        <v>2691</v>
      </c>
      <c r="G11" s="2226"/>
      <c r="H11" s="2226"/>
      <c r="I11" s="2226"/>
      <c r="J11" s="2227"/>
      <c r="K11" s="1284"/>
      <c r="L11" s="2196" t="s">
        <v>2692</v>
      </c>
      <c r="M11" s="999">
        <f>SUMPRODUCT((区片价!B317:B337=I2)*(区片价!C3:F3=E2)*(区片价!C317:F337))</f>
        <v>0</v>
      </c>
      <c r="N11" s="1001">
        <f>SUMPRODUCT((因素修正幅度!B317:B337=I2)*(因素修正幅度!C3:F3=E2)*(因素修正幅度!C317:F337))</f>
        <v>0</v>
      </c>
      <c r="O11" s="1284"/>
      <c r="P11" s="1284"/>
      <c r="Q11" s="1284"/>
      <c r="R11" s="1378">
        <v>10</v>
      </c>
      <c r="S11" s="1379"/>
      <c r="T11" s="1378">
        <f t="shared" ca="1" si="0"/>
        <v>0</v>
      </c>
      <c r="U11" s="1379"/>
      <c r="V11" s="1378">
        <f t="shared" ca="1" si="1"/>
        <v>0</v>
      </c>
      <c r="W11" s="3326" t="s">
        <v>2693</v>
      </c>
      <c r="X11" s="1390" t="s">
        <v>2694</v>
      </c>
      <c r="Y11" s="1391">
        <f>$G$3</f>
        <v>0.56000000000000005</v>
      </c>
      <c r="Z11" s="1391">
        <f t="shared" ref="Z11:AJ11" si="3">$G$3</f>
        <v>0.56000000000000005</v>
      </c>
      <c r="AA11" s="1391">
        <f t="shared" si="3"/>
        <v>0.56000000000000005</v>
      </c>
      <c r="AB11" s="1391">
        <f t="shared" si="3"/>
        <v>0.56000000000000005</v>
      </c>
      <c r="AC11" s="1391">
        <f t="shared" si="3"/>
        <v>0.56000000000000005</v>
      </c>
      <c r="AD11" s="1391">
        <f t="shared" si="3"/>
        <v>0.56000000000000005</v>
      </c>
      <c r="AE11" s="1391">
        <f t="shared" si="3"/>
        <v>0.56000000000000005</v>
      </c>
      <c r="AF11" s="1391">
        <f t="shared" si="3"/>
        <v>0.56000000000000005</v>
      </c>
      <c r="AG11" s="1391">
        <f t="shared" si="3"/>
        <v>0.56000000000000005</v>
      </c>
      <c r="AH11" s="1391">
        <f t="shared" si="3"/>
        <v>0.56000000000000005</v>
      </c>
      <c r="AI11" s="1391">
        <f t="shared" si="3"/>
        <v>0.56000000000000005</v>
      </c>
      <c r="AJ11" s="1391">
        <f t="shared" si="3"/>
        <v>0.56000000000000005</v>
      </c>
    </row>
    <row r="12" spans="1:36" ht="25.8" thickBot="1">
      <c r="A12" s="3309" t="s">
        <v>2695</v>
      </c>
      <c r="B12" s="2228" t="s">
        <v>2696</v>
      </c>
      <c r="C12" s="862">
        <f>ROUND(C15*D15*E15*F15*G15*H15*I15*J15,4)</f>
        <v>1</v>
      </c>
      <c r="D12" s="2229" t="s">
        <v>2697</v>
      </c>
      <c r="E12" s="2230"/>
      <c r="F12" s="2230"/>
      <c r="G12" s="2231"/>
      <c r="H12" s="2231"/>
      <c r="I12" s="2231"/>
      <c r="J12" s="2232"/>
      <c r="K12" s="1284"/>
      <c r="L12" s="2233" t="s">
        <v>2698</v>
      </c>
      <c r="M12" s="1000">
        <f>SUMPRODUCT((区片价!B338:B344=I2)*(区片价!C3:F3=E2)*(区片价!C338:F344))</f>
        <v>0</v>
      </c>
      <c r="N12" s="1001">
        <f>SUMPRODUCT((因素修正幅度!B338:B344=I2)*(因素修正幅度!C3:F3=E2)*(因素修正幅度!C338:F344))</f>
        <v>0</v>
      </c>
      <c r="O12" s="1284"/>
      <c r="P12" s="1284"/>
      <c r="Q12" s="1284"/>
      <c r="R12" s="1378">
        <v>11</v>
      </c>
      <c r="S12" s="1379"/>
      <c r="T12" s="1378">
        <f t="shared" ca="1" si="0"/>
        <v>0</v>
      </c>
      <c r="U12" s="1379"/>
      <c r="V12" s="1378">
        <f t="shared" ca="1" si="1"/>
        <v>0</v>
      </c>
      <c r="W12" s="3326"/>
      <c r="X12" s="1392" t="s">
        <v>2699</v>
      </c>
      <c r="Y12" s="1388">
        <f t="shared" ref="Y12:AJ12" si="4">Y9</f>
        <v>0</v>
      </c>
      <c r="Z12" s="1388">
        <f t="shared" si="4"/>
        <v>0</v>
      </c>
      <c r="AA12" s="1388">
        <f t="shared" si="4"/>
        <v>0</v>
      </c>
      <c r="AB12" s="1388">
        <f t="shared" si="4"/>
        <v>0</v>
      </c>
      <c r="AC12" s="1388">
        <f t="shared" si="4"/>
        <v>0</v>
      </c>
      <c r="AD12" s="1388">
        <f t="shared" si="4"/>
        <v>0</v>
      </c>
      <c r="AE12" s="1388">
        <f t="shared" si="4"/>
        <v>0</v>
      </c>
      <c r="AF12" s="1388">
        <f t="shared" si="4"/>
        <v>0</v>
      </c>
      <c r="AG12" s="1388">
        <f t="shared" si="4"/>
        <v>0</v>
      </c>
      <c r="AH12" s="1388">
        <f t="shared" si="4"/>
        <v>0</v>
      </c>
      <c r="AI12" s="1388">
        <f t="shared" si="4"/>
        <v>0</v>
      </c>
      <c r="AJ12" s="1388">
        <f t="shared" si="4"/>
        <v>0</v>
      </c>
    </row>
    <row r="13" spans="1:36" ht="24">
      <c r="A13" s="3332"/>
      <c r="B13" s="2234" t="s">
        <v>2700</v>
      </c>
      <c r="C13" s="2235" t="s">
        <v>2701</v>
      </c>
      <c r="D13" s="1540" t="s">
        <v>2702</v>
      </c>
      <c r="E13" s="1540" t="s">
        <v>2703</v>
      </c>
      <c r="F13" s="30" t="s">
        <v>2704</v>
      </c>
      <c r="G13" s="2236" t="s">
        <v>2705</v>
      </c>
      <c r="H13" s="2236" t="s">
        <v>2705</v>
      </c>
      <c r="I13" s="2236" t="s">
        <v>2705</v>
      </c>
      <c r="J13" s="2237" t="s">
        <v>2705</v>
      </c>
      <c r="K13" s="1284"/>
      <c r="L13" s="1284"/>
      <c r="M13" s="1284"/>
      <c r="N13" s="1284"/>
      <c r="O13" s="1284"/>
      <c r="P13" s="1284"/>
      <c r="Q13" s="1284"/>
      <c r="R13" s="1378">
        <v>12</v>
      </c>
      <c r="S13" s="1379"/>
      <c r="T13" s="1378">
        <f t="shared" ca="1" si="0"/>
        <v>0</v>
      </c>
      <c r="U13" s="1379"/>
      <c r="V13" s="1378">
        <f t="shared" ca="1" si="1"/>
        <v>0</v>
      </c>
      <c r="W13" s="3326"/>
      <c r="X13" s="1392"/>
      <c r="Y13" s="1389">
        <f>(-0.163*(Y12^2)-0.59*Y12+7617)*(10^(-4))/Y11</f>
        <v>1.3601785714285715</v>
      </c>
      <c r="Z13" s="1389">
        <f t="shared" ref="Z13:AJ13" si="5">(-0.163*(Z12^2)-0.59*Z12+7617)*(10^(-4))/Z11</f>
        <v>1.3601785714285715</v>
      </c>
      <c r="AA13" s="1389">
        <f t="shared" si="5"/>
        <v>1.3601785714285715</v>
      </c>
      <c r="AB13" s="1389">
        <f t="shared" si="5"/>
        <v>1.3601785714285715</v>
      </c>
      <c r="AC13" s="1389">
        <f t="shared" si="5"/>
        <v>1.3601785714285715</v>
      </c>
      <c r="AD13" s="1389">
        <f t="shared" si="5"/>
        <v>1.3601785714285715</v>
      </c>
      <c r="AE13" s="1389">
        <f t="shared" si="5"/>
        <v>1.3601785714285715</v>
      </c>
      <c r="AF13" s="1389">
        <f t="shared" si="5"/>
        <v>1.3601785714285715</v>
      </c>
      <c r="AG13" s="1389">
        <f t="shared" si="5"/>
        <v>1.3601785714285715</v>
      </c>
      <c r="AH13" s="1389">
        <f t="shared" si="5"/>
        <v>1.3601785714285715</v>
      </c>
      <c r="AI13" s="1389">
        <f t="shared" si="5"/>
        <v>1.3601785714285715</v>
      </c>
      <c r="AJ13" s="1389">
        <f t="shared" si="5"/>
        <v>1.3601785714285715</v>
      </c>
    </row>
    <row r="14" spans="1:36" ht="15">
      <c r="A14" s="3332"/>
      <c r="B14" s="2238"/>
      <c r="C14" s="2239"/>
      <c r="D14" s="2240"/>
      <c r="E14" s="2240"/>
      <c r="F14" s="2241"/>
      <c r="G14" s="2242" t="s">
        <v>2706</v>
      </c>
      <c r="H14" s="2243"/>
      <c r="I14" s="2244"/>
      <c r="J14" s="2245"/>
      <c r="K14" s="1284"/>
      <c r="L14" s="1284"/>
      <c r="M14" s="1284"/>
      <c r="N14" s="1284"/>
      <c r="O14" s="1284"/>
      <c r="P14" s="1284"/>
      <c r="Q14" s="1284"/>
      <c r="R14" s="1378">
        <v>13</v>
      </c>
      <c r="S14" s="1379"/>
      <c r="T14" s="1378">
        <f t="shared" ca="1" si="0"/>
        <v>0</v>
      </c>
      <c r="U14" s="1379"/>
      <c r="V14" s="1378">
        <f t="shared" ca="1" si="1"/>
        <v>0</v>
      </c>
      <c r="W14" s="1382"/>
      <c r="X14" s="1382"/>
      <c r="Y14" s="1382"/>
      <c r="Z14" s="1382"/>
      <c r="AA14" s="1382"/>
      <c r="AB14" s="1382"/>
      <c r="AC14" s="1383"/>
      <c r="AD14" s="3023"/>
      <c r="AE14" s="3023"/>
      <c r="AF14" s="3023"/>
      <c r="AG14" s="3023"/>
      <c r="AH14" s="3023"/>
      <c r="AI14" s="3023"/>
      <c r="AJ14" s="3024"/>
    </row>
    <row r="15" spans="1:36" ht="15.6" thickBot="1">
      <c r="A15" s="3333"/>
      <c r="B15" s="2246" t="s">
        <v>2707</v>
      </c>
      <c r="C15" s="197">
        <f>IF(C14="有",1.1,1)</f>
        <v>1</v>
      </c>
      <c r="D15" s="197">
        <f>IF(D14="有",1.1,1)</f>
        <v>1</v>
      </c>
      <c r="E15" s="197">
        <f>IF(E14="有",1.1,1)</f>
        <v>1</v>
      </c>
      <c r="F15" s="197">
        <f>IF(F14="500米范围内",1.2,IF(F14="500-1000米",1.1,1))</f>
        <v>1</v>
      </c>
      <c r="G15" s="887">
        <v>1</v>
      </c>
      <c r="H15" s="887">
        <v>1</v>
      </c>
      <c r="I15" s="887">
        <v>1</v>
      </c>
      <c r="J15" s="888">
        <v>1</v>
      </c>
      <c r="K15" s="1284"/>
      <c r="L15" s="2189"/>
      <c r="M15" s="2189"/>
      <c r="N15" s="2189"/>
      <c r="O15" s="2189"/>
      <c r="P15" s="2189"/>
      <c r="Q15" s="1284"/>
      <c r="R15" s="1378">
        <v>14</v>
      </c>
      <c r="S15" s="1379"/>
      <c r="T15" s="1378">
        <f t="shared" ca="1" si="0"/>
        <v>0</v>
      </c>
      <c r="U15" s="1379"/>
      <c r="V15" s="1378">
        <f t="shared" ca="1" si="1"/>
        <v>0</v>
      </c>
      <c r="W15" s="1382"/>
      <c r="X15" s="1382"/>
      <c r="Y15" s="1382"/>
      <c r="Z15" s="1382"/>
      <c r="AA15" s="1382"/>
      <c r="AB15" s="1382"/>
      <c r="AC15" s="1383"/>
      <c r="AD15" s="3023"/>
      <c r="AE15" s="3023"/>
      <c r="AF15" s="3023"/>
      <c r="AG15" s="3023"/>
      <c r="AH15" s="3023"/>
      <c r="AI15" s="3023"/>
      <c r="AJ15" s="3024"/>
    </row>
    <row r="16" spans="1:36" ht="24.6" customHeight="1">
      <c r="A16" s="3309" t="s">
        <v>2712</v>
      </c>
      <c r="B16" s="2215" t="s">
        <v>2713</v>
      </c>
      <c r="C16" s="2377">
        <f>ROUND(IF(F17="与级别开发程度一致",0,(G17-E17)/C17),0)</f>
        <v>0</v>
      </c>
      <c r="D16" s="3322" t="s">
        <v>2717</v>
      </c>
      <c r="E16" s="3323"/>
      <c r="F16" s="3322" t="s">
        <v>2714</v>
      </c>
      <c r="G16" s="3323"/>
      <c r="H16" s="2247"/>
      <c r="I16" s="2247"/>
      <c r="J16" s="2381"/>
      <c r="K16" s="2247"/>
      <c r="L16" s="2247"/>
      <c r="M16" s="2247"/>
      <c r="N16" s="2247"/>
      <c r="O16" s="2248"/>
      <c r="P16" s="2189"/>
      <c r="Q16" s="1284"/>
      <c r="R16" s="1378">
        <v>15</v>
      </c>
      <c r="S16" s="1379"/>
      <c r="T16" s="1378">
        <f t="shared" ca="1" si="0"/>
        <v>0</v>
      </c>
      <c r="U16" s="1379"/>
      <c r="V16" s="1378">
        <f t="shared" ca="1" si="1"/>
        <v>0</v>
      </c>
      <c r="W16" s="1382"/>
      <c r="X16" s="1382"/>
      <c r="Y16" s="1382"/>
      <c r="Z16" s="1382"/>
      <c r="AA16" s="1382"/>
      <c r="AB16" s="1382"/>
      <c r="AC16" s="1383"/>
      <c r="AD16" s="3023"/>
      <c r="AE16" s="3023"/>
      <c r="AF16" s="3023"/>
      <c r="AG16" s="3023"/>
      <c r="AH16" s="3023"/>
      <c r="AI16" s="3023"/>
      <c r="AJ16" s="3024"/>
    </row>
    <row r="17" spans="1:37" ht="27" thickBot="1">
      <c r="A17" s="3310"/>
      <c r="B17" s="2388" t="s">
        <v>2716</v>
      </c>
      <c r="C17" s="2389">
        <f>SUMPRODUCT((修正!A2:A5=E2)*(修正!B1:M1=G2)*(修正!B2:M5))</f>
        <v>1.2</v>
      </c>
      <c r="D17" s="197" t="str">
        <f>IF(OR(G2="八级",G2="九级",G2="十级",G2="十一级",G2="十二级"),"五通一平","七通一平")</f>
        <v>七通一平</v>
      </c>
      <c r="E17" s="2378">
        <f>SUMPRODUCT((修正!B1:M1=G2)*(修正!B15:M15))</f>
        <v>300</v>
      </c>
      <c r="F17" s="2379" t="s">
        <v>4375</v>
      </c>
      <c r="G17" s="2380">
        <f>SUM(H17:O17)</f>
        <v>0</v>
      </c>
      <c r="H17" s="2389">
        <f>SUMPRODUCT((七通一平=H16)*(修正!B1:M1=G2)*(修正!B6:M14))</f>
        <v>0</v>
      </c>
      <c r="I17" s="2389">
        <f>SUMPRODUCT((七通一平=I16)*(修正!B1:M1=G2)*(修正!B6:M14))</f>
        <v>0</v>
      </c>
      <c r="J17" s="2390">
        <f>SUMPRODUCT((七通一平=J16)*(修正!B1:M1=G2)*(修正!B6:M14))</f>
        <v>0</v>
      </c>
      <c r="K17" s="2389">
        <f>SUMPRODUCT((七通一平=K16)*(修正!B1:M1=G2)*(修正!B6:M14))</f>
        <v>0</v>
      </c>
      <c r="L17" s="2389">
        <f>SUMPRODUCT((七通一平=L16)*(修正!B1:M1=G2)*(修正!B6:M14))</f>
        <v>0</v>
      </c>
      <c r="M17" s="2389">
        <f>SUMPRODUCT((七通一平=M16)*(修正!B1:M1=G2)*(修正!B6:M14))</f>
        <v>0</v>
      </c>
      <c r="N17" s="2389">
        <f>SUMPRODUCT((七通一平=N16)*(修正!B1:M1=G2)*(修正!B6:M14))</f>
        <v>0</v>
      </c>
      <c r="O17" s="2391">
        <f>SUMPRODUCT((七通一平=O16)*(修正!B1:M1=G2)*(修正!B6:M14))</f>
        <v>0</v>
      </c>
      <c r="P17" s="2189"/>
      <c r="Q17" s="1284"/>
      <c r="R17" s="1284"/>
      <c r="S17" s="1284"/>
      <c r="T17" s="1284"/>
      <c r="U17" s="1284"/>
      <c r="V17" s="1284"/>
      <c r="W17" s="1284"/>
      <c r="X17" s="1284"/>
      <c r="Y17" s="1284"/>
      <c r="Z17" s="1285"/>
      <c r="AA17" s="1285"/>
      <c r="AB17" s="1285"/>
      <c r="AC17" s="1285"/>
      <c r="AD17" s="1285"/>
      <c r="AE17" s="1284"/>
      <c r="AF17" s="1284"/>
      <c r="AG17" s="2189"/>
      <c r="AH17" s="2189"/>
      <c r="AI17" s="2189"/>
      <c r="AJ17" s="2189"/>
    </row>
    <row r="18" spans="1:37" s="2208" customFormat="1" ht="15" thickBot="1">
      <c r="A18" s="2382" t="s">
        <v>808</v>
      </c>
      <c r="B18" s="2383" t="s">
        <v>2719</v>
      </c>
      <c r="C18" s="2384">
        <f>SUMIF(修正!C18:C39,E3,修正!E18:E39)</f>
        <v>1</v>
      </c>
      <c r="D18" s="2385"/>
      <c r="E18" s="2386"/>
      <c r="F18" s="2386"/>
      <c r="G18" s="2386"/>
      <c r="H18" s="2386"/>
      <c r="I18" s="2386"/>
      <c r="J18" s="2387"/>
      <c r="K18" s="1291"/>
      <c r="L18" s="3022"/>
      <c r="M18" s="3022"/>
      <c r="N18" s="3022"/>
      <c r="O18" s="1289"/>
      <c r="P18" s="1289"/>
      <c r="Q18" s="1290"/>
      <c r="R18" s="1290"/>
      <c r="S18" s="1290"/>
      <c r="T18" s="1285"/>
      <c r="U18" s="1285"/>
      <c r="V18" s="1285"/>
      <c r="W18" s="1284"/>
      <c r="X18" s="1284"/>
      <c r="Y18" s="1284"/>
      <c r="Z18" s="1291"/>
      <c r="AA18" s="1291"/>
      <c r="AB18" s="1291"/>
      <c r="AC18" s="1291"/>
      <c r="AD18" s="1291"/>
      <c r="AE18" s="1285"/>
      <c r="AF18" s="1285"/>
      <c r="AG18" s="2346"/>
      <c r="AH18" s="2346"/>
      <c r="AI18" s="2346"/>
      <c r="AJ18" s="3022"/>
    </row>
    <row r="19" spans="1:37" s="2208" customFormat="1" ht="29.4" thickBot="1">
      <c r="A19" s="2252" t="s">
        <v>809</v>
      </c>
      <c r="B19" s="2253" t="s">
        <v>2720</v>
      </c>
      <c r="C19" s="867">
        <f>ROUND(IF(H19="按公示增长率计算",SUMPRODUCT((地价!A3:A31=YEAR(G19)&amp;"-"&amp;ROUNDUP(MONTH(G19)/3,0))*(地价!X2:AB2=E2)*(地价!X3:AB31)),IF(H19="地价指数",M20/M19,(1+I19)^O19)),4)</f>
        <v>1.3880999999999999</v>
      </c>
      <c r="D19" s="2257" t="s">
        <v>2721</v>
      </c>
      <c r="E19" s="868">
        <v>41640</v>
      </c>
      <c r="F19" s="2257" t="s">
        <v>2722</v>
      </c>
      <c r="G19" s="869">
        <f>'数据-取费表'!B2</f>
        <v>44063</v>
      </c>
      <c r="H19" s="2258" t="s">
        <v>4376</v>
      </c>
      <c r="I19" s="870" t="str">
        <f>IF(H19="季度增幅（自定义）",SUMIF(N21:N24,E2,O21:O24),"")</f>
        <v/>
      </c>
      <c r="J19" s="2255"/>
      <c r="K19" s="1291"/>
      <c r="L19" s="2259" t="s">
        <v>2723</v>
      </c>
      <c r="M19" s="1502">
        <f>ROUND(SUMIF(地价!B2:F2,E2,地价!B31:F31),0)</f>
        <v>230</v>
      </c>
      <c r="N19" s="2260" t="s">
        <v>2724</v>
      </c>
      <c r="O19" s="871">
        <f>ROUNDDOWN(DATEDIF(E19,G19,"M")/3,0)</f>
        <v>26</v>
      </c>
      <c r="P19" s="1288"/>
      <c r="Q19" s="1290"/>
      <c r="R19" s="1290"/>
      <c r="S19" s="1290"/>
      <c r="T19" s="1285"/>
      <c r="U19" s="1285"/>
      <c r="V19" s="1285"/>
      <c r="W19" s="1284"/>
      <c r="X19" s="1284"/>
      <c r="Y19" s="1284"/>
      <c r="Z19" s="1291"/>
      <c r="AA19" s="1291"/>
      <c r="AB19" s="1291"/>
      <c r="AC19" s="1291"/>
      <c r="AD19" s="1291"/>
      <c r="AE19" s="1291"/>
      <c r="AF19" s="1290"/>
      <c r="AG19" s="3025"/>
      <c r="AH19" s="2346"/>
      <c r="AI19" s="3026"/>
      <c r="AJ19" s="3026"/>
      <c r="AK19" s="2261"/>
    </row>
    <row r="20" spans="1:37" s="2208" customFormat="1" ht="29.4" thickBot="1">
      <c r="A20" s="2262" t="s">
        <v>810</v>
      </c>
      <c r="B20" s="2263" t="s">
        <v>2725</v>
      </c>
      <c r="C20" s="872">
        <f ca="1">ROUND(POWER(1+G20,J20-I20)*(POWER(1+G20,I20)-1)/(POWER(1+G20,J20)-1),4)</f>
        <v>0.8468</v>
      </c>
      <c r="D20" s="2264" t="s">
        <v>2726</v>
      </c>
      <c r="E20" s="1511">
        <f ca="1">存贷款利率!D4/100</f>
        <v>4.3499999999999997E-2</v>
      </c>
      <c r="F20" s="2264" t="s">
        <v>2718</v>
      </c>
      <c r="G20" s="877">
        <f ca="1">SUMIF(M26:P26,E2,M28:P28)</f>
        <v>4.8000000000000001E-2</v>
      </c>
      <c r="H20" s="2264" t="s">
        <v>2727</v>
      </c>
      <c r="I20" s="878">
        <f>SUMIF('数据-取费表'!C6:C15,E2,'数据-取费表'!F6:F15)/COUNTIF('数据-取费表'!C6:C15,E2)</f>
        <v>30.94</v>
      </c>
      <c r="J20" s="879">
        <f>IF(E2="住宅",70,IF(E2="商业",40,50))</f>
        <v>50</v>
      </c>
      <c r="K20" s="1291"/>
      <c r="L20" s="2265" t="s">
        <v>2728</v>
      </c>
      <c r="M20" s="1503">
        <f>ROUND(SUMPRODUCT((地价!A4:A31=YEAR(G19)&amp;"-"&amp;ROUNDUP(MONTH(G19)/3,0))*(地价!B2:F2=E2)*(地价!B4:F31)),0)</f>
        <v>319</v>
      </c>
      <c r="N20" s="2266" t="s">
        <v>2729</v>
      </c>
      <c r="O20" s="2267" t="s">
        <v>2730</v>
      </c>
      <c r="P20" s="2268" t="s">
        <v>2731</v>
      </c>
      <c r="Q20" s="3022"/>
      <c r="R20" s="1290"/>
      <c r="S20" s="1290"/>
      <c r="T20" s="1285"/>
      <c r="U20" s="1285"/>
      <c r="V20" s="1285"/>
      <c r="W20" s="1284"/>
      <c r="X20" s="1284"/>
      <c r="Y20" s="1284"/>
      <c r="Z20" s="1291"/>
      <c r="AA20" s="1291"/>
      <c r="AB20" s="1291"/>
      <c r="AC20" s="1291"/>
      <c r="AD20" s="1291"/>
      <c r="AE20" s="1291"/>
      <c r="AF20" s="1291"/>
      <c r="AG20" s="3022"/>
      <c r="AH20" s="3022"/>
      <c r="AI20" s="3022"/>
      <c r="AJ20" s="3022"/>
    </row>
    <row r="21" spans="1:37" s="2208" customFormat="1" ht="14.4">
      <c r="A21" s="2269" t="s">
        <v>811</v>
      </c>
      <c r="B21" s="2270" t="s">
        <v>4377</v>
      </c>
      <c r="C21" s="880">
        <f>IF(B21="容积率修正",IF(G3&lt;=10,D22,J22),C23)</f>
        <v>2.0011999999999999</v>
      </c>
      <c r="D21" s="2271"/>
      <c r="E21" s="2271"/>
      <c r="F21" s="2271"/>
      <c r="G21" s="2271"/>
      <c r="H21" s="2271"/>
      <c r="I21" s="2271"/>
      <c r="J21" s="2272"/>
      <c r="K21" s="1291"/>
      <c r="L21" s="3022"/>
      <c r="M21" s="3022"/>
      <c r="N21" s="2273" t="s">
        <v>2732</v>
      </c>
      <c r="O21" s="1339"/>
      <c r="P21" s="1340">
        <f>SUMPRODUCT((地价!A3:A31=YEAR(G19)&amp;"-"&amp;ROUNDUP(MONTH(G19)/3,0))*(地价!AD2:AH2=N21)*(地价!AD3:AH31))</f>
        <v>1.2E-2</v>
      </c>
      <c r="Q21" s="3022"/>
      <c r="R21" s="1290"/>
      <c r="S21" s="1290"/>
      <c r="T21" s="1285"/>
      <c r="U21" s="1285"/>
      <c r="V21" s="1285"/>
      <c r="W21" s="1284"/>
      <c r="X21" s="1284"/>
      <c r="Y21" s="1284"/>
      <c r="Z21" s="1291"/>
      <c r="AA21" s="1291"/>
      <c r="AB21" s="1291"/>
      <c r="AC21" s="1291"/>
      <c r="AD21" s="1291"/>
      <c r="AE21" s="1291"/>
      <c r="AF21" s="1291"/>
      <c r="AG21" s="3022"/>
      <c r="AH21" s="3022"/>
      <c r="AI21" s="3022"/>
      <c r="AJ21" s="3022"/>
    </row>
    <row r="22" spans="1:37" s="2208" customFormat="1" ht="14.4">
      <c r="A22" s="2147" t="s">
        <v>2733</v>
      </c>
      <c r="B22" s="2274" t="s">
        <v>2734</v>
      </c>
      <c r="C22" s="1542" t="s">
        <v>2735</v>
      </c>
      <c r="D22" s="1542">
        <f>IF(E22=G22,F22,IF(G3&lt;=10,ROUND(F22+(H22-F22)*(G3-E22)/(G22-E22),4),"——"))</f>
        <v>2.0011999999999999</v>
      </c>
      <c r="E22" s="859">
        <f>ROUNDDOWN(G3,1)</f>
        <v>0.5</v>
      </c>
      <c r="F22" s="15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859">
        <f>ROUNDUP(G3,1)</f>
        <v>0.6</v>
      </c>
      <c r="H22" s="15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542" t="s">
        <v>155</v>
      </c>
      <c r="J22" s="881" t="str">
        <f>IF(G3&gt;10,D113,"——")</f>
        <v>——</v>
      </c>
      <c r="K22" s="1291"/>
      <c r="L22" s="3022"/>
      <c r="M22" s="3022"/>
      <c r="N22" s="2273" t="s">
        <v>2736</v>
      </c>
      <c r="O22" s="1339"/>
      <c r="P22" s="1340">
        <f>SUMPRODUCT((地价!A3:A31=YEAR(G19)&amp;"-"&amp;ROUNDUP(MONTH(G19)/3,0))*(地价!AD2:AH2=N22)*(地价!AD3:AH31))</f>
        <v>1.2E-2</v>
      </c>
      <c r="Q22" s="3022"/>
      <c r="R22" s="1290"/>
      <c r="S22" s="1290"/>
      <c r="T22" s="1285"/>
      <c r="U22" s="1285"/>
      <c r="V22" s="1285"/>
      <c r="W22" s="1284"/>
      <c r="X22" s="1284"/>
      <c r="Y22" s="1284"/>
      <c r="Z22" s="1291"/>
      <c r="AA22" s="1291"/>
      <c r="AB22" s="1291"/>
      <c r="AC22" s="1291"/>
      <c r="AD22" s="1291"/>
      <c r="AE22" s="1291"/>
      <c r="AF22" s="1291"/>
      <c r="AG22" s="3022"/>
      <c r="AH22" s="3022"/>
      <c r="AI22" s="3022"/>
      <c r="AJ22" s="3022"/>
    </row>
    <row r="23" spans="1:37" ht="29.4" thickBot="1">
      <c r="A23" s="2147" t="s">
        <v>2737</v>
      </c>
      <c r="B23" s="2275" t="s">
        <v>2738</v>
      </c>
      <c r="C23" s="954">
        <f>ROUND(IF(G3&gt;1,IF(I3&lt;7,SUMPRODUCT((B93:B98=I3)*(C92:N92=G2)*(C93:N98)),SUMIF(C92:N92,G2,C100:N100)),IF(I3&lt;7,SUMPRODUCT((B102:B107=I3)*(C92:N92=G2)*(C102:N107)),SUMIF(C92:N92,G2,C109:N109))),4)</f>
        <v>0</v>
      </c>
      <c r="D23" s="2243"/>
      <c r="E23" s="2243"/>
      <c r="F23" s="2276"/>
      <c r="G23" s="2277"/>
      <c r="H23" s="2278"/>
      <c r="I23" s="2279"/>
      <c r="J23" s="2280"/>
      <c r="K23" s="1284"/>
      <c r="L23" s="2189"/>
      <c r="M23" s="2189"/>
      <c r="N23" s="2273" t="s">
        <v>2739</v>
      </c>
      <c r="O23" s="1339"/>
      <c r="P23" s="1340">
        <f>SUMPRODUCT((地价!A3:A31=YEAR(G19)&amp;"-"&amp;ROUNDUP(MONTH(G19)/3,0))*(地价!AD2:AH2=N23)*(地价!AD3:AH31))</f>
        <v>1.9699999999999999E-2</v>
      </c>
      <c r="Q23" s="2189"/>
      <c r="R23" s="1290"/>
      <c r="S23" s="1290"/>
      <c r="T23" s="1285"/>
      <c r="U23" s="1285"/>
      <c r="V23" s="1285"/>
      <c r="W23" s="1284"/>
      <c r="X23" s="1284"/>
      <c r="Y23" s="1284"/>
      <c r="Z23" s="1291"/>
      <c r="AA23" s="1291"/>
      <c r="AB23" s="1291"/>
      <c r="AC23" s="1291"/>
      <c r="AD23" s="1291"/>
      <c r="AE23" s="1285"/>
      <c r="AF23" s="1285"/>
      <c r="AG23" s="2346"/>
      <c r="AH23" s="2346"/>
      <c r="AI23" s="2346"/>
      <c r="AJ23" s="2346"/>
      <c r="AK23" s="2256"/>
    </row>
    <row r="24" spans="1:37" s="2208" customFormat="1" ht="15" thickBot="1">
      <c r="A24" s="2262" t="s">
        <v>812</v>
      </c>
      <c r="B24" s="2253" t="s">
        <v>2740</v>
      </c>
      <c r="C24" s="867">
        <f>SUMIF(A45:A88,E2,B45:B88)</f>
        <v>1.0589999999999999</v>
      </c>
      <c r="D24" s="2254"/>
      <c r="E24" s="2281"/>
      <c r="F24" s="2281"/>
      <c r="G24" s="2281"/>
      <c r="H24" s="2281"/>
      <c r="I24" s="2281"/>
      <c r="J24" s="2282"/>
      <c r="K24" s="1291"/>
      <c r="L24" s="3022"/>
      <c r="M24" s="3022"/>
      <c r="N24" s="2283" t="s">
        <v>2741</v>
      </c>
      <c r="O24" s="1341"/>
      <c r="P24" s="1342">
        <f>SUMPRODUCT((地价!A3:A31=YEAR(G19)&amp;"-"&amp;ROUNDUP(MONTH(G19)/3,0))*(地价!AD2:AH2=N24)*(地价!AD3:AH31))</f>
        <v>1.2699999999999999E-2</v>
      </c>
      <c r="Q24" s="3022"/>
      <c r="R24" s="1290"/>
      <c r="S24" s="1290"/>
      <c r="T24" s="1285"/>
      <c r="U24" s="1285"/>
      <c r="V24" s="1285"/>
      <c r="W24" s="1284"/>
      <c r="X24" s="1284"/>
      <c r="Y24" s="1284"/>
      <c r="Z24" s="1291"/>
      <c r="AA24" s="1291"/>
      <c r="AB24" s="1291"/>
      <c r="AC24" s="1291"/>
      <c r="AD24" s="1291"/>
      <c r="AE24" s="1291"/>
      <c r="AF24" s="1291"/>
      <c r="AG24" s="3022"/>
      <c r="AH24" s="3022"/>
      <c r="AI24" s="3022"/>
      <c r="AJ24" s="3022"/>
    </row>
    <row r="25" spans="1:37" ht="15" thickBot="1">
      <c r="A25" s="2262" t="s">
        <v>813</v>
      </c>
      <c r="B25" s="2284" t="s">
        <v>2742</v>
      </c>
      <c r="C25" s="873"/>
      <c r="D25" s="2218"/>
      <c r="E25" s="2218"/>
      <c r="F25" s="2285"/>
      <c r="G25" s="2218"/>
      <c r="H25" s="2218"/>
      <c r="I25" s="2218"/>
      <c r="J25" s="2219"/>
      <c r="K25" s="1284"/>
      <c r="L25" s="2189"/>
      <c r="M25" s="2189"/>
      <c r="N25" s="3017" t="s">
        <v>2743</v>
      </c>
      <c r="O25" s="3018"/>
      <c r="P25" s="3019">
        <f>SUMPRODUCT((地价!A3:A31=YEAR(G19)&amp;"-"&amp;ROUNDUP(MONTH(G19)/3,0))*(地价!AD2:AH2=N25)*(地价!AD3:AH31))</f>
        <v>1.7899999999999999E-2</v>
      </c>
      <c r="Q25" s="2189"/>
      <c r="R25" s="1290"/>
      <c r="S25" s="1290"/>
      <c r="T25" s="1285"/>
      <c r="U25" s="1285"/>
      <c r="V25" s="1285"/>
      <c r="W25" s="1284"/>
      <c r="X25" s="1284"/>
      <c r="Y25" s="1284"/>
      <c r="Z25" s="1291"/>
      <c r="AA25" s="1291"/>
      <c r="AB25" s="1291"/>
      <c r="AC25" s="1291"/>
      <c r="AD25" s="1291"/>
      <c r="AE25" s="1285"/>
      <c r="AF25" s="1285"/>
      <c r="AG25" s="2346"/>
      <c r="AH25" s="2346"/>
      <c r="AI25" s="2346"/>
      <c r="AJ25" s="2346"/>
    </row>
    <row r="26" spans="1:37" ht="14.4">
      <c r="A26" s="2286"/>
      <c r="B26" s="2274" t="s">
        <v>2744</v>
      </c>
      <c r="C26" s="2548">
        <f ca="1">IF(B21="容积率修正",E29+SUM(E33:E39),SUM(V2:V16)+SUM(E33:E39))</f>
        <v>2927</v>
      </c>
      <c r="D26" s="2287"/>
      <c r="E26" s="2243"/>
      <c r="F26" s="2288"/>
      <c r="G26" s="2243"/>
      <c r="H26" s="2243"/>
      <c r="I26" s="2243"/>
      <c r="J26" s="2289"/>
      <c r="K26" s="1284"/>
      <c r="L26" s="3020" t="s">
        <v>2643</v>
      </c>
      <c r="M26" s="2216" t="s">
        <v>2708</v>
      </c>
      <c r="N26" s="2216" t="s">
        <v>2709</v>
      </c>
      <c r="O26" s="2216" t="s">
        <v>2710</v>
      </c>
      <c r="P26" s="3021" t="s">
        <v>2711</v>
      </c>
      <c r="Q26" s="2189"/>
      <c r="R26" s="1290"/>
      <c r="S26" s="1290"/>
      <c r="T26" s="1285"/>
      <c r="U26" s="1285"/>
      <c r="V26" s="1285"/>
      <c r="W26" s="1284"/>
      <c r="X26" s="1284"/>
      <c r="Y26" s="1284"/>
      <c r="Z26" s="1291"/>
      <c r="AA26" s="1291"/>
      <c r="AB26" s="1291"/>
      <c r="AC26" s="1291"/>
      <c r="AD26" s="1291"/>
      <c r="AE26" s="1285"/>
      <c r="AF26" s="1285"/>
      <c r="AG26" s="2346"/>
      <c r="AH26" s="2346"/>
      <c r="AI26" s="2346"/>
      <c r="AJ26" s="2346"/>
    </row>
    <row r="27" spans="1:37" ht="15" thickBot="1">
      <c r="A27" s="2286"/>
      <c r="B27" s="2290" t="s">
        <v>2745</v>
      </c>
      <c r="C27" s="874">
        <f ca="1">E30+SUM(I33:I39)</f>
        <v>0</v>
      </c>
      <c r="D27" s="2291"/>
      <c r="E27" s="2292"/>
      <c r="F27" s="2293"/>
      <c r="G27" s="2292"/>
      <c r="H27" s="2292"/>
      <c r="I27" s="2292"/>
      <c r="J27" s="2294"/>
      <c r="K27" s="1284"/>
      <c r="L27" s="2249" t="s">
        <v>2715</v>
      </c>
      <c r="M27" s="865">
        <v>0.25</v>
      </c>
      <c r="N27" s="865">
        <v>0.2</v>
      </c>
      <c r="O27" s="865">
        <v>0.15</v>
      </c>
      <c r="P27" s="1283">
        <v>0.1</v>
      </c>
      <c r="Q27" s="1290"/>
      <c r="R27" s="1290"/>
      <c r="S27" s="1290"/>
      <c r="T27" s="1285"/>
      <c r="U27" s="1285"/>
      <c r="V27" s="1285"/>
      <c r="W27" s="1284"/>
      <c r="X27" s="1284"/>
      <c r="Y27" s="1284"/>
      <c r="Z27" s="1291"/>
      <c r="AA27" s="1291"/>
      <c r="AB27" s="1291"/>
      <c r="AC27" s="1291"/>
      <c r="AD27" s="1291"/>
      <c r="AE27" s="1285"/>
      <c r="AF27" s="1285"/>
      <c r="AG27" s="2346"/>
      <c r="AH27" s="2346"/>
      <c r="AI27" s="2346"/>
      <c r="AJ27" s="2346"/>
    </row>
    <row r="28" spans="1:37" ht="15" thickBot="1">
      <c r="A28" s="2295"/>
      <c r="B28" s="2296" t="s">
        <v>2746</v>
      </c>
      <c r="C28" s="2297" t="s">
        <v>2747</v>
      </c>
      <c r="D28" s="2297" t="s">
        <v>2748</v>
      </c>
      <c r="E28" s="2298" t="s">
        <v>2749</v>
      </c>
      <c r="F28" s="2299"/>
      <c r="G28" s="2231"/>
      <c r="H28" s="2231"/>
      <c r="I28" s="2231"/>
      <c r="J28" s="2232"/>
      <c r="K28" s="1284"/>
      <c r="L28" s="2250" t="s">
        <v>2718</v>
      </c>
      <c r="M28" s="187">
        <f ca="1">ROUND($E$20*(1+M27),3)</f>
        <v>5.3999999999999999E-2</v>
      </c>
      <c r="N28" s="187">
        <f ca="1">ROUND($E$20*(1+N27),3)</f>
        <v>5.1999999999999998E-2</v>
      </c>
      <c r="O28" s="187">
        <f ca="1">ROUND($E$20*(1+O27),3)</f>
        <v>0.05</v>
      </c>
      <c r="P28" s="1287">
        <f ca="1">ROUND($E$20*(1+P27),3)</f>
        <v>4.8000000000000001E-2</v>
      </c>
      <c r="Q28" s="1290"/>
      <c r="R28" s="1290"/>
      <c r="S28" s="1290"/>
      <c r="T28" s="1285"/>
      <c r="U28" s="1285"/>
      <c r="V28" s="1285"/>
      <c r="W28" s="1284"/>
      <c r="X28" s="1284"/>
      <c r="Y28" s="1284"/>
      <c r="Z28" s="1291"/>
      <c r="AA28" s="1291"/>
      <c r="AB28" s="1291"/>
      <c r="AC28" s="1291"/>
      <c r="AD28" s="1291"/>
      <c r="AE28" s="1285"/>
      <c r="AF28" s="1285"/>
      <c r="AG28" s="2346"/>
      <c r="AH28" s="2346"/>
      <c r="AI28" s="2346"/>
      <c r="AJ28" s="2346"/>
    </row>
    <row r="29" spans="1:37" ht="22.5" customHeight="1">
      <c r="A29" s="2300"/>
      <c r="B29" s="2301" t="s">
        <v>2750</v>
      </c>
      <c r="C29" s="184">
        <f ca="1">ROUND(C5*C18*C19*C20*C21*C24,0)</f>
        <v>3388</v>
      </c>
      <c r="D29" s="2302">
        <f>'数据-取费表'!K6</f>
        <v>8640.14</v>
      </c>
      <c r="E29" s="883">
        <f ca="1">ROUND(C29*D29/10000,0)</f>
        <v>2927</v>
      </c>
      <c r="F29" s="2303" t="s">
        <v>2751</v>
      </c>
      <c r="G29" s="2304"/>
      <c r="H29" s="2304"/>
      <c r="I29" s="2304"/>
      <c r="J29" s="2305"/>
      <c r="K29" s="1284"/>
      <c r="L29" s="1284"/>
      <c r="M29" s="1284"/>
      <c r="N29" s="1284"/>
      <c r="O29" s="1289"/>
      <c r="P29" s="1289"/>
      <c r="Q29" s="1290"/>
      <c r="R29" s="1290"/>
      <c r="S29" s="1290"/>
      <c r="T29" s="1285"/>
      <c r="U29" s="1285"/>
      <c r="V29" s="1285"/>
      <c r="W29" s="1284"/>
      <c r="X29" s="1284"/>
      <c r="Y29" s="1284"/>
      <c r="Z29" s="1291"/>
      <c r="AA29" s="1291"/>
      <c r="AB29" s="1291"/>
      <c r="AC29" s="1291"/>
      <c r="AD29" s="1291"/>
      <c r="AE29" s="1284"/>
      <c r="AF29" s="1284"/>
      <c r="AG29" s="2189"/>
      <c r="AH29" s="2189"/>
      <c r="AI29" s="2189"/>
      <c r="AJ29" s="2189"/>
    </row>
    <row r="30" spans="1:37" ht="25.8" thickBot="1">
      <c r="A30" s="2306"/>
      <c r="B30" s="2307" t="s">
        <v>2752</v>
      </c>
      <c r="C30" s="197">
        <f ca="1">ROUND(IF(E2="工业",C29*M39,C29*M38),0)</f>
        <v>508</v>
      </c>
      <c r="D30" s="2308"/>
      <c r="E30" s="883">
        <f ca="1">ROUND(C30*D30/10000,0)</f>
        <v>0</v>
      </c>
      <c r="F30" s="2309" t="s">
        <v>2753</v>
      </c>
      <c r="G30" s="2310"/>
      <c r="H30" s="2310"/>
      <c r="I30" s="2310"/>
      <c r="J30" s="2311"/>
      <c r="K30" s="1284"/>
      <c r="L30" s="1284"/>
      <c r="M30" s="1284"/>
      <c r="N30" s="1284"/>
      <c r="O30" s="1289"/>
      <c r="P30" s="1289"/>
      <c r="Q30" s="1290"/>
      <c r="R30" s="1290"/>
      <c r="S30" s="1290"/>
      <c r="T30" s="1285"/>
      <c r="U30" s="1285"/>
      <c r="V30" s="1285"/>
      <c r="W30" s="1284"/>
      <c r="X30" s="1284"/>
      <c r="Y30" s="1284"/>
      <c r="Z30" s="1291"/>
      <c r="AA30" s="1291"/>
      <c r="AB30" s="1291"/>
      <c r="AC30" s="1291"/>
      <c r="AD30" s="1291"/>
      <c r="AE30" s="1284"/>
      <c r="AF30" s="1284"/>
      <c r="AG30" s="2189"/>
      <c r="AH30" s="2189"/>
      <c r="AI30" s="2189"/>
      <c r="AJ30" s="2189"/>
    </row>
    <row r="31" spans="1:37" ht="13.8">
      <c r="A31" s="2312"/>
      <c r="B31" s="2313" t="s">
        <v>2754</v>
      </c>
      <c r="C31" s="2314" t="s">
        <v>2755</v>
      </c>
      <c r="D31" s="2231"/>
      <c r="E31" s="2314"/>
      <c r="F31" s="2314"/>
      <c r="G31" s="2229" t="s">
        <v>2756</v>
      </c>
      <c r="H31" s="2231"/>
      <c r="I31" s="2315"/>
      <c r="J31" s="2232"/>
      <c r="K31" s="1284"/>
      <c r="L31" s="1284"/>
      <c r="M31" s="1284"/>
      <c r="N31" s="1284"/>
      <c r="O31" s="1289"/>
      <c r="P31" s="1289"/>
      <c r="Q31" s="1290"/>
      <c r="R31" s="1290"/>
      <c r="S31" s="1290"/>
      <c r="T31" s="1285"/>
      <c r="U31" s="1285"/>
      <c r="V31" s="1285"/>
      <c r="W31" s="1284"/>
      <c r="X31" s="1284"/>
      <c r="Y31" s="1284"/>
      <c r="Z31" s="1291"/>
      <c r="AA31" s="1291"/>
      <c r="AB31" s="1291"/>
      <c r="AC31" s="1291"/>
      <c r="AD31" s="1291"/>
      <c r="AE31" s="1284"/>
      <c r="AF31" s="1284"/>
      <c r="AG31" s="2189"/>
      <c r="AH31" s="2189"/>
      <c r="AI31" s="2189"/>
      <c r="AJ31" s="2189"/>
    </row>
    <row r="32" spans="1:37" ht="36">
      <c r="A32" s="2300"/>
      <c r="B32" s="2316"/>
      <c r="C32" s="462" t="s">
        <v>2747</v>
      </c>
      <c r="D32" s="459" t="s">
        <v>2748</v>
      </c>
      <c r="E32" s="459" t="s">
        <v>2749</v>
      </c>
      <c r="F32" s="352" t="s">
        <v>2757</v>
      </c>
      <c r="G32" s="2317" t="s">
        <v>2747</v>
      </c>
      <c r="H32" s="2317" t="s">
        <v>2748</v>
      </c>
      <c r="I32" s="2317" t="s">
        <v>2749</v>
      </c>
      <c r="J32" s="253"/>
      <c r="K32" s="1284"/>
      <c r="L32" s="1284"/>
      <c r="M32" s="1284"/>
      <c r="N32" s="1284"/>
      <c r="O32" s="1289"/>
      <c r="P32" s="1289"/>
      <c r="Q32" s="1290"/>
      <c r="R32" s="1290"/>
      <c r="S32" s="1290"/>
      <c r="T32" s="1285"/>
      <c r="U32" s="1285"/>
      <c r="V32" s="1285"/>
      <c r="W32" s="1284"/>
      <c r="X32" s="1284"/>
      <c r="Y32" s="1284"/>
      <c r="Z32" s="1291"/>
      <c r="AA32" s="1291"/>
      <c r="AB32" s="1291"/>
      <c r="AC32" s="1291"/>
      <c r="AD32" s="1291"/>
      <c r="AE32" s="1284"/>
      <c r="AF32" s="1284"/>
      <c r="AG32" s="2189"/>
      <c r="AH32" s="2189"/>
      <c r="AI32" s="2189"/>
      <c r="AJ32" s="2189"/>
    </row>
    <row r="33" spans="1:37" ht="36" customHeight="1">
      <c r="A33" s="3319" t="s">
        <v>2758</v>
      </c>
      <c r="B33" s="2318" t="s">
        <v>2759</v>
      </c>
      <c r="C33" s="184">
        <f ca="1">ROUND(D5*C19*C20*C24*F33,0)</f>
        <v>1185</v>
      </c>
      <c r="D33" s="2302"/>
      <c r="E33" s="180">
        <f ca="1">ROUND(C33*D33/10000,0)</f>
        <v>0</v>
      </c>
      <c r="F33" s="180">
        <f>SUMIF(修正!A45:A56,G2,修正!B45:B56)</f>
        <v>0.7</v>
      </c>
      <c r="G33" s="180">
        <f t="shared" ref="G33" ca="1" si="6">ROUND(IF(E2="工业",C33*$M$39,C33*$M$38),0)</f>
        <v>178</v>
      </c>
      <c r="H33" s="180">
        <f>D33</f>
        <v>0</v>
      </c>
      <c r="I33" s="180">
        <f ca="1">ROUND(G33*H33/10000,0)</f>
        <v>0</v>
      </c>
      <c r="J33" s="2319"/>
      <c r="K33" s="1284"/>
      <c r="L33" s="1284"/>
      <c r="M33" s="1284"/>
      <c r="N33" s="1284"/>
      <c r="O33" s="1289"/>
      <c r="P33" s="1289"/>
      <c r="Q33" s="1290"/>
      <c r="R33" s="1290"/>
      <c r="S33" s="1290"/>
      <c r="T33" s="1285"/>
      <c r="U33" s="1285"/>
      <c r="V33" s="1285"/>
      <c r="W33" s="1284"/>
      <c r="X33" s="1284"/>
      <c r="Y33" s="1284"/>
      <c r="Z33" s="1291"/>
      <c r="AA33" s="1291"/>
      <c r="AB33" s="1291"/>
      <c r="AC33" s="1291"/>
      <c r="AD33" s="1291"/>
      <c r="AE33" s="1285"/>
      <c r="AF33" s="1285"/>
      <c r="AG33" s="2346"/>
      <c r="AH33" s="2346"/>
      <c r="AI33" s="2346"/>
      <c r="AJ33" s="2346"/>
    </row>
    <row r="34" spans="1:37" ht="13.8">
      <c r="A34" s="3320"/>
      <c r="B34" s="2235" t="s">
        <v>2760</v>
      </c>
      <c r="C34" s="184">
        <f ca="1">ROUND(D5*C19*C20*C24*F34,0)</f>
        <v>677</v>
      </c>
      <c r="D34" s="2302"/>
      <c r="E34" s="180">
        <f t="shared" ref="E34:E39" ca="1" si="7">ROUND(C34*D34/10000,0)</f>
        <v>0</v>
      </c>
      <c r="F34" s="180">
        <f>SUMIF(修正!A45:A56,G2,修正!C45:C56)</f>
        <v>0.4</v>
      </c>
      <c r="G34" s="180">
        <f ca="1">ROUND(IF(E2="工业",C34*$M$39,C34*$M$38),0)</f>
        <v>102</v>
      </c>
      <c r="H34" s="180">
        <f t="shared" ref="H34:H39" si="8">D34</f>
        <v>0</v>
      </c>
      <c r="I34" s="180">
        <f t="shared" ref="I34:I39" ca="1" si="9">ROUND(G34*H34/10000,0)</f>
        <v>0</v>
      </c>
      <c r="J34" s="2319"/>
      <c r="K34" s="1284"/>
      <c r="L34" s="1284"/>
      <c r="M34" s="1284"/>
      <c r="N34" s="1284"/>
      <c r="O34" s="1289"/>
      <c r="P34" s="1289"/>
      <c r="Q34" s="1290"/>
      <c r="R34" s="1290"/>
      <c r="S34" s="1290"/>
      <c r="T34" s="1285"/>
      <c r="U34" s="1285"/>
      <c r="V34" s="1285"/>
      <c r="W34" s="1284"/>
      <c r="X34" s="1284"/>
      <c r="Y34" s="1284"/>
      <c r="Z34" s="1291"/>
      <c r="AA34" s="1291"/>
      <c r="AB34" s="1291"/>
      <c r="AC34" s="1291"/>
      <c r="AD34" s="1291"/>
      <c r="AE34" s="1285"/>
      <c r="AF34" s="1285"/>
      <c r="AG34" s="2346"/>
      <c r="AH34" s="2346"/>
      <c r="AI34" s="2346"/>
      <c r="AJ34" s="2346"/>
    </row>
    <row r="35" spans="1:37">
      <c r="A35" s="3320"/>
      <c r="B35" s="2235" t="s">
        <v>2761</v>
      </c>
      <c r="C35" s="184">
        <f ca="1">ROUND(D5*C19*C20*C24*F35,0)</f>
        <v>474</v>
      </c>
      <c r="D35" s="2302"/>
      <c r="E35" s="180">
        <f t="shared" ca="1" si="7"/>
        <v>0</v>
      </c>
      <c r="F35" s="180">
        <f>SUMIF(修正!A45:A56,G2,修正!D45:D56)</f>
        <v>0.28000000000000003</v>
      </c>
      <c r="G35" s="180">
        <f ca="1">ROUND(IF(E2="工业",C35*$M$39,C35*$M$38),0)</f>
        <v>71</v>
      </c>
      <c r="H35" s="180">
        <f t="shared" si="8"/>
        <v>0</v>
      </c>
      <c r="I35" s="180">
        <f t="shared" ca="1" si="9"/>
        <v>0</v>
      </c>
      <c r="J35" s="2319"/>
      <c r="K35" s="1284"/>
      <c r="L35" s="1284"/>
      <c r="M35" s="1284"/>
      <c r="N35" s="1284"/>
      <c r="O35" s="1284"/>
      <c r="P35" s="1284"/>
      <c r="Q35" s="1284"/>
      <c r="R35" s="1284"/>
      <c r="S35" s="1284"/>
      <c r="T35" s="1284"/>
      <c r="U35" s="1284"/>
      <c r="V35" s="1284"/>
      <c r="W35" s="1284"/>
      <c r="X35" s="1284"/>
      <c r="Y35" s="1284"/>
      <c r="Z35" s="1285"/>
      <c r="AA35" s="1285"/>
      <c r="AB35" s="1285"/>
      <c r="AC35" s="1285"/>
      <c r="AD35" s="1285"/>
      <c r="AE35" s="1285"/>
      <c r="AF35" s="1285"/>
      <c r="AG35" s="2346"/>
      <c r="AH35" s="2346"/>
      <c r="AI35" s="2346"/>
      <c r="AJ35" s="2346"/>
    </row>
    <row r="36" spans="1:37" ht="13.8" thickBot="1">
      <c r="A36" s="3321"/>
      <c r="B36" s="2235" t="s">
        <v>2762</v>
      </c>
      <c r="C36" s="184">
        <f ca="1">ROUND(D5*C19*C20*C24*F36,0)</f>
        <v>423</v>
      </c>
      <c r="D36" s="2302"/>
      <c r="E36" s="180">
        <f t="shared" ca="1" si="7"/>
        <v>0</v>
      </c>
      <c r="F36" s="180">
        <f>SUMIF(修正!A45:A56,G2,修正!E45:E56)</f>
        <v>0.25</v>
      </c>
      <c r="G36" s="180">
        <f ca="1">ROUND(IF(E2="工业",C36*$M$39,C36*$M$38),0)</f>
        <v>63</v>
      </c>
      <c r="H36" s="180">
        <f t="shared" si="8"/>
        <v>0</v>
      </c>
      <c r="I36" s="180">
        <f t="shared" ca="1" si="9"/>
        <v>0</v>
      </c>
      <c r="J36" s="2319"/>
      <c r="K36" s="1284"/>
      <c r="L36" s="2189"/>
      <c r="M36" s="2189"/>
      <c r="N36" s="1284"/>
      <c r="O36" s="1284"/>
      <c r="P36" s="1284"/>
      <c r="Q36" s="1284"/>
      <c r="R36" s="1284"/>
      <c r="S36" s="1284"/>
      <c r="T36" s="1284"/>
      <c r="U36" s="1284"/>
      <c r="V36" s="1284"/>
      <c r="W36" s="1284"/>
      <c r="X36" s="1284"/>
      <c r="Y36" s="1284"/>
      <c r="Z36" s="1285"/>
      <c r="AA36" s="1285"/>
      <c r="AB36" s="1285"/>
      <c r="AC36" s="1285"/>
      <c r="AD36" s="1285"/>
      <c r="AE36" s="1285"/>
      <c r="AF36" s="1285"/>
      <c r="AG36" s="2346"/>
      <c r="AH36" s="2346"/>
      <c r="AI36" s="2346"/>
      <c r="AJ36" s="2346"/>
    </row>
    <row r="37" spans="1:37">
      <c r="A37" s="2320"/>
      <c r="B37" s="2235" t="s">
        <v>2763</v>
      </c>
      <c r="C37" s="180">
        <f ca="1">ROUND(D5*C19*C20*C24*F37,0)</f>
        <v>423</v>
      </c>
      <c r="D37" s="2302"/>
      <c r="E37" s="180">
        <f t="shared" ca="1" si="7"/>
        <v>0</v>
      </c>
      <c r="F37" s="184">
        <f>SUMIF(修正!A45:A56,G2,修正!F45:F56)</f>
        <v>0.25</v>
      </c>
      <c r="G37" s="180">
        <f ca="1">ROUND(IF(E2="工业",C37*$M$39,C37*$M$38),0)</f>
        <v>63</v>
      </c>
      <c r="H37" s="180">
        <f t="shared" si="8"/>
        <v>0</v>
      </c>
      <c r="I37" s="180">
        <f t="shared" ca="1" si="9"/>
        <v>0</v>
      </c>
      <c r="J37" s="2319"/>
      <c r="K37" s="1284"/>
      <c r="L37" s="2321" t="s">
        <v>2764</v>
      </c>
      <c r="M37" s="2322"/>
      <c r="N37" s="1284"/>
      <c r="O37" s="1284"/>
      <c r="P37" s="1284"/>
      <c r="Q37" s="1284"/>
      <c r="R37" s="1284"/>
      <c r="S37" s="1284"/>
      <c r="T37" s="1284"/>
      <c r="U37" s="1284"/>
      <c r="V37" s="1284"/>
      <c r="W37" s="1284"/>
      <c r="X37" s="1284"/>
      <c r="Y37" s="1284"/>
      <c r="Z37" s="1285"/>
      <c r="AA37" s="1285"/>
      <c r="AB37" s="1285"/>
      <c r="AC37" s="1285"/>
      <c r="AD37" s="1285"/>
      <c r="AE37" s="1285"/>
      <c r="AF37" s="1285"/>
      <c r="AG37" s="2346"/>
      <c r="AH37" s="2346"/>
      <c r="AI37" s="2346"/>
      <c r="AJ37" s="2346"/>
    </row>
    <row r="38" spans="1:37">
      <c r="A38" s="2320"/>
      <c r="B38" s="2235" t="s">
        <v>2765</v>
      </c>
      <c r="C38" s="180">
        <f ca="1">ROUND(D5*C19*C41*C24*F38,0)</f>
        <v>0</v>
      </c>
      <c r="D38" s="2302"/>
      <c r="E38" s="180">
        <f t="shared" ca="1" si="7"/>
        <v>0</v>
      </c>
      <c r="F38" s="184">
        <f>SUMIF(修正!A45:A56,G2,修正!G45:G56)</f>
        <v>0.25</v>
      </c>
      <c r="G38" s="180">
        <f ca="1">ROUND(IF(E2="工业",C38*$M$39,C38*$M$38),0)</f>
        <v>0</v>
      </c>
      <c r="H38" s="180">
        <f t="shared" si="8"/>
        <v>0</v>
      </c>
      <c r="I38" s="180">
        <f t="shared" ca="1" si="9"/>
        <v>0</v>
      </c>
      <c r="J38" s="2319"/>
      <c r="K38" s="1284"/>
      <c r="L38" s="1611" t="s">
        <v>2766</v>
      </c>
      <c r="M38" s="2323">
        <v>0.25</v>
      </c>
      <c r="N38" s="1284"/>
      <c r="O38" s="1284"/>
      <c r="P38" s="1284"/>
      <c r="Q38" s="1284"/>
      <c r="R38" s="1284"/>
      <c r="S38" s="1284"/>
      <c r="T38" s="1284"/>
      <c r="U38" s="1284"/>
      <c r="V38" s="1284"/>
      <c r="W38" s="1284"/>
      <c r="X38" s="1284"/>
      <c r="Y38" s="1284"/>
      <c r="Z38" s="1285"/>
      <c r="AA38" s="1285"/>
      <c r="AB38" s="1285"/>
      <c r="AC38" s="1285"/>
      <c r="AD38" s="1285"/>
    </row>
    <row r="39" spans="1:37" ht="13.8" thickBot="1">
      <c r="A39" s="2306"/>
      <c r="B39" s="2324" t="s">
        <v>2767</v>
      </c>
      <c r="C39" s="197">
        <f ca="1">ROUND(D5*C19*C41*C24*F39,0)</f>
        <v>0</v>
      </c>
      <c r="D39" s="2308"/>
      <c r="E39" s="197">
        <f t="shared" ca="1" si="7"/>
        <v>0</v>
      </c>
      <c r="F39" s="875">
        <f>SUMIF(修正!A45:A56,G2,修正!H45:H56)</f>
        <v>0.2</v>
      </c>
      <c r="G39" s="197">
        <f ca="1">ROUND(IF(E2="工业",C39*$M$39,C39*$M$38),0)</f>
        <v>0</v>
      </c>
      <c r="H39" s="197">
        <f t="shared" si="8"/>
        <v>0</v>
      </c>
      <c r="I39" s="197">
        <f t="shared" ca="1" si="9"/>
        <v>0</v>
      </c>
      <c r="J39" s="2325"/>
      <c r="K39" s="1284"/>
      <c r="L39" s="2326" t="s">
        <v>2711</v>
      </c>
      <c r="M39" s="2327">
        <v>0.15</v>
      </c>
      <c r="N39" s="1284"/>
      <c r="O39" s="1284"/>
      <c r="P39" s="1284"/>
      <c r="Q39" s="1284"/>
      <c r="R39" s="1284"/>
      <c r="S39" s="1284"/>
      <c r="T39" s="1284"/>
      <c r="U39" s="1284"/>
      <c r="V39" s="1284"/>
      <c r="W39" s="1284"/>
      <c r="X39" s="1284"/>
      <c r="Y39" s="1284"/>
      <c r="Z39" s="1285"/>
      <c r="AA39" s="1285"/>
      <c r="AB39" s="1285"/>
      <c r="AC39" s="1285"/>
      <c r="AD39" s="1285"/>
    </row>
    <row r="40" spans="1:37" s="1284" customFormat="1">
      <c r="Z40" s="1285"/>
      <c r="AA40" s="1285"/>
      <c r="AB40" s="1285"/>
      <c r="AC40" s="1285"/>
      <c r="AD40" s="1285"/>
      <c r="AE40" s="1285"/>
      <c r="AF40" s="1285"/>
      <c r="AG40" s="1285"/>
      <c r="AH40" s="1285"/>
      <c r="AI40" s="1285"/>
      <c r="AJ40" s="1285"/>
    </row>
    <row r="41" spans="1:37" s="1284" customFormat="1" ht="24">
      <c r="A41" s="1285"/>
      <c r="B41" s="2376" t="s">
        <v>2872</v>
      </c>
      <c r="C41" s="352">
        <f ca="1">ROUND(POWER(1+E41,H41-G41)*(POWER(1+E41,G41)-1)/(POWER(1+E41,H41)-1),4)</f>
        <v>0</v>
      </c>
      <c r="D41" s="180" t="s">
        <v>2718</v>
      </c>
      <c r="E41" s="2375">
        <f ca="1">G20</f>
        <v>4.8000000000000001E-2</v>
      </c>
      <c r="F41" s="180" t="s">
        <v>2727</v>
      </c>
      <c r="G41" s="193"/>
      <c r="H41" s="180">
        <v>50</v>
      </c>
      <c r="Z41" s="1285"/>
      <c r="AA41" s="1285"/>
      <c r="AB41" s="1285"/>
      <c r="AC41" s="1285"/>
      <c r="AD41" s="1285"/>
      <c r="AE41" s="1285"/>
      <c r="AF41" s="1285"/>
      <c r="AG41" s="1285"/>
      <c r="AH41" s="1285"/>
      <c r="AI41" s="1285"/>
      <c r="AJ41" s="1285"/>
    </row>
    <row r="42" spans="1:37" s="1284" customFormat="1">
      <c r="A42" s="1285"/>
      <c r="B42" s="2328"/>
      <c r="Z42" s="1285"/>
      <c r="AA42" s="1285"/>
      <c r="AB42" s="1285"/>
      <c r="AC42" s="1285"/>
      <c r="AD42" s="1285"/>
      <c r="AE42" s="1285"/>
      <c r="AF42" s="1285"/>
      <c r="AG42" s="1285"/>
      <c r="AH42" s="1285"/>
      <c r="AI42" s="1285"/>
      <c r="AJ42" s="1285"/>
    </row>
    <row r="43" spans="1:37" s="1284" customFormat="1">
      <c r="A43" s="1285"/>
      <c r="B43" s="2328"/>
      <c r="Z43" s="1285"/>
      <c r="AA43" s="1285"/>
      <c r="AB43" s="1285"/>
      <c r="AC43" s="1285"/>
      <c r="AD43" s="1285"/>
      <c r="AE43" s="1285"/>
      <c r="AF43" s="1285"/>
      <c r="AG43" s="1285"/>
      <c r="AH43" s="1285"/>
      <c r="AI43" s="1285"/>
      <c r="AJ43" s="1285"/>
    </row>
    <row r="44" spans="1:37" s="1284" customFormat="1">
      <c r="A44" s="1285"/>
      <c r="B44" s="2328"/>
      <c r="Z44" s="1285"/>
      <c r="AA44" s="1285"/>
      <c r="AB44" s="1285"/>
      <c r="AC44" s="1285"/>
      <c r="AD44" s="1285"/>
      <c r="AE44" s="1285"/>
      <c r="AF44" s="1285"/>
      <c r="AG44" s="1285"/>
      <c r="AH44" s="1285"/>
      <c r="AI44" s="1285"/>
      <c r="AJ44" s="1285"/>
    </row>
    <row r="45" spans="1:37" s="1284" customFormat="1" ht="15" thickBot="1">
      <c r="A45" s="2329" t="s">
        <v>2768</v>
      </c>
      <c r="B45" s="2330"/>
      <c r="C45" s="7"/>
      <c r="D45" s="7"/>
      <c r="E45" s="7"/>
      <c r="F45" s="6"/>
      <c r="G45" s="6"/>
      <c r="H45" s="6"/>
      <c r="I45" s="2013"/>
      <c r="J45" s="2013"/>
      <c r="K45" s="2013"/>
      <c r="L45" s="2013"/>
      <c r="M45" s="2013"/>
      <c r="Z45" s="1285"/>
      <c r="AA45" s="1285"/>
      <c r="AB45" s="1285"/>
      <c r="AC45" s="1285"/>
      <c r="AD45" s="1285"/>
      <c r="AE45" s="1285"/>
      <c r="AF45" s="1285"/>
      <c r="AG45" s="1285"/>
      <c r="AH45" s="1285"/>
      <c r="AI45" s="1285"/>
      <c r="AJ45" s="1285"/>
    </row>
    <row r="46" spans="1:37" s="1284" customFormat="1" ht="14.4">
      <c r="A46" s="2331" t="s">
        <v>2769</v>
      </c>
      <c r="B46" s="2332">
        <f>1+E48</f>
        <v>1</v>
      </c>
      <c r="C46" s="2333"/>
      <c r="D46" s="757"/>
      <c r="E46" s="758"/>
      <c r="F46" s="2334"/>
      <c r="G46" s="6"/>
      <c r="H46" s="7"/>
      <c r="I46" s="2013"/>
      <c r="J46" s="2013"/>
      <c r="K46" s="2013"/>
      <c r="L46" s="2013"/>
      <c r="M46" s="2013"/>
      <c r="Z46" s="1285"/>
      <c r="AA46" s="1285"/>
      <c r="AB46" s="1285"/>
      <c r="AC46" s="1285"/>
      <c r="AD46" s="1285"/>
      <c r="AE46" s="1285"/>
      <c r="AF46" s="1285"/>
      <c r="AG46" s="1285"/>
      <c r="AH46" s="1285"/>
      <c r="AI46" s="1285"/>
      <c r="AJ46" s="1285"/>
    </row>
    <row r="47" spans="1:37" s="1284" customFormat="1" ht="25.2">
      <c r="A47" s="2335" t="s">
        <v>2770</v>
      </c>
      <c r="B47" s="1541" t="s">
        <v>2771</v>
      </c>
      <c r="C47" s="1541" t="s">
        <v>2772</v>
      </c>
      <c r="D47" s="1541" t="s">
        <v>2773</v>
      </c>
      <c r="E47" s="762" t="s">
        <v>2774</v>
      </c>
      <c r="F47" s="2336" t="s">
        <v>2775</v>
      </c>
      <c r="G47" s="1541" t="s">
        <v>754</v>
      </c>
      <c r="H47" s="2337" t="s">
        <v>2776</v>
      </c>
      <c r="I47" s="1541" t="s">
        <v>2777</v>
      </c>
      <c r="J47" s="564" t="s">
        <v>2427</v>
      </c>
      <c r="K47" s="564" t="s">
        <v>2428</v>
      </c>
      <c r="L47" s="564" t="s">
        <v>2429</v>
      </c>
      <c r="M47" s="564" t="s">
        <v>2430</v>
      </c>
      <c r="N47" s="564" t="s">
        <v>2431</v>
      </c>
      <c r="AA47" s="1285"/>
      <c r="AB47" s="1285"/>
      <c r="AC47" s="1285"/>
      <c r="AD47" s="1285"/>
      <c r="AE47" s="1285"/>
      <c r="AF47" s="1285"/>
      <c r="AG47" s="1285"/>
      <c r="AH47" s="1285"/>
      <c r="AI47" s="1285"/>
      <c r="AJ47" s="1285"/>
      <c r="AK47" s="1285"/>
    </row>
    <row r="48" spans="1:37" s="1284" customFormat="1" ht="52.8">
      <c r="A48" s="2335" t="s">
        <v>2778</v>
      </c>
      <c r="B48" s="2338" t="str">
        <f>估价对象房地状况!C4</f>
        <v>估价对象位于XX商圈，周边商业氛围成熟，人流量大，商业繁华度好</v>
      </c>
      <c r="C48" s="2240"/>
      <c r="D48" s="1200">
        <f t="shared" ref="D48:D56" si="10">SUMIF($J$47:$N$47,C48,J48:N48)</f>
        <v>0</v>
      </c>
      <c r="E48" s="764">
        <f>ROUND(SUM(D48:D56),4)</f>
        <v>0</v>
      </c>
      <c r="F48" s="2006" t="str">
        <f>IF(E2="商业",SUMIF(L1:L12,G2,N1:N12),"——")</f>
        <v>——</v>
      </c>
      <c r="G48" s="1198"/>
      <c r="H48" s="1202" t="str">
        <f t="shared" ref="H48:H56" si="11">IFERROR(ROUNDDOWN($F$48*I48/2,4),"——")</f>
        <v>——</v>
      </c>
      <c r="I48" s="763">
        <v>0.33</v>
      </c>
      <c r="J48" s="1199">
        <f t="shared" ref="J48:J56" si="12">K48+$G48</f>
        <v>0</v>
      </c>
      <c r="K48" s="1199">
        <f t="shared" ref="K48:K56" si="13">$L48+$G48</f>
        <v>0</v>
      </c>
      <c r="L48" s="1199">
        <v>0</v>
      </c>
      <c r="M48" s="1199">
        <f t="shared" ref="M48:N56" si="14">L48-$G48</f>
        <v>0</v>
      </c>
      <c r="N48" s="1199">
        <f t="shared" si="14"/>
        <v>0</v>
      </c>
      <c r="AA48" s="1285"/>
      <c r="AB48" s="1285"/>
      <c r="AC48" s="1285"/>
      <c r="AD48" s="1285"/>
      <c r="AE48" s="1285"/>
      <c r="AF48" s="1285"/>
      <c r="AG48" s="1285"/>
      <c r="AH48" s="1285"/>
      <c r="AI48" s="1285"/>
      <c r="AJ48" s="1285"/>
      <c r="AK48" s="1285"/>
    </row>
    <row r="49" spans="1:37" s="1284" customFormat="1" ht="66">
      <c r="A49" s="2335" t="s">
        <v>2779</v>
      </c>
      <c r="B49" s="2339" t="str">
        <f>估价对象房地状况!C18</f>
        <v>估价对象周边道路状况、公共交通通达情况、停车便捷程度，综合评价交通便捷度较好</v>
      </c>
      <c r="C49" s="2240"/>
      <c r="D49" s="1200">
        <f t="shared" si="10"/>
        <v>0</v>
      </c>
      <c r="E49" s="765"/>
      <c r="F49" s="2006"/>
      <c r="G49" s="1198"/>
      <c r="H49" s="1202" t="str">
        <f t="shared" si="11"/>
        <v>——</v>
      </c>
      <c r="I49" s="763">
        <v>0.25</v>
      </c>
      <c r="J49" s="1199">
        <f t="shared" si="12"/>
        <v>0</v>
      </c>
      <c r="K49" s="1199">
        <f t="shared" si="13"/>
        <v>0</v>
      </c>
      <c r="L49" s="1199">
        <v>0</v>
      </c>
      <c r="M49" s="1199">
        <f t="shared" si="14"/>
        <v>0</v>
      </c>
      <c r="N49" s="1199">
        <f t="shared" si="14"/>
        <v>0</v>
      </c>
      <c r="AA49" s="1285"/>
      <c r="AB49" s="1285"/>
      <c r="AC49" s="1285"/>
      <c r="AD49" s="1285"/>
      <c r="AE49" s="1285"/>
      <c r="AF49" s="1285"/>
      <c r="AG49" s="1285"/>
      <c r="AH49" s="1285"/>
      <c r="AI49" s="1285"/>
      <c r="AJ49" s="1285"/>
      <c r="AK49" s="1285"/>
    </row>
    <row r="50" spans="1:37" s="1284" customFormat="1" ht="24">
      <c r="A50" s="2335" t="s">
        <v>2780</v>
      </c>
      <c r="B50" s="2339">
        <f>估价对象房地状况!C19</f>
        <v>0</v>
      </c>
      <c r="C50" s="2240"/>
      <c r="D50" s="1200">
        <f t="shared" si="10"/>
        <v>0</v>
      </c>
      <c r="E50" s="765"/>
      <c r="F50" s="2006"/>
      <c r="G50" s="1198"/>
      <c r="H50" s="1202" t="str">
        <f t="shared" si="11"/>
        <v>——</v>
      </c>
      <c r="I50" s="763">
        <v>0.05</v>
      </c>
      <c r="J50" s="1199">
        <f t="shared" si="12"/>
        <v>0</v>
      </c>
      <c r="K50" s="1199">
        <f t="shared" si="13"/>
        <v>0</v>
      </c>
      <c r="L50" s="1199">
        <v>0</v>
      </c>
      <c r="M50" s="1199">
        <f t="shared" si="14"/>
        <v>0</v>
      </c>
      <c r="N50" s="1199">
        <f t="shared" si="14"/>
        <v>0</v>
      </c>
      <c r="AA50" s="1285"/>
      <c r="AB50" s="1285"/>
      <c r="AC50" s="1285"/>
      <c r="AD50" s="1285"/>
      <c r="AE50" s="1285"/>
      <c r="AF50" s="1285"/>
      <c r="AG50" s="1285"/>
      <c r="AH50" s="1285"/>
      <c r="AI50" s="1285"/>
      <c r="AJ50" s="1285"/>
      <c r="AK50" s="1285"/>
    </row>
    <row r="51" spans="1:37" s="1284" customFormat="1" ht="50.4">
      <c r="A51" s="2335" t="s">
        <v>2781</v>
      </c>
      <c r="B51" s="2340" t="s">
        <v>2782</v>
      </c>
      <c r="C51" s="2240"/>
      <c r="D51" s="1200">
        <f t="shared" si="10"/>
        <v>0</v>
      </c>
      <c r="E51" s="765"/>
      <c r="F51" s="2006"/>
      <c r="G51" s="1198"/>
      <c r="H51" s="1202" t="str">
        <f t="shared" si="11"/>
        <v>——</v>
      </c>
      <c r="I51" s="763">
        <v>0.05</v>
      </c>
      <c r="J51" s="1199">
        <f t="shared" si="12"/>
        <v>0</v>
      </c>
      <c r="K51" s="1199">
        <f t="shared" si="13"/>
        <v>0</v>
      </c>
      <c r="L51" s="1199">
        <v>0</v>
      </c>
      <c r="M51" s="1199">
        <f t="shared" si="14"/>
        <v>0</v>
      </c>
      <c r="N51" s="1199">
        <f t="shared" si="14"/>
        <v>0</v>
      </c>
      <c r="AA51" s="1285"/>
      <c r="AB51" s="1285"/>
      <c r="AC51" s="1285"/>
      <c r="AD51" s="1285"/>
      <c r="AE51" s="1285"/>
      <c r="AF51" s="1285"/>
      <c r="AG51" s="1285"/>
      <c r="AH51" s="1285"/>
      <c r="AI51" s="1285"/>
      <c r="AJ51" s="1285"/>
      <c r="AK51" s="1285"/>
    </row>
    <row r="52" spans="1:37" s="1284" customFormat="1" ht="24">
      <c r="A52" s="2335" t="s">
        <v>2783</v>
      </c>
      <c r="B52" s="2339">
        <f>估价对象房地状况!C24</f>
        <v>0</v>
      </c>
      <c r="C52" s="2240"/>
      <c r="D52" s="1200">
        <f t="shared" si="10"/>
        <v>0</v>
      </c>
      <c r="E52" s="765"/>
      <c r="F52" s="2006"/>
      <c r="G52" s="1198"/>
      <c r="H52" s="1202" t="str">
        <f t="shared" si="11"/>
        <v>——</v>
      </c>
      <c r="I52" s="763">
        <v>0.08</v>
      </c>
      <c r="J52" s="1199">
        <f t="shared" si="12"/>
        <v>0</v>
      </c>
      <c r="K52" s="1199">
        <f t="shared" si="13"/>
        <v>0</v>
      </c>
      <c r="L52" s="1199">
        <v>0</v>
      </c>
      <c r="M52" s="1199">
        <f t="shared" si="14"/>
        <v>0</v>
      </c>
      <c r="N52" s="1199">
        <f t="shared" si="14"/>
        <v>0</v>
      </c>
      <c r="AA52" s="1285"/>
      <c r="AB52" s="1285"/>
      <c r="AC52" s="1285"/>
      <c r="AD52" s="1285"/>
      <c r="AE52" s="1285"/>
      <c r="AF52" s="1285"/>
      <c r="AG52" s="1285"/>
      <c r="AH52" s="1285"/>
      <c r="AI52" s="1285"/>
      <c r="AJ52" s="1285"/>
      <c r="AK52" s="1285"/>
    </row>
    <row r="53" spans="1:37" s="1284" customFormat="1" ht="36">
      <c r="A53" s="2335" t="s">
        <v>2784</v>
      </c>
      <c r="B53" s="2341" t="s">
        <v>2785</v>
      </c>
      <c r="C53" s="2240"/>
      <c r="D53" s="1200">
        <f t="shared" si="10"/>
        <v>0</v>
      </c>
      <c r="E53" s="765"/>
      <c r="F53" s="2006"/>
      <c r="G53" s="1198"/>
      <c r="H53" s="1202" t="str">
        <f t="shared" si="11"/>
        <v>——</v>
      </c>
      <c r="I53" s="763">
        <v>0.03</v>
      </c>
      <c r="J53" s="1199">
        <f t="shared" si="12"/>
        <v>0</v>
      </c>
      <c r="K53" s="1199">
        <f t="shared" si="13"/>
        <v>0</v>
      </c>
      <c r="L53" s="1199">
        <v>0</v>
      </c>
      <c r="M53" s="1199">
        <f t="shared" si="14"/>
        <v>0</v>
      </c>
      <c r="N53" s="1199">
        <f t="shared" si="14"/>
        <v>0</v>
      </c>
      <c r="AA53" s="1285"/>
      <c r="AB53" s="1285"/>
      <c r="AC53" s="1285"/>
      <c r="AD53" s="1285"/>
      <c r="AE53" s="1285"/>
      <c r="AF53" s="1285"/>
      <c r="AG53" s="1285"/>
      <c r="AH53" s="1285"/>
      <c r="AI53" s="1285"/>
      <c r="AJ53" s="1285"/>
      <c r="AK53" s="1285"/>
    </row>
    <row r="54" spans="1:37" s="1284" customFormat="1" ht="26.4">
      <c r="A54" s="2342" t="s">
        <v>2786</v>
      </c>
      <c r="B54" s="1500" t="str">
        <f>估价对象房地状况!C21</f>
        <v>估价对象所在区域公共配套设施齐备情况</v>
      </c>
      <c r="C54" s="2240"/>
      <c r="D54" s="1200">
        <f t="shared" si="10"/>
        <v>0</v>
      </c>
      <c r="E54" s="765"/>
      <c r="F54" s="2006"/>
      <c r="G54" s="1198"/>
      <c r="H54" s="1202" t="str">
        <f t="shared" si="11"/>
        <v>——</v>
      </c>
      <c r="I54" s="763">
        <v>0.05</v>
      </c>
      <c r="J54" s="1199">
        <f t="shared" si="12"/>
        <v>0</v>
      </c>
      <c r="K54" s="1199">
        <f t="shared" si="13"/>
        <v>0</v>
      </c>
      <c r="L54" s="1199">
        <v>0</v>
      </c>
      <c r="M54" s="1199">
        <f t="shared" si="14"/>
        <v>0</v>
      </c>
      <c r="N54" s="1199">
        <f t="shared" si="14"/>
        <v>0</v>
      </c>
      <c r="AA54" s="1285"/>
      <c r="AB54" s="1285"/>
      <c r="AC54" s="1285"/>
      <c r="AD54" s="1285"/>
      <c r="AE54" s="1285"/>
      <c r="AF54" s="1285"/>
      <c r="AG54" s="1285"/>
      <c r="AH54" s="1285"/>
      <c r="AI54" s="1285"/>
      <c r="AJ54" s="1285"/>
      <c r="AK54" s="1285"/>
    </row>
    <row r="55" spans="1:37" s="1284" customFormat="1" ht="26.4">
      <c r="A55" s="2342" t="s">
        <v>2787</v>
      </c>
      <c r="B55" s="2339" t="str">
        <f>估价对象房地状况!C22</f>
        <v>估价对象所在区域基础设施水平</v>
      </c>
      <c r="C55" s="2240"/>
      <c r="D55" s="1200">
        <f t="shared" si="10"/>
        <v>0</v>
      </c>
      <c r="E55" s="765"/>
      <c r="F55" s="2006"/>
      <c r="G55" s="1198"/>
      <c r="H55" s="1202" t="str">
        <f t="shared" si="11"/>
        <v>——</v>
      </c>
      <c r="I55" s="763">
        <v>0.1</v>
      </c>
      <c r="J55" s="1199">
        <f t="shared" si="12"/>
        <v>0</v>
      </c>
      <c r="K55" s="1199">
        <f t="shared" si="13"/>
        <v>0</v>
      </c>
      <c r="L55" s="1199">
        <v>0</v>
      </c>
      <c r="M55" s="1199">
        <f t="shared" si="14"/>
        <v>0</v>
      </c>
      <c r="N55" s="1199">
        <f t="shared" si="14"/>
        <v>0</v>
      </c>
      <c r="AA55" s="1285"/>
      <c r="AB55" s="1285"/>
      <c r="AC55" s="1285"/>
      <c r="AD55" s="1285"/>
      <c r="AE55" s="1285"/>
      <c r="AF55" s="1285"/>
      <c r="AG55" s="1285"/>
      <c r="AH55" s="1285"/>
      <c r="AI55" s="1285"/>
      <c r="AJ55" s="1285"/>
      <c r="AK55" s="1285"/>
    </row>
    <row r="56" spans="1:37" s="1284" customFormat="1" ht="40.200000000000003" thickBot="1">
      <c r="A56" s="2343" t="s">
        <v>2788</v>
      </c>
      <c r="B56" s="2344" t="str">
        <f>估价对象房地状况!C20</f>
        <v>区域自然环境：；人文环境；综合评价环境状况一般</v>
      </c>
      <c r="C56" s="2240"/>
      <c r="D56" s="1200">
        <f t="shared" si="10"/>
        <v>0</v>
      </c>
      <c r="E56" s="768"/>
      <c r="F56" s="2006"/>
      <c r="G56" s="1198"/>
      <c r="H56" s="1202" t="str">
        <f t="shared" si="11"/>
        <v>——</v>
      </c>
      <c r="I56" s="767">
        <v>0.06</v>
      </c>
      <c r="J56" s="1199">
        <f t="shared" si="12"/>
        <v>0</v>
      </c>
      <c r="K56" s="1199">
        <f t="shared" si="13"/>
        <v>0</v>
      </c>
      <c r="L56" s="1199">
        <v>0</v>
      </c>
      <c r="M56" s="1199">
        <f t="shared" si="14"/>
        <v>0</v>
      </c>
      <c r="N56" s="1199">
        <f t="shared" si="14"/>
        <v>0</v>
      </c>
      <c r="AA56" s="1285"/>
      <c r="AB56" s="1285"/>
      <c r="AC56" s="1285"/>
      <c r="AD56" s="1285"/>
      <c r="AE56" s="1285"/>
      <c r="AF56" s="1285"/>
      <c r="AG56" s="1285"/>
      <c r="AH56" s="1285"/>
      <c r="AI56" s="1285"/>
      <c r="AJ56" s="1285"/>
      <c r="AK56" s="1285"/>
    </row>
    <row r="57" spans="1:37" s="1284" customFormat="1" ht="14.4">
      <c r="A57" s="2331" t="s">
        <v>2789</v>
      </c>
      <c r="B57" s="2332">
        <f>1+E59</f>
        <v>1</v>
      </c>
      <c r="C57" s="757"/>
      <c r="D57" s="757"/>
      <c r="E57" s="758"/>
      <c r="F57" s="2334"/>
      <c r="G57" s="6"/>
      <c r="H57" s="6"/>
      <c r="I57" s="6"/>
      <c r="J57" s="7"/>
      <c r="K57" s="7"/>
      <c r="L57" s="7"/>
      <c r="M57" s="7"/>
      <c r="N57" s="7"/>
      <c r="AA57" s="1285"/>
      <c r="AB57" s="1285"/>
      <c r="AC57" s="1285"/>
      <c r="AD57" s="1285"/>
      <c r="AE57" s="1285"/>
      <c r="AF57" s="1285"/>
      <c r="AG57" s="1285"/>
      <c r="AH57" s="1285"/>
      <c r="AI57" s="1285"/>
      <c r="AJ57" s="1285"/>
      <c r="AK57" s="1285"/>
    </row>
    <row r="58" spans="1:37" s="1284" customFormat="1" ht="25.2">
      <c r="A58" s="2335" t="s">
        <v>2770</v>
      </c>
      <c r="B58" s="1541"/>
      <c r="C58" s="1541" t="s">
        <v>2772</v>
      </c>
      <c r="D58" s="1541" t="s">
        <v>2773</v>
      </c>
      <c r="E58" s="762" t="s">
        <v>2774</v>
      </c>
      <c r="F58" s="2336" t="s">
        <v>2790</v>
      </c>
      <c r="G58" s="1541" t="s">
        <v>754</v>
      </c>
      <c r="H58" s="2337" t="s">
        <v>2776</v>
      </c>
      <c r="I58" s="1541" t="s">
        <v>2777</v>
      </c>
      <c r="J58" s="564" t="s">
        <v>2427</v>
      </c>
      <c r="K58" s="564" t="s">
        <v>2428</v>
      </c>
      <c r="L58" s="564" t="s">
        <v>2429</v>
      </c>
      <c r="M58" s="564" t="s">
        <v>2430</v>
      </c>
      <c r="N58" s="564" t="s">
        <v>2431</v>
      </c>
      <c r="AA58" s="1285"/>
      <c r="AB58" s="1285"/>
      <c r="AC58" s="1285"/>
      <c r="AD58" s="1285"/>
      <c r="AE58" s="1285"/>
      <c r="AF58" s="1285"/>
      <c r="AG58" s="1285"/>
      <c r="AH58" s="1285"/>
      <c r="AI58" s="1285"/>
      <c r="AJ58" s="1285"/>
      <c r="AK58" s="1285"/>
    </row>
    <row r="59" spans="1:37" s="1284" customFormat="1" ht="52.8">
      <c r="A59" s="2335" t="s">
        <v>2791</v>
      </c>
      <c r="B59" s="2338" t="str">
        <f>估价对象房地状况!C17</f>
        <v>估价对象位于XX商圈，周边办公楼项目较多，入驻率高，办公集聚程度较好</v>
      </c>
      <c r="C59" s="2240"/>
      <c r="D59" s="1200">
        <f t="shared" ref="D59:D67" si="15">SUMIF($J$58:$N$58,C59,J59:N59)</f>
        <v>0</v>
      </c>
      <c r="E59" s="764">
        <f>ROUND(SUM(D59:D67),4)</f>
        <v>0</v>
      </c>
      <c r="F59" s="2006" t="str">
        <f>IF(E2="办公",SUMIF(L1:L12,G2,N1:N12),"——")</f>
        <v>——</v>
      </c>
      <c r="G59" s="1198"/>
      <c r="H59" s="1202" t="str">
        <f t="shared" ref="H59:H67" si="16">IFERROR(ROUNDDOWN($F$59*I59/2,4),"——")</f>
        <v>——</v>
      </c>
      <c r="I59" s="763">
        <v>0.24</v>
      </c>
      <c r="J59" s="1199">
        <f t="shared" ref="J59:J67" si="17">K59+$G59</f>
        <v>0</v>
      </c>
      <c r="K59" s="1199">
        <f t="shared" ref="K59:K67" si="18">$L59+$G59</f>
        <v>0</v>
      </c>
      <c r="L59" s="1199">
        <v>0</v>
      </c>
      <c r="M59" s="1199">
        <f t="shared" ref="M59:N67" si="19">L59-$G59</f>
        <v>0</v>
      </c>
      <c r="N59" s="1199">
        <f t="shared" si="19"/>
        <v>0</v>
      </c>
      <c r="AA59" s="1285"/>
      <c r="AB59" s="1285"/>
      <c r="AC59" s="1285"/>
      <c r="AD59" s="1285"/>
      <c r="AE59" s="1285"/>
      <c r="AF59" s="1285"/>
      <c r="AG59" s="1285"/>
      <c r="AH59" s="1285"/>
      <c r="AI59" s="1285"/>
      <c r="AJ59" s="1285"/>
      <c r="AK59" s="1285"/>
    </row>
    <row r="60" spans="1:37" s="1284" customFormat="1" ht="66">
      <c r="A60" s="2335" t="s">
        <v>2779</v>
      </c>
      <c r="B60" s="2339" t="str">
        <f>估价对象房地状况!C18</f>
        <v>估价对象周边道路状况、公共交通通达情况、停车便捷程度，综合评价交通便捷度较好</v>
      </c>
      <c r="C60" s="2240"/>
      <c r="D60" s="1200">
        <f t="shared" si="15"/>
        <v>0</v>
      </c>
      <c r="E60" s="765"/>
      <c r="F60" s="2006"/>
      <c r="G60" s="1198"/>
      <c r="H60" s="1202" t="str">
        <f t="shared" si="16"/>
        <v>——</v>
      </c>
      <c r="I60" s="763">
        <v>0.3</v>
      </c>
      <c r="J60" s="1199">
        <f t="shared" si="17"/>
        <v>0</v>
      </c>
      <c r="K60" s="1199">
        <f t="shared" si="18"/>
        <v>0</v>
      </c>
      <c r="L60" s="1199">
        <v>0</v>
      </c>
      <c r="M60" s="1199">
        <f t="shared" si="19"/>
        <v>0</v>
      </c>
      <c r="N60" s="1199">
        <f t="shared" si="19"/>
        <v>0</v>
      </c>
      <c r="AA60" s="1285"/>
      <c r="AB60" s="1285"/>
      <c r="AC60" s="1285"/>
      <c r="AD60" s="1285"/>
      <c r="AE60" s="1285"/>
      <c r="AF60" s="1285"/>
      <c r="AG60" s="1285"/>
      <c r="AH60" s="1285"/>
      <c r="AI60" s="1285"/>
      <c r="AJ60" s="1285"/>
      <c r="AK60" s="1285"/>
    </row>
    <row r="61" spans="1:37" s="1284" customFormat="1" ht="24">
      <c r="A61" s="2335" t="s">
        <v>2780</v>
      </c>
      <c r="B61" s="2339">
        <f>估价对象房地状况!C19</f>
        <v>0</v>
      </c>
      <c r="C61" s="2240"/>
      <c r="D61" s="1200">
        <f t="shared" si="15"/>
        <v>0</v>
      </c>
      <c r="E61" s="765"/>
      <c r="F61" s="2006"/>
      <c r="G61" s="1198"/>
      <c r="H61" s="1202" t="str">
        <f t="shared" si="16"/>
        <v>——</v>
      </c>
      <c r="I61" s="763">
        <v>0.08</v>
      </c>
      <c r="J61" s="1199">
        <f t="shared" si="17"/>
        <v>0</v>
      </c>
      <c r="K61" s="1199">
        <f t="shared" si="18"/>
        <v>0</v>
      </c>
      <c r="L61" s="1199">
        <v>0</v>
      </c>
      <c r="M61" s="1199">
        <f t="shared" si="19"/>
        <v>0</v>
      </c>
      <c r="N61" s="1199">
        <f t="shared" si="19"/>
        <v>0</v>
      </c>
      <c r="AA61" s="1285"/>
      <c r="AB61" s="1285"/>
      <c r="AC61" s="1285"/>
      <c r="AD61" s="1285"/>
      <c r="AE61" s="1285"/>
      <c r="AF61" s="1285"/>
      <c r="AG61" s="1285"/>
      <c r="AH61" s="1285"/>
      <c r="AI61" s="1285"/>
      <c r="AJ61" s="1285"/>
      <c r="AK61" s="1285"/>
    </row>
    <row r="62" spans="1:37" s="1284" customFormat="1" ht="50.4">
      <c r="A62" s="2335" t="s">
        <v>2781</v>
      </c>
      <c r="B62" s="2340" t="s">
        <v>2782</v>
      </c>
      <c r="C62" s="2240"/>
      <c r="D62" s="1200">
        <f t="shared" si="15"/>
        <v>0</v>
      </c>
      <c r="E62" s="765"/>
      <c r="F62" s="2006"/>
      <c r="G62" s="1198"/>
      <c r="H62" s="1202" t="str">
        <f t="shared" si="16"/>
        <v>——</v>
      </c>
      <c r="I62" s="763">
        <v>0.04</v>
      </c>
      <c r="J62" s="1199">
        <f t="shared" si="17"/>
        <v>0</v>
      </c>
      <c r="K62" s="1199">
        <f t="shared" si="18"/>
        <v>0</v>
      </c>
      <c r="L62" s="1199">
        <v>0</v>
      </c>
      <c r="M62" s="1199">
        <f t="shared" si="19"/>
        <v>0</v>
      </c>
      <c r="N62" s="1199">
        <f t="shared" si="19"/>
        <v>0</v>
      </c>
      <c r="AA62" s="1285"/>
      <c r="AB62" s="1285"/>
      <c r="AC62" s="1285"/>
      <c r="AD62" s="1285"/>
      <c r="AE62" s="1285"/>
      <c r="AF62" s="1285"/>
      <c r="AG62" s="1285"/>
      <c r="AH62" s="1285"/>
      <c r="AI62" s="1285"/>
      <c r="AJ62" s="1285"/>
      <c r="AK62" s="1285"/>
    </row>
    <row r="63" spans="1:37" s="1284" customFormat="1" ht="24">
      <c r="A63" s="2335" t="s">
        <v>2783</v>
      </c>
      <c r="B63" s="2339">
        <f>估价对象房地状况!C24</f>
        <v>0</v>
      </c>
      <c r="C63" s="2240"/>
      <c r="D63" s="1200">
        <f t="shared" si="15"/>
        <v>0</v>
      </c>
      <c r="E63" s="765"/>
      <c r="F63" s="2006"/>
      <c r="G63" s="1198"/>
      <c r="H63" s="1202" t="str">
        <f t="shared" si="16"/>
        <v>——</v>
      </c>
      <c r="I63" s="763">
        <v>0.05</v>
      </c>
      <c r="J63" s="1199">
        <f t="shared" si="17"/>
        <v>0</v>
      </c>
      <c r="K63" s="1199">
        <f t="shared" si="18"/>
        <v>0</v>
      </c>
      <c r="L63" s="1199">
        <v>0</v>
      </c>
      <c r="M63" s="1199">
        <f t="shared" si="19"/>
        <v>0</v>
      </c>
      <c r="N63" s="1199">
        <f t="shared" si="19"/>
        <v>0</v>
      </c>
      <c r="AA63" s="1285"/>
      <c r="AB63" s="1285"/>
      <c r="AC63" s="1285"/>
      <c r="AD63" s="1285"/>
      <c r="AE63" s="1285"/>
      <c r="AF63" s="1285"/>
      <c r="AG63" s="1285"/>
      <c r="AH63" s="1285"/>
      <c r="AI63" s="1285"/>
      <c r="AJ63" s="1285"/>
      <c r="AK63" s="1285"/>
    </row>
    <row r="64" spans="1:37" s="1284" customFormat="1" ht="36">
      <c r="A64" s="2335" t="s">
        <v>2784</v>
      </c>
      <c r="B64" s="2341" t="s">
        <v>2785</v>
      </c>
      <c r="C64" s="2240"/>
      <c r="D64" s="1200">
        <f t="shared" si="15"/>
        <v>0</v>
      </c>
      <c r="E64" s="765"/>
      <c r="F64" s="2006"/>
      <c r="G64" s="1198"/>
      <c r="H64" s="1202" t="str">
        <f t="shared" si="16"/>
        <v>——</v>
      </c>
      <c r="I64" s="763">
        <v>0.05</v>
      </c>
      <c r="J64" s="1199">
        <f t="shared" si="17"/>
        <v>0</v>
      </c>
      <c r="K64" s="1199">
        <f t="shared" si="18"/>
        <v>0</v>
      </c>
      <c r="L64" s="1199">
        <v>0</v>
      </c>
      <c r="M64" s="1199">
        <f t="shared" si="19"/>
        <v>0</v>
      </c>
      <c r="N64" s="1199">
        <f t="shared" si="19"/>
        <v>0</v>
      </c>
      <c r="AA64" s="1285"/>
      <c r="AB64" s="1285"/>
      <c r="AC64" s="1285"/>
      <c r="AD64" s="1285"/>
      <c r="AE64" s="1285"/>
      <c r="AF64" s="1285"/>
      <c r="AG64" s="1285"/>
      <c r="AH64" s="1285"/>
      <c r="AI64" s="1285"/>
      <c r="AJ64" s="1285"/>
      <c r="AK64" s="1285"/>
    </row>
    <row r="65" spans="1:37" s="1284" customFormat="1" ht="26.4">
      <c r="A65" s="2335" t="s">
        <v>2786</v>
      </c>
      <c r="B65" s="1500" t="str">
        <f>估价对象房地状况!C21</f>
        <v>估价对象所在区域公共配套设施齐备情况</v>
      </c>
      <c r="C65" s="2240"/>
      <c r="D65" s="1200">
        <f t="shared" si="15"/>
        <v>0</v>
      </c>
      <c r="E65" s="765"/>
      <c r="F65" s="2006"/>
      <c r="G65" s="1198"/>
      <c r="H65" s="1202" t="str">
        <f t="shared" si="16"/>
        <v>——</v>
      </c>
      <c r="I65" s="763">
        <v>0.06</v>
      </c>
      <c r="J65" s="1199">
        <f t="shared" si="17"/>
        <v>0</v>
      </c>
      <c r="K65" s="1199">
        <f t="shared" si="18"/>
        <v>0</v>
      </c>
      <c r="L65" s="1199">
        <v>0</v>
      </c>
      <c r="M65" s="1199">
        <f t="shared" si="19"/>
        <v>0</v>
      </c>
      <c r="N65" s="1199">
        <f t="shared" si="19"/>
        <v>0</v>
      </c>
      <c r="AA65" s="1285"/>
      <c r="AB65" s="1285"/>
      <c r="AC65" s="1285"/>
      <c r="AD65" s="1285"/>
      <c r="AE65" s="1285"/>
      <c r="AF65" s="1285"/>
      <c r="AG65" s="1285"/>
      <c r="AH65" s="1285"/>
      <c r="AI65" s="1285"/>
      <c r="AJ65" s="1285"/>
      <c r="AK65" s="1285"/>
    </row>
    <row r="66" spans="1:37" s="1284" customFormat="1" ht="26.4">
      <c r="A66" s="2335" t="s">
        <v>2787</v>
      </c>
      <c r="B66" s="1500" t="str">
        <f>估价对象房地状况!C22</f>
        <v>估价对象所在区域基础设施水平</v>
      </c>
      <c r="C66" s="2240"/>
      <c r="D66" s="1200">
        <f t="shared" si="15"/>
        <v>0</v>
      </c>
      <c r="E66" s="765"/>
      <c r="F66" s="2006"/>
      <c r="G66" s="1198"/>
      <c r="H66" s="1202" t="str">
        <f t="shared" si="16"/>
        <v>——</v>
      </c>
      <c r="I66" s="763">
        <v>0.12</v>
      </c>
      <c r="J66" s="1199">
        <f t="shared" si="17"/>
        <v>0</v>
      </c>
      <c r="K66" s="1199">
        <f t="shared" si="18"/>
        <v>0</v>
      </c>
      <c r="L66" s="1199">
        <v>0</v>
      </c>
      <c r="M66" s="1199">
        <f t="shared" si="19"/>
        <v>0</v>
      </c>
      <c r="N66" s="1199">
        <f t="shared" si="19"/>
        <v>0</v>
      </c>
      <c r="AA66" s="1285"/>
      <c r="AB66" s="1285"/>
      <c r="AC66" s="1285"/>
      <c r="AD66" s="1285"/>
      <c r="AE66" s="1285"/>
      <c r="AF66" s="1285"/>
      <c r="AG66" s="1285"/>
      <c r="AH66" s="1285"/>
      <c r="AI66" s="1285"/>
      <c r="AJ66" s="1285"/>
      <c r="AK66" s="1285"/>
    </row>
    <row r="67" spans="1:37" s="1284" customFormat="1" ht="40.200000000000003" thickBot="1">
      <c r="A67" s="2343" t="s">
        <v>2788</v>
      </c>
      <c r="B67" s="2345" t="str">
        <f>估价对象房地状况!C20</f>
        <v>区域自然环境：；人文环境；综合评价环境状况一般</v>
      </c>
      <c r="C67" s="2240"/>
      <c r="D67" s="1200">
        <f t="shared" si="15"/>
        <v>0</v>
      </c>
      <c r="E67" s="768"/>
      <c r="F67" s="2006"/>
      <c r="G67" s="1198"/>
      <c r="H67" s="1202" t="str">
        <f t="shared" si="16"/>
        <v>——</v>
      </c>
      <c r="I67" s="767">
        <v>0.06</v>
      </c>
      <c r="J67" s="1199">
        <f t="shared" si="17"/>
        <v>0</v>
      </c>
      <c r="K67" s="1199">
        <f t="shared" si="18"/>
        <v>0</v>
      </c>
      <c r="L67" s="1199">
        <v>0</v>
      </c>
      <c r="M67" s="1199">
        <f t="shared" si="19"/>
        <v>0</v>
      </c>
      <c r="N67" s="1199">
        <f t="shared" si="19"/>
        <v>0</v>
      </c>
      <c r="AA67" s="1285"/>
      <c r="AB67" s="1285"/>
      <c r="AC67" s="1285"/>
      <c r="AD67" s="1285"/>
      <c r="AE67" s="1285"/>
      <c r="AF67" s="1285"/>
      <c r="AG67" s="1285"/>
      <c r="AH67" s="1285"/>
      <c r="AI67" s="1285"/>
      <c r="AJ67" s="1285"/>
      <c r="AK67" s="1285"/>
    </row>
    <row r="68" spans="1:37" s="1284" customFormat="1" ht="14.4">
      <c r="A68" s="2331" t="s">
        <v>2792</v>
      </c>
      <c r="B68" s="2332">
        <f>1+E70</f>
        <v>1</v>
      </c>
      <c r="C68" s="757"/>
      <c r="D68" s="757"/>
      <c r="E68" s="758"/>
      <c r="F68" s="2334"/>
      <c r="G68" s="6"/>
      <c r="H68" s="6"/>
      <c r="I68" s="6"/>
      <c r="J68" s="7"/>
      <c r="K68" s="7"/>
      <c r="L68" s="7"/>
      <c r="M68" s="7"/>
      <c r="N68" s="7"/>
      <c r="AA68" s="1285"/>
      <c r="AB68" s="1285"/>
      <c r="AC68" s="1285"/>
      <c r="AD68" s="1285"/>
      <c r="AE68" s="1285"/>
      <c r="AF68" s="1285"/>
      <c r="AG68" s="1285"/>
      <c r="AH68" s="1285"/>
      <c r="AI68" s="1285"/>
      <c r="AJ68" s="1285"/>
      <c r="AK68" s="1285"/>
    </row>
    <row r="69" spans="1:37" s="1284" customFormat="1" ht="25.2">
      <c r="A69" s="2335" t="s">
        <v>2770</v>
      </c>
      <c r="B69" s="1541"/>
      <c r="C69" s="1541" t="s">
        <v>2772</v>
      </c>
      <c r="D69" s="1541" t="s">
        <v>2773</v>
      </c>
      <c r="E69" s="762" t="s">
        <v>2774</v>
      </c>
      <c r="F69" s="2336" t="s">
        <v>2790</v>
      </c>
      <c r="G69" s="1541" t="s">
        <v>754</v>
      </c>
      <c r="H69" s="2337" t="s">
        <v>2776</v>
      </c>
      <c r="I69" s="1541" t="s">
        <v>2777</v>
      </c>
      <c r="J69" s="564" t="s">
        <v>2427</v>
      </c>
      <c r="K69" s="564" t="s">
        <v>2428</v>
      </c>
      <c r="L69" s="564" t="s">
        <v>2429</v>
      </c>
      <c r="M69" s="564" t="s">
        <v>2430</v>
      </c>
      <c r="N69" s="564" t="s">
        <v>2431</v>
      </c>
      <c r="AA69" s="1285"/>
      <c r="AB69" s="1285"/>
      <c r="AC69" s="1285"/>
      <c r="AD69" s="1285"/>
      <c r="AE69" s="1285"/>
      <c r="AF69" s="1285"/>
      <c r="AG69" s="1285"/>
      <c r="AH69" s="1285"/>
      <c r="AI69" s="1285"/>
      <c r="AJ69" s="1285"/>
      <c r="AK69" s="1285"/>
    </row>
    <row r="70" spans="1:37" s="1284" customFormat="1" ht="66">
      <c r="A70" s="2335" t="s">
        <v>2793</v>
      </c>
      <c r="B70" s="2338" t="str">
        <f>估价对象房地状况!C15</f>
        <v>估价对象周边居住用地比例、居住小区规模和社区发展完善程度，综合评价居住社区成熟度一般</v>
      </c>
      <c r="C70" s="2240"/>
      <c r="D70" s="1200">
        <f t="shared" ref="D70:D78" si="20">SUMIF($J$69:$N$69,C70,J70:N70)</f>
        <v>0</v>
      </c>
      <c r="E70" s="764">
        <f>ROUND(SUM(D70:D78),4)</f>
        <v>0</v>
      </c>
      <c r="F70" s="2006" t="str">
        <f>IF(E2="住宅",SUMIF(L1:L12,G2,N1:N12),"——")</f>
        <v>——</v>
      </c>
      <c r="G70" s="1198"/>
      <c r="H70" s="1202" t="str">
        <f t="shared" ref="H70:H78" si="21">IFERROR(ROUNDDOWN($F$70*I70/2,4),"——")</f>
        <v>——</v>
      </c>
      <c r="I70" s="763">
        <v>0.14000000000000001</v>
      </c>
      <c r="J70" s="1199">
        <f t="shared" ref="J70:J78" si="22">K70+$G70</f>
        <v>0</v>
      </c>
      <c r="K70" s="1199">
        <f t="shared" ref="K70:K78" si="23">$L70+$G70</f>
        <v>0</v>
      </c>
      <c r="L70" s="1199">
        <v>0</v>
      </c>
      <c r="M70" s="1199">
        <f t="shared" ref="M70:N78" si="24">L70-$G70</f>
        <v>0</v>
      </c>
      <c r="N70" s="1199">
        <f t="shared" si="24"/>
        <v>0</v>
      </c>
      <c r="AA70" s="1285"/>
      <c r="AB70" s="1285"/>
      <c r="AC70" s="1285"/>
      <c r="AD70" s="1285"/>
      <c r="AE70" s="1285"/>
      <c r="AF70" s="1285"/>
      <c r="AG70" s="1285"/>
      <c r="AH70" s="1285"/>
      <c r="AI70" s="1285"/>
      <c r="AJ70" s="1285"/>
      <c r="AK70" s="1285"/>
    </row>
    <row r="71" spans="1:37" s="1284" customFormat="1" ht="66">
      <c r="A71" s="2335" t="s">
        <v>2779</v>
      </c>
      <c r="B71" s="2339" t="str">
        <f>估价对象房地状况!C18</f>
        <v>估价对象周边道路状况、公共交通通达情况、停车便捷程度，综合评价交通便捷度较好</v>
      </c>
      <c r="C71" s="2240"/>
      <c r="D71" s="1200">
        <f t="shared" si="20"/>
        <v>0</v>
      </c>
      <c r="E71" s="769"/>
      <c r="F71" s="2006"/>
      <c r="G71" s="1198"/>
      <c r="H71" s="1202" t="str">
        <f t="shared" si="21"/>
        <v>——</v>
      </c>
      <c r="I71" s="763">
        <v>0.3</v>
      </c>
      <c r="J71" s="1199">
        <f t="shared" si="22"/>
        <v>0</v>
      </c>
      <c r="K71" s="1199">
        <f t="shared" si="23"/>
        <v>0</v>
      </c>
      <c r="L71" s="1199">
        <v>0</v>
      </c>
      <c r="M71" s="1199">
        <f t="shared" si="24"/>
        <v>0</v>
      </c>
      <c r="N71" s="1199">
        <f t="shared" si="24"/>
        <v>0</v>
      </c>
      <c r="AA71" s="1285"/>
      <c r="AB71" s="1285"/>
      <c r="AC71" s="1285"/>
      <c r="AD71" s="1285"/>
      <c r="AE71" s="1285"/>
      <c r="AF71" s="1285"/>
      <c r="AG71" s="1285"/>
      <c r="AH71" s="1285"/>
      <c r="AI71" s="1285"/>
      <c r="AJ71" s="1285"/>
      <c r="AK71" s="1285"/>
    </row>
    <row r="72" spans="1:37" s="1284" customFormat="1" ht="24">
      <c r="A72" s="2335" t="s">
        <v>2780</v>
      </c>
      <c r="B72" s="2339">
        <f>估价对象房地状况!C19</f>
        <v>0</v>
      </c>
      <c r="C72" s="2240"/>
      <c r="D72" s="1200">
        <f t="shared" si="20"/>
        <v>0</v>
      </c>
      <c r="E72" s="769"/>
      <c r="F72" s="2006"/>
      <c r="G72" s="1198"/>
      <c r="H72" s="1202" t="str">
        <f t="shared" si="21"/>
        <v>——</v>
      </c>
      <c r="I72" s="763">
        <v>0.08</v>
      </c>
      <c r="J72" s="1199">
        <f t="shared" si="22"/>
        <v>0</v>
      </c>
      <c r="K72" s="1199">
        <f t="shared" si="23"/>
        <v>0</v>
      </c>
      <c r="L72" s="1199">
        <v>0</v>
      </c>
      <c r="M72" s="1199">
        <f t="shared" si="24"/>
        <v>0</v>
      </c>
      <c r="N72" s="1199">
        <f t="shared" si="24"/>
        <v>0</v>
      </c>
      <c r="AA72" s="1285"/>
      <c r="AB72" s="1285"/>
      <c r="AC72" s="1285"/>
      <c r="AD72" s="1285"/>
      <c r="AE72" s="1285"/>
      <c r="AF72" s="1285"/>
      <c r="AG72" s="1285"/>
      <c r="AH72" s="1285"/>
      <c r="AI72" s="1285"/>
      <c r="AJ72" s="1285"/>
      <c r="AK72" s="1285"/>
    </row>
    <row r="73" spans="1:37" s="1284" customFormat="1" ht="13.8">
      <c r="A73" s="2335" t="s">
        <v>2794</v>
      </c>
      <c r="B73" s="2339">
        <f>估价对象房地状况!C24</f>
        <v>0</v>
      </c>
      <c r="C73" s="2240"/>
      <c r="D73" s="1200">
        <f t="shared" si="20"/>
        <v>0</v>
      </c>
      <c r="E73" s="769"/>
      <c r="F73" s="2006"/>
      <c r="G73" s="1198"/>
      <c r="H73" s="1202" t="str">
        <f t="shared" si="21"/>
        <v>——</v>
      </c>
      <c r="I73" s="763">
        <v>0.04</v>
      </c>
      <c r="J73" s="1199">
        <f t="shared" si="22"/>
        <v>0</v>
      </c>
      <c r="K73" s="1199">
        <f t="shared" si="23"/>
        <v>0</v>
      </c>
      <c r="L73" s="1199">
        <v>0</v>
      </c>
      <c r="M73" s="1199">
        <f t="shared" si="24"/>
        <v>0</v>
      </c>
      <c r="N73" s="1199">
        <f t="shared" si="24"/>
        <v>0</v>
      </c>
      <c r="AA73" s="1285"/>
      <c r="AB73" s="1285"/>
      <c r="AC73" s="1285"/>
      <c r="AD73" s="1285"/>
      <c r="AE73" s="1285"/>
      <c r="AF73" s="1285"/>
      <c r="AG73" s="1285"/>
      <c r="AH73" s="1285"/>
      <c r="AI73" s="1285"/>
      <c r="AJ73" s="1285"/>
      <c r="AK73" s="1285"/>
    </row>
    <row r="74" spans="1:37" s="1284" customFormat="1" ht="26.4">
      <c r="A74" s="2335" t="s">
        <v>2786</v>
      </c>
      <c r="B74" s="1500" t="str">
        <f>估价对象房地状况!C21</f>
        <v>估价对象所在区域公共配套设施齐备情况</v>
      </c>
      <c r="C74" s="2240"/>
      <c r="D74" s="1200">
        <f t="shared" si="20"/>
        <v>0</v>
      </c>
      <c r="E74" s="769"/>
      <c r="F74" s="2006"/>
      <c r="G74" s="1198"/>
      <c r="H74" s="1202" t="str">
        <f t="shared" si="21"/>
        <v>——</v>
      </c>
      <c r="I74" s="763">
        <v>0.08</v>
      </c>
      <c r="J74" s="1199">
        <f t="shared" si="22"/>
        <v>0</v>
      </c>
      <c r="K74" s="1199">
        <f t="shared" si="23"/>
        <v>0</v>
      </c>
      <c r="L74" s="1199">
        <v>0</v>
      </c>
      <c r="M74" s="1199">
        <f t="shared" si="24"/>
        <v>0</v>
      </c>
      <c r="N74" s="1199">
        <f t="shared" si="24"/>
        <v>0</v>
      </c>
      <c r="AA74" s="1285"/>
      <c r="AB74" s="1285"/>
      <c r="AC74" s="1285"/>
      <c r="AD74" s="1285"/>
      <c r="AE74" s="1285"/>
      <c r="AF74" s="1285"/>
      <c r="AG74" s="1285"/>
      <c r="AH74" s="1285"/>
      <c r="AI74" s="1285"/>
      <c r="AJ74" s="1285"/>
      <c r="AK74" s="1285"/>
    </row>
    <row r="75" spans="1:37" s="1284" customFormat="1" ht="26.4">
      <c r="A75" s="2335" t="s">
        <v>2787</v>
      </c>
      <c r="B75" s="1500" t="str">
        <f>估价对象房地状况!C22</f>
        <v>估价对象所在区域基础设施水平</v>
      </c>
      <c r="C75" s="2240"/>
      <c r="D75" s="1200">
        <f t="shared" si="20"/>
        <v>0</v>
      </c>
      <c r="E75" s="769"/>
      <c r="F75" s="2006"/>
      <c r="G75" s="1198"/>
      <c r="H75" s="1202" t="str">
        <f t="shared" si="21"/>
        <v>——</v>
      </c>
      <c r="I75" s="763">
        <v>0.12</v>
      </c>
      <c r="J75" s="1199">
        <f t="shared" si="22"/>
        <v>0</v>
      </c>
      <c r="K75" s="1199">
        <f t="shared" si="23"/>
        <v>0</v>
      </c>
      <c r="L75" s="1199">
        <v>0</v>
      </c>
      <c r="M75" s="1199">
        <f t="shared" si="24"/>
        <v>0</v>
      </c>
      <c r="N75" s="1199">
        <f t="shared" si="24"/>
        <v>0</v>
      </c>
      <c r="AA75" s="1285"/>
      <c r="AB75" s="1285"/>
      <c r="AC75" s="1285"/>
      <c r="AD75" s="1285"/>
      <c r="AE75" s="1285"/>
      <c r="AF75" s="1285"/>
      <c r="AG75" s="1285"/>
      <c r="AH75" s="1285"/>
      <c r="AI75" s="1285"/>
      <c r="AJ75" s="1285"/>
      <c r="AK75" s="1285"/>
    </row>
    <row r="76" spans="1:37" s="2189" customFormat="1" ht="36">
      <c r="A76" s="2335" t="s">
        <v>2784</v>
      </c>
      <c r="B76" s="2341" t="s">
        <v>2785</v>
      </c>
      <c r="C76" s="2240"/>
      <c r="D76" s="1200">
        <f t="shared" si="20"/>
        <v>0</v>
      </c>
      <c r="E76" s="769"/>
      <c r="F76" s="2006"/>
      <c r="G76" s="1198"/>
      <c r="H76" s="1202" t="str">
        <f t="shared" si="21"/>
        <v>——</v>
      </c>
      <c r="I76" s="763">
        <v>0.05</v>
      </c>
      <c r="J76" s="1199">
        <f t="shared" si="22"/>
        <v>0</v>
      </c>
      <c r="K76" s="1199">
        <f t="shared" si="23"/>
        <v>0</v>
      </c>
      <c r="L76" s="1199">
        <v>0</v>
      </c>
      <c r="M76" s="1199">
        <f t="shared" si="24"/>
        <v>0</v>
      </c>
      <c r="N76" s="1199">
        <f t="shared" si="24"/>
        <v>0</v>
      </c>
      <c r="AA76" s="2346"/>
      <c r="AB76" s="1285"/>
      <c r="AC76" s="1285"/>
      <c r="AD76" s="1285"/>
      <c r="AE76" s="1285"/>
      <c r="AF76" s="1285"/>
      <c r="AG76" s="1285"/>
      <c r="AH76" s="2346"/>
      <c r="AI76" s="2346"/>
      <c r="AJ76" s="2346"/>
      <c r="AK76" s="2346"/>
    </row>
    <row r="77" spans="1:37" ht="39.6">
      <c r="A77" s="2335" t="s">
        <v>2788</v>
      </c>
      <c r="B77" s="2338" t="str">
        <f>估价对象房地状况!C20</f>
        <v>区域自然环境：；人文环境；综合评价环境状况一般</v>
      </c>
      <c r="C77" s="2240"/>
      <c r="D77" s="1200">
        <f t="shared" si="20"/>
        <v>0</v>
      </c>
      <c r="E77" s="769"/>
      <c r="F77" s="2006"/>
      <c r="G77" s="1198"/>
      <c r="H77" s="1202" t="str">
        <f t="shared" si="21"/>
        <v>——</v>
      </c>
      <c r="I77" s="763">
        <v>0.15</v>
      </c>
      <c r="J77" s="1199">
        <f t="shared" si="22"/>
        <v>0</v>
      </c>
      <c r="K77" s="1199">
        <f t="shared" si="23"/>
        <v>0</v>
      </c>
      <c r="L77" s="1199">
        <v>0</v>
      </c>
      <c r="M77" s="1199">
        <f t="shared" si="24"/>
        <v>0</v>
      </c>
      <c r="N77" s="1199">
        <f t="shared" si="24"/>
        <v>0</v>
      </c>
      <c r="Z77" s="2190"/>
      <c r="AA77" s="2256"/>
      <c r="AG77" s="1286"/>
      <c r="AK77" s="2256"/>
    </row>
    <row r="78" spans="1:37" ht="36.6" thickBot="1">
      <c r="A78" s="2343" t="s">
        <v>2795</v>
      </c>
      <c r="B78" s="2347"/>
      <c r="C78" s="2240"/>
      <c r="D78" s="1200">
        <f t="shared" si="20"/>
        <v>0</v>
      </c>
      <c r="E78" s="770"/>
      <c r="F78" s="2006"/>
      <c r="G78" s="1198"/>
      <c r="H78" s="1202" t="str">
        <f t="shared" si="21"/>
        <v>——</v>
      </c>
      <c r="I78" s="767">
        <v>0.04</v>
      </c>
      <c r="J78" s="1199">
        <f t="shared" si="22"/>
        <v>0</v>
      </c>
      <c r="K78" s="1199">
        <f t="shared" si="23"/>
        <v>0</v>
      </c>
      <c r="L78" s="1199">
        <v>0</v>
      </c>
      <c r="M78" s="1199">
        <f t="shared" si="24"/>
        <v>0</v>
      </c>
      <c r="N78" s="1199">
        <f t="shared" si="24"/>
        <v>0</v>
      </c>
      <c r="Z78" s="2190"/>
      <c r="AA78" s="2256"/>
      <c r="AG78" s="1286"/>
      <c r="AK78" s="2256"/>
    </row>
    <row r="79" spans="1:37" ht="14.4">
      <c r="A79" s="2331" t="s">
        <v>2796</v>
      </c>
      <c r="B79" s="2332">
        <f>1+E81</f>
        <v>1.0589999999999999</v>
      </c>
      <c r="C79" s="757"/>
      <c r="D79" s="757"/>
      <c r="E79" s="758"/>
      <c r="F79" s="2334"/>
      <c r="G79" s="6"/>
      <c r="H79" s="6"/>
      <c r="I79" s="6"/>
      <c r="J79" s="7"/>
      <c r="K79" s="7"/>
      <c r="L79" s="7"/>
      <c r="M79" s="7"/>
      <c r="N79" s="7"/>
      <c r="Z79" s="2190"/>
      <c r="AA79" s="2256"/>
      <c r="AG79" s="1286"/>
      <c r="AK79" s="2256"/>
    </row>
    <row r="80" spans="1:37" ht="25.2">
      <c r="A80" s="2335" t="s">
        <v>2770</v>
      </c>
      <c r="B80" s="1541"/>
      <c r="C80" s="1541" t="s">
        <v>2772</v>
      </c>
      <c r="D80" s="1541" t="s">
        <v>2773</v>
      </c>
      <c r="E80" s="762" t="s">
        <v>2774</v>
      </c>
      <c r="F80" s="2336" t="s">
        <v>2790</v>
      </c>
      <c r="G80" s="1541" t="s">
        <v>754</v>
      </c>
      <c r="H80" s="2337" t="s">
        <v>2776</v>
      </c>
      <c r="I80" s="1541" t="s">
        <v>2777</v>
      </c>
      <c r="J80" s="564" t="s">
        <v>2427</v>
      </c>
      <c r="K80" s="564" t="s">
        <v>2428</v>
      </c>
      <c r="L80" s="564" t="s">
        <v>2429</v>
      </c>
      <c r="M80" s="564" t="s">
        <v>2430</v>
      </c>
      <c r="N80" s="564" t="s">
        <v>2431</v>
      </c>
      <c r="Z80" s="2190"/>
      <c r="AA80" s="2256"/>
      <c r="AG80" s="1286"/>
      <c r="AK80" s="2256"/>
    </row>
    <row r="81" spans="1:37" ht="52.8">
      <c r="A81" s="2335" t="s">
        <v>2797</v>
      </c>
      <c r="B81" s="2339" t="str">
        <f>估价对象房地状况!G15</f>
        <v>估价对象位于北京经济技术开发区，园区建设成熟，产业集聚程度较好</v>
      </c>
      <c r="C81" s="2240" t="s">
        <v>3187</v>
      </c>
      <c r="D81" s="1200">
        <f t="shared" ref="D81:D88" si="25">SUMIF($J$80:$N$80,C81,J81:N81)</f>
        <v>1.4999999999999999E-2</v>
      </c>
      <c r="E81" s="764">
        <f>ROUND(SUM(D81:D88),4)</f>
        <v>5.8999999999999997E-2</v>
      </c>
      <c r="F81" s="2006">
        <f>IF(E2="工业",SUMIF(L1:L12,G2,N1:N12),"——")</f>
        <v>0.13</v>
      </c>
      <c r="G81" s="1198">
        <v>1.4999999999999999E-2</v>
      </c>
      <c r="H81" s="1202">
        <f t="shared" ref="H81:H88" si="26">IFERROR(ROUNDDOWN($F$81*I81/2,4),"——")</f>
        <v>1.6899999999999998E-2</v>
      </c>
      <c r="I81" s="763">
        <v>0.26</v>
      </c>
      <c r="J81" s="1199">
        <f t="shared" ref="J81:J88" si="27">K81+$G81</f>
        <v>0.03</v>
      </c>
      <c r="K81" s="1199">
        <f t="shared" ref="K81:K88" si="28">$L81+$G81</f>
        <v>1.4999999999999999E-2</v>
      </c>
      <c r="L81" s="1199">
        <v>0</v>
      </c>
      <c r="M81" s="1199">
        <f t="shared" ref="M81:N88" si="29">L81-$G81</f>
        <v>-1.4999999999999999E-2</v>
      </c>
      <c r="N81" s="1199">
        <f t="shared" si="29"/>
        <v>-0.03</v>
      </c>
      <c r="Z81" s="2190"/>
      <c r="AA81" s="2256"/>
      <c r="AG81" s="1286"/>
      <c r="AK81" s="2256"/>
    </row>
    <row r="82" spans="1:37" ht="66">
      <c r="A82" s="2335" t="s">
        <v>2779</v>
      </c>
      <c r="B82" s="2339" t="str">
        <f>估价对象房地状况!G16</f>
        <v>估价对象周边道路状况、公共交通通达情况、停车便捷程度，综合评价交通便捷度较好</v>
      </c>
      <c r="C82" s="2240" t="s">
        <v>3187</v>
      </c>
      <c r="D82" s="1200">
        <f t="shared" si="25"/>
        <v>1.7999999999999999E-2</v>
      </c>
      <c r="E82" s="769"/>
      <c r="F82" s="2006"/>
      <c r="G82" s="1198">
        <v>1.7999999999999999E-2</v>
      </c>
      <c r="H82" s="1202">
        <f t="shared" si="26"/>
        <v>2.1399999999999999E-2</v>
      </c>
      <c r="I82" s="763">
        <v>0.33</v>
      </c>
      <c r="J82" s="1199">
        <f t="shared" si="27"/>
        <v>3.5999999999999997E-2</v>
      </c>
      <c r="K82" s="1199">
        <f t="shared" si="28"/>
        <v>1.7999999999999999E-2</v>
      </c>
      <c r="L82" s="1199">
        <v>0</v>
      </c>
      <c r="M82" s="1199">
        <f t="shared" si="29"/>
        <v>-1.7999999999999999E-2</v>
      </c>
      <c r="N82" s="1199">
        <f t="shared" si="29"/>
        <v>-3.5999999999999997E-2</v>
      </c>
      <c r="Z82" s="2190"/>
      <c r="AA82" s="2256"/>
      <c r="AG82" s="1286"/>
      <c r="AK82" s="2256"/>
    </row>
    <row r="83" spans="1:37" ht="24">
      <c r="A83" s="2335" t="s">
        <v>2780</v>
      </c>
      <c r="B83" s="2339" t="str">
        <f>估价对象房地状况!G17</f>
        <v>较一致</v>
      </c>
      <c r="C83" s="2240" t="s">
        <v>3187</v>
      </c>
      <c r="D83" s="1200">
        <f t="shared" si="25"/>
        <v>2.5000000000000001E-3</v>
      </c>
      <c r="E83" s="769"/>
      <c r="F83" s="2006"/>
      <c r="G83" s="1198">
        <v>2.5000000000000001E-3</v>
      </c>
      <c r="H83" s="1202">
        <f t="shared" si="26"/>
        <v>3.2000000000000002E-3</v>
      </c>
      <c r="I83" s="763">
        <v>0.05</v>
      </c>
      <c r="J83" s="1199">
        <f t="shared" si="27"/>
        <v>5.0000000000000001E-3</v>
      </c>
      <c r="K83" s="1199">
        <f t="shared" si="28"/>
        <v>2.5000000000000001E-3</v>
      </c>
      <c r="L83" s="1199">
        <v>0</v>
      </c>
      <c r="M83" s="1199">
        <f t="shared" si="29"/>
        <v>-2.5000000000000001E-3</v>
      </c>
      <c r="N83" s="1199">
        <f t="shared" si="29"/>
        <v>-5.0000000000000001E-3</v>
      </c>
      <c r="Z83" s="2190"/>
      <c r="AA83" s="2256"/>
      <c r="AG83" s="1286"/>
      <c r="AK83" s="2256"/>
    </row>
    <row r="84" spans="1:37" ht="26.4">
      <c r="A84" s="2335" t="s">
        <v>2794</v>
      </c>
      <c r="B84" s="2339" t="str">
        <f>估价对象房地状况!G22</f>
        <v>城市支路——东环北路</v>
      </c>
      <c r="C84" s="2240" t="s">
        <v>4400</v>
      </c>
      <c r="D84" s="1200">
        <f t="shared" si="25"/>
        <v>-2E-3</v>
      </c>
      <c r="E84" s="769"/>
      <c r="F84" s="2006"/>
      <c r="G84" s="1198">
        <v>2E-3</v>
      </c>
      <c r="H84" s="1202">
        <f t="shared" si="26"/>
        <v>2.5999999999999999E-3</v>
      </c>
      <c r="I84" s="763">
        <v>0.04</v>
      </c>
      <c r="J84" s="1199">
        <f t="shared" si="27"/>
        <v>4.0000000000000001E-3</v>
      </c>
      <c r="K84" s="1199">
        <f t="shared" si="28"/>
        <v>2E-3</v>
      </c>
      <c r="L84" s="1199">
        <v>0</v>
      </c>
      <c r="M84" s="1199">
        <f t="shared" si="29"/>
        <v>-2E-3</v>
      </c>
      <c r="N84" s="1199">
        <f t="shared" si="29"/>
        <v>-4.0000000000000001E-3</v>
      </c>
      <c r="Z84" s="2190"/>
      <c r="AA84" s="2256"/>
      <c r="AG84" s="1286"/>
      <c r="AK84" s="2256"/>
    </row>
    <row r="85" spans="1:37" ht="39.6">
      <c r="A85" s="2335" t="s">
        <v>2786</v>
      </c>
      <c r="B85" s="1500" t="str">
        <f>估价对象房地状况!G19</f>
        <v>估价对象所在区域公共配套设施齐备情况较好</v>
      </c>
      <c r="C85" s="2240" t="s">
        <v>3187</v>
      </c>
      <c r="D85" s="1200">
        <f t="shared" si="25"/>
        <v>3.5000000000000001E-3</v>
      </c>
      <c r="E85" s="769"/>
      <c r="F85" s="2006"/>
      <c r="G85" s="1198">
        <v>3.5000000000000001E-3</v>
      </c>
      <c r="H85" s="1202">
        <f t="shared" si="26"/>
        <v>3.8999999999999998E-3</v>
      </c>
      <c r="I85" s="763">
        <v>0.06</v>
      </c>
      <c r="J85" s="1199">
        <f t="shared" si="27"/>
        <v>7.0000000000000001E-3</v>
      </c>
      <c r="K85" s="1199">
        <f t="shared" si="28"/>
        <v>3.5000000000000001E-3</v>
      </c>
      <c r="L85" s="1199">
        <v>0</v>
      </c>
      <c r="M85" s="1199">
        <f t="shared" si="29"/>
        <v>-3.5000000000000001E-3</v>
      </c>
      <c r="N85" s="1199">
        <f t="shared" si="29"/>
        <v>-7.0000000000000001E-3</v>
      </c>
      <c r="Z85" s="2190"/>
      <c r="AA85" s="2256"/>
      <c r="AG85" s="1286"/>
      <c r="AK85" s="2256"/>
    </row>
    <row r="86" spans="1:37" ht="24">
      <c r="A86" s="2335" t="s">
        <v>2787</v>
      </c>
      <c r="B86" s="1500" t="str">
        <f>估价对象房地状况!G20</f>
        <v>七通</v>
      </c>
      <c r="C86" s="2240" t="s">
        <v>4399</v>
      </c>
      <c r="D86" s="1200">
        <f t="shared" si="25"/>
        <v>1.6E-2</v>
      </c>
      <c r="E86" s="769"/>
      <c r="F86" s="2006"/>
      <c r="G86" s="1198">
        <v>8.0000000000000002E-3</v>
      </c>
      <c r="H86" s="1202">
        <f t="shared" si="26"/>
        <v>9.7000000000000003E-3</v>
      </c>
      <c r="I86" s="763">
        <v>0.15</v>
      </c>
      <c r="J86" s="1199">
        <f t="shared" si="27"/>
        <v>1.6E-2</v>
      </c>
      <c r="K86" s="1199">
        <f t="shared" si="28"/>
        <v>8.0000000000000002E-3</v>
      </c>
      <c r="L86" s="1199">
        <v>0</v>
      </c>
      <c r="M86" s="1199">
        <f t="shared" si="29"/>
        <v>-8.0000000000000002E-3</v>
      </c>
      <c r="N86" s="1199">
        <f t="shared" si="29"/>
        <v>-1.6E-2</v>
      </c>
      <c r="Z86" s="2190"/>
      <c r="AA86" s="2256"/>
      <c r="AG86" s="1286"/>
      <c r="AK86" s="2256"/>
    </row>
    <row r="87" spans="1:37" ht="36">
      <c r="A87" s="2335" t="s">
        <v>2784</v>
      </c>
      <c r="B87" s="2341" t="s">
        <v>2798</v>
      </c>
      <c r="C87" s="2240" t="s">
        <v>3187</v>
      </c>
      <c r="D87" s="1200">
        <f t="shared" si="25"/>
        <v>2.5000000000000001E-3</v>
      </c>
      <c r="E87" s="769"/>
      <c r="F87" s="2006"/>
      <c r="G87" s="1198">
        <v>2.5000000000000001E-3</v>
      </c>
      <c r="H87" s="1202">
        <f t="shared" si="26"/>
        <v>3.2000000000000002E-3</v>
      </c>
      <c r="I87" s="763">
        <v>0.05</v>
      </c>
      <c r="J87" s="1199">
        <f t="shared" si="27"/>
        <v>5.0000000000000001E-3</v>
      </c>
      <c r="K87" s="1199">
        <f t="shared" si="28"/>
        <v>2.5000000000000001E-3</v>
      </c>
      <c r="L87" s="1199">
        <v>0</v>
      </c>
      <c r="M87" s="1199">
        <f t="shared" si="29"/>
        <v>-2.5000000000000001E-3</v>
      </c>
      <c r="N87" s="1199">
        <f t="shared" si="29"/>
        <v>-5.0000000000000001E-3</v>
      </c>
      <c r="Z87" s="2190"/>
      <c r="AA87" s="2256"/>
      <c r="AG87" s="1286"/>
      <c r="AK87" s="2256"/>
    </row>
    <row r="88" spans="1:37" ht="53.4" thickBot="1">
      <c r="A88" s="2343" t="s">
        <v>2799</v>
      </c>
      <c r="B88" s="2348" t="str">
        <f>估价对象房地状况!G18</f>
        <v>该园区内无污染型企业，绿化较好，卫生条件良好，整体环境状况较好</v>
      </c>
      <c r="C88" s="2240" t="s">
        <v>3187</v>
      </c>
      <c r="D88" s="1200">
        <f t="shared" si="25"/>
        <v>3.5000000000000001E-3</v>
      </c>
      <c r="E88" s="770"/>
      <c r="F88" s="2006"/>
      <c r="G88" s="1198">
        <v>3.5000000000000001E-3</v>
      </c>
      <c r="H88" s="1202">
        <f t="shared" si="26"/>
        <v>3.8999999999999998E-3</v>
      </c>
      <c r="I88" s="767">
        <v>0.06</v>
      </c>
      <c r="J88" s="1199">
        <f t="shared" si="27"/>
        <v>7.0000000000000001E-3</v>
      </c>
      <c r="K88" s="1199">
        <f t="shared" si="28"/>
        <v>3.5000000000000001E-3</v>
      </c>
      <c r="L88" s="1199">
        <v>0</v>
      </c>
      <c r="M88" s="1199">
        <f t="shared" si="29"/>
        <v>-3.5000000000000001E-3</v>
      </c>
      <c r="N88" s="1199">
        <f t="shared" si="29"/>
        <v>-7.0000000000000001E-3</v>
      </c>
      <c r="Z88" s="2190"/>
      <c r="AA88" s="2256"/>
      <c r="AG88" s="1286"/>
      <c r="AK88" s="2256"/>
    </row>
    <row r="90" spans="1:37">
      <c r="A90" s="3311" t="s">
        <v>2800</v>
      </c>
      <c r="B90" s="3311"/>
      <c r="C90" s="3311"/>
      <c r="D90" s="3311"/>
      <c r="E90" s="3311"/>
      <c r="F90" s="3311"/>
      <c r="G90" s="3311"/>
      <c r="H90" s="3311"/>
      <c r="I90" s="3311"/>
      <c r="J90" s="3311"/>
      <c r="K90" s="2349"/>
      <c r="L90" s="2349"/>
      <c r="M90" s="2349"/>
      <c r="N90" s="2349"/>
    </row>
    <row r="91" spans="1:37">
      <c r="A91" s="3313" t="s">
        <v>2801</v>
      </c>
      <c r="B91" s="3313" t="s">
        <v>2802</v>
      </c>
      <c r="C91" s="2303" t="s">
        <v>2803</v>
      </c>
      <c r="D91" s="2304"/>
      <c r="E91" s="2304"/>
      <c r="F91" s="2304"/>
      <c r="G91" s="2304"/>
      <c r="H91" s="2304"/>
      <c r="I91" s="2304"/>
      <c r="J91" s="2350"/>
      <c r="K91" s="2351"/>
      <c r="L91" s="2351"/>
      <c r="M91" s="2351"/>
      <c r="N91" s="2351"/>
    </row>
    <row r="92" spans="1:37">
      <c r="A92" s="3313"/>
      <c r="B92" s="3313"/>
      <c r="C92" s="883" t="s">
        <v>2670</v>
      </c>
      <c r="D92" s="883" t="s">
        <v>2671</v>
      </c>
      <c r="E92" s="883" t="s">
        <v>2672</v>
      </c>
      <c r="F92" s="883" t="s">
        <v>2673</v>
      </c>
      <c r="G92" s="883" t="s">
        <v>2674</v>
      </c>
      <c r="H92" s="883" t="s">
        <v>2675</v>
      </c>
      <c r="I92" s="883" t="s">
        <v>2676</v>
      </c>
      <c r="J92" s="883" t="s">
        <v>2677</v>
      </c>
      <c r="K92" s="883" t="s">
        <v>2678</v>
      </c>
      <c r="L92" s="883" t="s">
        <v>2679</v>
      </c>
      <c r="M92" s="883" t="s">
        <v>2680</v>
      </c>
      <c r="N92" s="883" t="s">
        <v>2681</v>
      </c>
    </row>
    <row r="93" spans="1:37">
      <c r="A93" s="3314" t="s">
        <v>2804</v>
      </c>
      <c r="B93" s="2352">
        <v>1</v>
      </c>
      <c r="C93" s="2353">
        <v>1.9361999999999999</v>
      </c>
      <c r="D93" s="2353">
        <v>1.9361999999999999</v>
      </c>
      <c r="E93" s="2353">
        <v>1.8629</v>
      </c>
      <c r="F93" s="2353">
        <v>1.8629</v>
      </c>
      <c r="G93" s="2353">
        <v>1.8629</v>
      </c>
      <c r="H93" s="2353">
        <v>1.8629</v>
      </c>
      <c r="I93" s="2353">
        <v>1.8629</v>
      </c>
      <c r="J93" s="2353">
        <v>1.9419999999999999</v>
      </c>
      <c r="K93" s="2353">
        <v>1.9419999999999999</v>
      </c>
      <c r="L93" s="2353">
        <v>1.9419999999999999</v>
      </c>
      <c r="M93" s="2353">
        <v>1.9419999999999999</v>
      </c>
      <c r="N93" s="2353">
        <v>1.9419999999999999</v>
      </c>
    </row>
    <row r="94" spans="1:37">
      <c r="A94" s="3315"/>
      <c r="B94" s="2352">
        <v>2</v>
      </c>
      <c r="C94" s="2353">
        <v>1.4198</v>
      </c>
      <c r="D94" s="2353">
        <v>1.4198</v>
      </c>
      <c r="E94" s="2353">
        <v>1.3371999999999999</v>
      </c>
      <c r="F94" s="2353">
        <v>1.3371999999999999</v>
      </c>
      <c r="G94" s="2353">
        <v>1.3371999999999999</v>
      </c>
      <c r="H94" s="2353">
        <v>1.3371999999999999</v>
      </c>
      <c r="I94" s="2353">
        <v>1.3371999999999999</v>
      </c>
      <c r="J94" s="2353">
        <v>1.2799</v>
      </c>
      <c r="K94" s="2353">
        <v>1.2799</v>
      </c>
      <c r="L94" s="2353">
        <v>1.2799</v>
      </c>
      <c r="M94" s="2353">
        <v>1.2799</v>
      </c>
      <c r="N94" s="2353">
        <v>1.2799</v>
      </c>
    </row>
    <row r="95" spans="1:37">
      <c r="A95" s="3315"/>
      <c r="B95" s="2352">
        <v>3</v>
      </c>
      <c r="C95" s="2353">
        <v>1.1594</v>
      </c>
      <c r="D95" s="2353">
        <v>1.1594</v>
      </c>
      <c r="E95" s="2353">
        <v>1.0788</v>
      </c>
      <c r="F95" s="2353">
        <v>1.0788</v>
      </c>
      <c r="G95" s="2353">
        <v>1.0788</v>
      </c>
      <c r="H95" s="2353">
        <v>1.0788</v>
      </c>
      <c r="I95" s="2353">
        <v>1.0788</v>
      </c>
      <c r="J95" s="2353">
        <v>1.0072000000000001</v>
      </c>
      <c r="K95" s="2353">
        <v>1.0072000000000001</v>
      </c>
      <c r="L95" s="2353">
        <v>1.0072000000000001</v>
      </c>
      <c r="M95" s="2353">
        <v>1.0072000000000001</v>
      </c>
      <c r="N95" s="2353">
        <v>1.0072000000000001</v>
      </c>
    </row>
    <row r="96" spans="1:37">
      <c r="A96" s="3315"/>
      <c r="B96" s="2352">
        <v>4</v>
      </c>
      <c r="C96" s="2353">
        <v>0.96220000000000006</v>
      </c>
      <c r="D96" s="2353">
        <v>0.96220000000000006</v>
      </c>
      <c r="E96" s="2353">
        <v>0.86560000000000004</v>
      </c>
      <c r="F96" s="2353">
        <v>0.86560000000000004</v>
      </c>
      <c r="G96" s="2353">
        <v>0.86560000000000004</v>
      </c>
      <c r="H96" s="2353">
        <v>0.86560000000000004</v>
      </c>
      <c r="I96" s="2353">
        <v>0.86560000000000004</v>
      </c>
      <c r="J96" s="2353">
        <v>0.75249999999999995</v>
      </c>
      <c r="K96" s="2353">
        <v>0.75249999999999995</v>
      </c>
      <c r="L96" s="2353">
        <v>0.75249999999999995</v>
      </c>
      <c r="M96" s="2353">
        <v>0.75249999999999995</v>
      </c>
      <c r="N96" s="2353">
        <v>0.75249999999999995</v>
      </c>
    </row>
    <row r="97" spans="1:14">
      <c r="A97" s="3315"/>
      <c r="B97" s="2352">
        <v>5</v>
      </c>
      <c r="C97" s="2353">
        <v>0.8417</v>
      </c>
      <c r="D97" s="2353">
        <v>0.8417</v>
      </c>
      <c r="E97" s="2353">
        <v>0.73709999999999998</v>
      </c>
      <c r="F97" s="2353">
        <v>0.73709999999999998</v>
      </c>
      <c r="G97" s="2353">
        <v>0.73709999999999998</v>
      </c>
      <c r="H97" s="2353">
        <v>0.73709999999999998</v>
      </c>
      <c r="I97" s="2353">
        <v>0.73709999999999998</v>
      </c>
      <c r="J97" s="2353">
        <v>0.56589999999999996</v>
      </c>
      <c r="K97" s="2353">
        <v>0.56589999999999996</v>
      </c>
      <c r="L97" s="2353">
        <v>0.56589999999999996</v>
      </c>
      <c r="M97" s="2353">
        <v>0.56589999999999996</v>
      </c>
      <c r="N97" s="2353">
        <v>0.56589999999999996</v>
      </c>
    </row>
    <row r="98" spans="1:14">
      <c r="A98" s="3315"/>
      <c r="B98" s="2352">
        <v>6</v>
      </c>
      <c r="C98" s="2353">
        <v>0.76080000000000003</v>
      </c>
      <c r="D98" s="2353">
        <v>0.76080000000000003</v>
      </c>
      <c r="E98" s="2353">
        <v>0.6482</v>
      </c>
      <c r="F98" s="2353">
        <v>0.6482</v>
      </c>
      <c r="G98" s="2353">
        <v>0.6482</v>
      </c>
      <c r="H98" s="2353">
        <v>0.6482</v>
      </c>
      <c r="I98" s="2353">
        <v>0.6482</v>
      </c>
      <c r="J98" s="2353">
        <v>0.45250000000000001</v>
      </c>
      <c r="K98" s="2353">
        <v>0.45250000000000001</v>
      </c>
      <c r="L98" s="2353">
        <v>0.45250000000000001</v>
      </c>
      <c r="M98" s="2353">
        <v>0.45250000000000001</v>
      </c>
      <c r="N98" s="2353">
        <v>0.45250000000000001</v>
      </c>
    </row>
    <row r="99" spans="1:14">
      <c r="A99" s="3315"/>
      <c r="B99" s="2352" t="s">
        <v>2686</v>
      </c>
      <c r="C99" s="2354">
        <f>$I$3</f>
        <v>0</v>
      </c>
      <c r="D99" s="2354">
        <f t="shared" ref="D99:M99" si="30">$I$3</f>
        <v>0</v>
      </c>
      <c r="E99" s="2354">
        <f t="shared" si="30"/>
        <v>0</v>
      </c>
      <c r="F99" s="2354">
        <f t="shared" si="30"/>
        <v>0</v>
      </c>
      <c r="G99" s="2354">
        <f t="shared" si="30"/>
        <v>0</v>
      </c>
      <c r="H99" s="2354">
        <f t="shared" si="30"/>
        <v>0</v>
      </c>
      <c r="I99" s="2354">
        <f t="shared" si="30"/>
        <v>0</v>
      </c>
      <c r="J99" s="2354">
        <f t="shared" si="30"/>
        <v>0</v>
      </c>
      <c r="K99" s="2354">
        <f t="shared" si="30"/>
        <v>0</v>
      </c>
      <c r="L99" s="2354">
        <f t="shared" si="30"/>
        <v>0</v>
      </c>
      <c r="M99" s="2354">
        <f t="shared" si="30"/>
        <v>0</v>
      </c>
      <c r="N99" s="2354">
        <f>$I$3</f>
        <v>0</v>
      </c>
    </row>
    <row r="100" spans="1:14">
      <c r="A100" s="3316"/>
      <c r="B100" s="2352">
        <v>7</v>
      </c>
      <c r="C100" s="2355">
        <f>(-0.163*(C99^2)-0.59*C99+7617)*(10^(-4))</f>
        <v>0.76170000000000004</v>
      </c>
      <c r="D100" s="2355">
        <f>(-0.163*(D99^2)-0.59*D99+7617)*(10^(-4))</f>
        <v>0.76170000000000004</v>
      </c>
      <c r="E100" s="2355">
        <f>(-0.161*(E99^2)-7.509*E99+6533)*(10^(-4))</f>
        <v>0.65329999999999999</v>
      </c>
      <c r="F100" s="2355">
        <f>(-0.161*(F99^2)-7.509*F99+6533)*(10^(-4))</f>
        <v>0.65329999999999999</v>
      </c>
      <c r="G100" s="2355">
        <f>(-0.161*(G99^2)-7.509*G99+6533)*(10^(-4))</f>
        <v>0.65329999999999999</v>
      </c>
      <c r="H100" s="2355">
        <f>(-0.161*(H99^2)-7.509*H99+6533)*(10^(-4))</f>
        <v>0.65329999999999999</v>
      </c>
      <c r="I100" s="2355">
        <f>(-0.161*(I99^2)-7.509*I99+6533)*(10^(-4))</f>
        <v>0.65329999999999999</v>
      </c>
      <c r="J100" s="2355">
        <f>(-0.214*(J99^2)-21.991*J99+4665)*(10^(-4))</f>
        <v>0.46650000000000003</v>
      </c>
      <c r="K100" s="2355">
        <f>(-0.214*(K99^2)-21.991*K99+4665)*(10^(-4))</f>
        <v>0.46650000000000003</v>
      </c>
      <c r="L100" s="2355">
        <f>(-0.214*(L99^2)-21.991*L99+4665)*(10^(-4))</f>
        <v>0.46650000000000003</v>
      </c>
      <c r="M100" s="2355">
        <f>(-0.214*(M99^2)-21.991*M99+4665)*(10^(-4))</f>
        <v>0.46650000000000003</v>
      </c>
      <c r="N100" s="2355">
        <f>(-0.214*(N99^2)-21.991*N99+4665)*(10^(-4))</f>
        <v>0.46650000000000003</v>
      </c>
    </row>
    <row r="101" spans="1:14">
      <c r="A101" s="3314" t="s">
        <v>2805</v>
      </c>
      <c r="B101" s="2356" t="s">
        <v>2806</v>
      </c>
      <c r="C101" s="2357">
        <f>$G$3</f>
        <v>0.56000000000000005</v>
      </c>
      <c r="D101" s="2357">
        <f t="shared" ref="D101:N101" si="31">$G$3</f>
        <v>0.56000000000000005</v>
      </c>
      <c r="E101" s="2357">
        <f t="shared" si="31"/>
        <v>0.56000000000000005</v>
      </c>
      <c r="F101" s="2357">
        <f t="shared" si="31"/>
        <v>0.56000000000000005</v>
      </c>
      <c r="G101" s="2357">
        <f t="shared" si="31"/>
        <v>0.56000000000000005</v>
      </c>
      <c r="H101" s="2357">
        <f t="shared" si="31"/>
        <v>0.56000000000000005</v>
      </c>
      <c r="I101" s="2357">
        <f t="shared" si="31"/>
        <v>0.56000000000000005</v>
      </c>
      <c r="J101" s="2357">
        <f t="shared" si="31"/>
        <v>0.56000000000000005</v>
      </c>
      <c r="K101" s="2357">
        <f t="shared" si="31"/>
        <v>0.56000000000000005</v>
      </c>
      <c r="L101" s="2357">
        <f t="shared" si="31"/>
        <v>0.56000000000000005</v>
      </c>
      <c r="M101" s="2357">
        <f t="shared" si="31"/>
        <v>0.56000000000000005</v>
      </c>
      <c r="N101" s="2357">
        <f t="shared" si="31"/>
        <v>0.56000000000000005</v>
      </c>
    </row>
    <row r="102" spans="1:14">
      <c r="A102" s="3315"/>
      <c r="B102" s="2352">
        <v>1</v>
      </c>
      <c r="C102" s="2353">
        <f>1.9362/C101</f>
        <v>3.4574999999999996</v>
      </c>
      <c r="D102" s="2353">
        <f>1.9362/D101</f>
        <v>3.4574999999999996</v>
      </c>
      <c r="E102" s="2353">
        <f>1.8629/E101</f>
        <v>3.3266071428571427</v>
      </c>
      <c r="F102" s="2353">
        <f>1.8629/F101</f>
        <v>3.3266071428571427</v>
      </c>
      <c r="G102" s="2353">
        <f>1.8629/G101</f>
        <v>3.3266071428571427</v>
      </c>
      <c r="H102" s="2353">
        <f>1.8629/H101</f>
        <v>3.3266071428571427</v>
      </c>
      <c r="I102" s="2353">
        <f>1.8629/I101</f>
        <v>3.3266071428571427</v>
      </c>
      <c r="J102" s="2353">
        <f>1.942/J101</f>
        <v>3.4678571428571425</v>
      </c>
      <c r="K102" s="2353">
        <f>1.942/K101</f>
        <v>3.4678571428571425</v>
      </c>
      <c r="L102" s="2353">
        <f>1.942/L101</f>
        <v>3.4678571428571425</v>
      </c>
      <c r="M102" s="2353">
        <f>1.942/M101</f>
        <v>3.4678571428571425</v>
      </c>
      <c r="N102" s="2353">
        <f>1.942/N101</f>
        <v>3.4678571428571425</v>
      </c>
    </row>
    <row r="103" spans="1:14">
      <c r="A103" s="3315"/>
      <c r="B103" s="2352">
        <v>2</v>
      </c>
      <c r="C103" s="2353">
        <f>1.4198/C101</f>
        <v>2.5353571428571424</v>
      </c>
      <c r="D103" s="2353">
        <f>1.4198/D101</f>
        <v>2.5353571428571424</v>
      </c>
      <c r="E103" s="2353">
        <f>1.3372/E101</f>
        <v>2.3878571428571425</v>
      </c>
      <c r="F103" s="2353">
        <f>1.3372/F101</f>
        <v>2.3878571428571425</v>
      </c>
      <c r="G103" s="2353">
        <f>1.3372/G101</f>
        <v>2.3878571428571425</v>
      </c>
      <c r="H103" s="2353">
        <f>1.3372/H101</f>
        <v>2.3878571428571425</v>
      </c>
      <c r="I103" s="2353">
        <f>1.3372/I101</f>
        <v>2.3878571428571425</v>
      </c>
      <c r="J103" s="2353">
        <f>1.2799/J101</f>
        <v>2.285535714285714</v>
      </c>
      <c r="K103" s="2353">
        <f>1.2799/K101</f>
        <v>2.285535714285714</v>
      </c>
      <c r="L103" s="2353">
        <f>1.2799/L101</f>
        <v>2.285535714285714</v>
      </c>
      <c r="M103" s="2353">
        <f>1.2799/M101</f>
        <v>2.285535714285714</v>
      </c>
      <c r="N103" s="2353">
        <f>1.2799/N101</f>
        <v>2.285535714285714</v>
      </c>
    </row>
    <row r="104" spans="1:14">
      <c r="A104" s="3315"/>
      <c r="B104" s="2352">
        <v>3</v>
      </c>
      <c r="C104" s="2353">
        <f>1.1594/C101</f>
        <v>2.0703571428571426</v>
      </c>
      <c r="D104" s="2353">
        <f>1.1594/D101</f>
        <v>2.0703571428571426</v>
      </c>
      <c r="E104" s="2353">
        <f>1.0788/E101</f>
        <v>1.9264285714285712</v>
      </c>
      <c r="F104" s="2353">
        <f>1.0788/F101</f>
        <v>1.9264285714285712</v>
      </c>
      <c r="G104" s="2353">
        <f>1.0788/G101</f>
        <v>1.9264285714285712</v>
      </c>
      <c r="H104" s="2353">
        <f>1.0788/H101</f>
        <v>1.9264285714285712</v>
      </c>
      <c r="I104" s="2353">
        <f>1.0788/I101</f>
        <v>1.9264285714285712</v>
      </c>
      <c r="J104" s="2353">
        <f>1.0072/J101</f>
        <v>1.7985714285714285</v>
      </c>
      <c r="K104" s="2353">
        <f>1.0072/K101</f>
        <v>1.7985714285714285</v>
      </c>
      <c r="L104" s="2353">
        <f>1.0072/L101</f>
        <v>1.7985714285714285</v>
      </c>
      <c r="M104" s="2353">
        <f>1.0072/M101</f>
        <v>1.7985714285714285</v>
      </c>
      <c r="N104" s="2353">
        <f>1.0072/N101</f>
        <v>1.7985714285714285</v>
      </c>
    </row>
    <row r="105" spans="1:14">
      <c r="A105" s="3315"/>
      <c r="B105" s="2352">
        <v>4</v>
      </c>
      <c r="C105" s="2353">
        <f>0.9622/C101</f>
        <v>1.7182142857142857</v>
      </c>
      <c r="D105" s="2353">
        <f>0.9622/D101</f>
        <v>1.7182142857142857</v>
      </c>
      <c r="E105" s="2353">
        <f>0.8656/E101</f>
        <v>1.5457142857142856</v>
      </c>
      <c r="F105" s="2353">
        <f>0.8656/F101</f>
        <v>1.5457142857142856</v>
      </c>
      <c r="G105" s="2353">
        <f>0.8656/G101</f>
        <v>1.5457142857142856</v>
      </c>
      <c r="H105" s="2353">
        <f>0.8656/H101</f>
        <v>1.5457142857142856</v>
      </c>
      <c r="I105" s="2353">
        <f>0.8656/I101</f>
        <v>1.5457142857142856</v>
      </c>
      <c r="J105" s="2353">
        <f>0.7525/J101</f>
        <v>1.3437499999999998</v>
      </c>
      <c r="K105" s="2353">
        <f>0.7525/K101</f>
        <v>1.3437499999999998</v>
      </c>
      <c r="L105" s="2353">
        <f>0.7525/L101</f>
        <v>1.3437499999999998</v>
      </c>
      <c r="M105" s="2353">
        <f>0.7525/M101</f>
        <v>1.3437499999999998</v>
      </c>
      <c r="N105" s="2353">
        <f>0.7525/N101</f>
        <v>1.3437499999999998</v>
      </c>
    </row>
    <row r="106" spans="1:14">
      <c r="A106" s="3315"/>
      <c r="B106" s="2352">
        <v>5</v>
      </c>
      <c r="C106" s="2353">
        <f>0.8417/C101</f>
        <v>1.5030357142857143</v>
      </c>
      <c r="D106" s="2353">
        <f>0.8417/D101</f>
        <v>1.5030357142857143</v>
      </c>
      <c r="E106" s="2353">
        <f>0.7371/E101</f>
        <v>1.3162499999999999</v>
      </c>
      <c r="F106" s="2353">
        <f>0.7371/F101</f>
        <v>1.3162499999999999</v>
      </c>
      <c r="G106" s="2353">
        <f>0.7371/G101</f>
        <v>1.3162499999999999</v>
      </c>
      <c r="H106" s="2353">
        <f>0.7371/H101</f>
        <v>1.3162499999999999</v>
      </c>
      <c r="I106" s="2353">
        <f>0.7371/I101</f>
        <v>1.3162499999999999</v>
      </c>
      <c r="J106" s="2353">
        <f>0.5659/J101</f>
        <v>1.0105357142857141</v>
      </c>
      <c r="K106" s="2353">
        <f>0.5659/K101</f>
        <v>1.0105357142857141</v>
      </c>
      <c r="L106" s="2353">
        <f>0.5659/L101</f>
        <v>1.0105357142857141</v>
      </c>
      <c r="M106" s="2353">
        <f>0.5659/M101</f>
        <v>1.0105357142857141</v>
      </c>
      <c r="N106" s="2353">
        <f>0.5659/N101</f>
        <v>1.0105357142857141</v>
      </c>
    </row>
    <row r="107" spans="1:14">
      <c r="A107" s="3315"/>
      <c r="B107" s="2352">
        <v>6</v>
      </c>
      <c r="C107" s="2353">
        <f>0.7608/C101</f>
        <v>1.3585714285714285</v>
      </c>
      <c r="D107" s="2353">
        <f>0.7608/D101</f>
        <v>1.3585714285714285</v>
      </c>
      <c r="E107" s="2353">
        <f>0.6482/E101</f>
        <v>1.1575</v>
      </c>
      <c r="F107" s="2353">
        <f>0.6482/F101</f>
        <v>1.1575</v>
      </c>
      <c r="G107" s="2353">
        <f>0.6482/G101</f>
        <v>1.1575</v>
      </c>
      <c r="H107" s="2353">
        <f>0.6482/H101</f>
        <v>1.1575</v>
      </c>
      <c r="I107" s="2353">
        <f>0.6482/I101</f>
        <v>1.1575</v>
      </c>
      <c r="J107" s="2353">
        <f>0.4525/J101</f>
        <v>0.80803571428571419</v>
      </c>
      <c r="K107" s="2353">
        <f>0.4525/K101</f>
        <v>0.80803571428571419</v>
      </c>
      <c r="L107" s="2353">
        <f>0.4525/L101</f>
        <v>0.80803571428571419</v>
      </c>
      <c r="M107" s="2353">
        <f>0.4525/M101</f>
        <v>0.80803571428571419</v>
      </c>
      <c r="N107" s="2353">
        <f>0.4525/N101</f>
        <v>0.80803571428571419</v>
      </c>
    </row>
    <row r="108" spans="1:14">
      <c r="A108" s="3315"/>
      <c r="B108" s="3317" t="s">
        <v>2807</v>
      </c>
      <c r="C108" s="2354">
        <f>C99</f>
        <v>0</v>
      </c>
      <c r="D108" s="2354">
        <f t="shared" ref="D108:N108" si="32">D99</f>
        <v>0</v>
      </c>
      <c r="E108" s="2354">
        <f t="shared" si="32"/>
        <v>0</v>
      </c>
      <c r="F108" s="2354">
        <f t="shared" si="32"/>
        <v>0</v>
      </c>
      <c r="G108" s="2354">
        <f t="shared" si="32"/>
        <v>0</v>
      </c>
      <c r="H108" s="2354">
        <f t="shared" si="32"/>
        <v>0</v>
      </c>
      <c r="I108" s="2354">
        <f t="shared" si="32"/>
        <v>0</v>
      </c>
      <c r="J108" s="2354">
        <f t="shared" si="32"/>
        <v>0</v>
      </c>
      <c r="K108" s="2354">
        <f t="shared" si="32"/>
        <v>0</v>
      </c>
      <c r="L108" s="2354">
        <f t="shared" si="32"/>
        <v>0</v>
      </c>
      <c r="M108" s="2354">
        <f t="shared" si="32"/>
        <v>0</v>
      </c>
      <c r="N108" s="2354">
        <f t="shared" si="32"/>
        <v>0</v>
      </c>
    </row>
    <row r="109" spans="1:14">
      <c r="A109" s="3316"/>
      <c r="B109" s="3318"/>
      <c r="C109" s="2355">
        <f>(-0.163*(C108^2)-0.59*C108+7617)*(10^(-4))/C101</f>
        <v>1.3601785714285715</v>
      </c>
      <c r="D109" s="2355">
        <f>(-0.163*(D108^2)-0.59*D108+7617)*(10^(-4))/D101</f>
        <v>1.3601785714285715</v>
      </c>
      <c r="E109" s="2355">
        <f>(-0.161*(E108^2)-7.509*E108+6533)*(10^(-4))/E101</f>
        <v>1.1666071428571427</v>
      </c>
      <c r="F109" s="2355">
        <f>(-0.161*(F108^2)-7.509*F108+6533)*(10^(-4))/F101</f>
        <v>1.1666071428571427</v>
      </c>
      <c r="G109" s="2355">
        <f>(-0.161*(G108^2)-7.509*G108+6533)*(10^(-4))/G101</f>
        <v>1.1666071428571427</v>
      </c>
      <c r="H109" s="2355">
        <f>(-0.161*(H108^2)-7.509*H108+6533)*(10^(-4))/H101</f>
        <v>1.1666071428571427</v>
      </c>
      <c r="I109" s="2355">
        <f>(-0.161*(I108^2)-7.509*I108+6533)*(10^(-4))/I101</f>
        <v>1.1666071428571427</v>
      </c>
      <c r="J109" s="2355">
        <f>(-0.214*(J108^2)-21.991*J108+4665)*(10^(-4))/J101</f>
        <v>0.83303571428571421</v>
      </c>
      <c r="K109" s="2355">
        <f>(-0.214*(K108^2)-21.991*K108+4665)*(10^(-4))/K101</f>
        <v>0.83303571428571421</v>
      </c>
      <c r="L109" s="2355">
        <f>(-0.214*(L108^2)-21.991*L108+4665)*(10^(-4))/L101</f>
        <v>0.83303571428571421</v>
      </c>
      <c r="M109" s="2355">
        <f>(-0.214*(M108^2)-21.991*M108+4665)*(10^(-4))/M101</f>
        <v>0.83303571428571421</v>
      </c>
      <c r="N109" s="2355">
        <f>(-0.214*(N108^2)-21.991*N108+4665)*(10^(-4))/N101</f>
        <v>0.83303571428571421</v>
      </c>
    </row>
    <row r="110" spans="1:14">
      <c r="A110" s="3312" t="s">
        <v>2808</v>
      </c>
      <c r="B110" s="3312"/>
      <c r="C110" s="3312"/>
      <c r="D110" s="3312"/>
      <c r="E110" s="3312"/>
      <c r="F110" s="3312"/>
      <c r="G110" s="3312"/>
      <c r="H110" s="3312"/>
      <c r="I110" s="3312"/>
      <c r="J110" s="3312"/>
      <c r="K110" s="2358"/>
      <c r="L110" s="2358"/>
      <c r="M110" s="2358"/>
      <c r="N110" s="2358"/>
    </row>
    <row r="112" spans="1:14" ht="13.8" thickBot="1"/>
    <row r="113" spans="1:13" ht="25.8" thickBot="1">
      <c r="A113" s="846" t="s">
        <v>2809</v>
      </c>
      <c r="B113" s="1201">
        <f>G3</f>
        <v>0.56000000000000005</v>
      </c>
      <c r="C113" s="847" t="s">
        <v>2810</v>
      </c>
      <c r="D113" s="848">
        <f>SUMPRODUCT((A115:A118=F113)*(B114:M114=H113)*B115:M118)</f>
        <v>0.62309999999999999</v>
      </c>
      <c r="E113" s="2194" t="s">
        <v>2643</v>
      </c>
      <c r="F113" s="2360" t="str">
        <f>E2</f>
        <v>工业</v>
      </c>
      <c r="G113" s="2194" t="s">
        <v>2644</v>
      </c>
      <c r="H113" s="2360" t="str">
        <f>G2</f>
        <v>七级</v>
      </c>
      <c r="I113" s="2194"/>
      <c r="J113" s="2361"/>
      <c r="K113" s="2361"/>
      <c r="L113" s="2361"/>
      <c r="M113" s="2361"/>
    </row>
    <row r="114" spans="1:13">
      <c r="A114" s="851"/>
      <c r="B114" s="2362" t="s">
        <v>2811</v>
      </c>
      <c r="C114" s="2362" t="s">
        <v>2812</v>
      </c>
      <c r="D114" s="2362" t="s">
        <v>2813</v>
      </c>
      <c r="E114" s="2363" t="s">
        <v>2814</v>
      </c>
      <c r="F114" s="2363" t="s">
        <v>2815</v>
      </c>
      <c r="G114" s="2363" t="s">
        <v>2816</v>
      </c>
      <c r="H114" s="2364" t="s">
        <v>2817</v>
      </c>
      <c r="I114" s="2364" t="s">
        <v>2818</v>
      </c>
      <c r="J114" s="2365" t="s">
        <v>2819</v>
      </c>
      <c r="K114" s="2365" t="s">
        <v>2820</v>
      </c>
      <c r="L114" s="2365" t="s">
        <v>2821</v>
      </c>
      <c r="M114" s="2366" t="s">
        <v>2822</v>
      </c>
    </row>
    <row r="115" spans="1:13">
      <c r="A115" s="852" t="s">
        <v>2708</v>
      </c>
      <c r="B115" s="853">
        <f>ROUND(0.9335-0.0094*B113,4)</f>
        <v>0.92820000000000003</v>
      </c>
      <c r="C115" s="853">
        <f>B115</f>
        <v>0.92820000000000003</v>
      </c>
      <c r="D115" s="853">
        <f>ROUND(0.8331-0.0109*B113,4)</f>
        <v>0.82699999999999996</v>
      </c>
      <c r="E115" s="853">
        <f>D115</f>
        <v>0.82699999999999996</v>
      </c>
      <c r="F115" s="853">
        <f>E115</f>
        <v>0.82699999999999996</v>
      </c>
      <c r="G115" s="853">
        <f>F115</f>
        <v>0.82699999999999996</v>
      </c>
      <c r="H115" s="853">
        <f>G115</f>
        <v>0.82699999999999996</v>
      </c>
      <c r="I115" s="853">
        <f>ROUND(0.689-0.0155*B113,4)</f>
        <v>0.68030000000000002</v>
      </c>
      <c r="J115" s="853">
        <f t="shared" ref="J115:M118" si="33">I115</f>
        <v>0.68030000000000002</v>
      </c>
      <c r="K115" s="853">
        <f t="shared" si="33"/>
        <v>0.68030000000000002</v>
      </c>
      <c r="L115" s="853">
        <f t="shared" si="33"/>
        <v>0.68030000000000002</v>
      </c>
      <c r="M115" s="854">
        <f t="shared" si="33"/>
        <v>0.68030000000000002</v>
      </c>
    </row>
    <row r="116" spans="1:13">
      <c r="A116" s="852" t="s">
        <v>2709</v>
      </c>
      <c r="B116" s="853">
        <f>ROUND(0.949-0.012*B113,4)</f>
        <v>0.94230000000000003</v>
      </c>
      <c r="C116" s="853">
        <f>B116</f>
        <v>0.94230000000000003</v>
      </c>
      <c r="D116" s="853">
        <f>ROUND(0.8567-0.013*B113,4)</f>
        <v>0.84940000000000004</v>
      </c>
      <c r="E116" s="853">
        <f t="shared" ref="E116:H117" si="34">D116</f>
        <v>0.84940000000000004</v>
      </c>
      <c r="F116" s="853">
        <f t="shared" si="34"/>
        <v>0.84940000000000004</v>
      </c>
      <c r="G116" s="853">
        <f t="shared" si="34"/>
        <v>0.84940000000000004</v>
      </c>
      <c r="H116" s="853">
        <f t="shared" si="34"/>
        <v>0.84940000000000004</v>
      </c>
      <c r="I116" s="853">
        <f>ROUND(0.7694-0.014*B113,4)</f>
        <v>0.76160000000000005</v>
      </c>
      <c r="J116" s="853">
        <f t="shared" si="33"/>
        <v>0.76160000000000005</v>
      </c>
      <c r="K116" s="853">
        <f t="shared" si="33"/>
        <v>0.76160000000000005</v>
      </c>
      <c r="L116" s="853">
        <f t="shared" si="33"/>
        <v>0.76160000000000005</v>
      </c>
      <c r="M116" s="854">
        <f t="shared" si="33"/>
        <v>0.76160000000000005</v>
      </c>
    </row>
    <row r="117" spans="1:13">
      <c r="A117" s="852" t="s">
        <v>2710</v>
      </c>
      <c r="B117" s="853">
        <f>ROUND(0.8808-0.006*B113,4)</f>
        <v>0.87739999999999996</v>
      </c>
      <c r="C117" s="853">
        <f>B117</f>
        <v>0.87739999999999996</v>
      </c>
      <c r="D117" s="853">
        <f>ROUND(0.8748-0.008*B113,4)</f>
        <v>0.87029999999999996</v>
      </c>
      <c r="E117" s="853">
        <f t="shared" si="34"/>
        <v>0.87029999999999996</v>
      </c>
      <c r="F117" s="853">
        <f t="shared" si="34"/>
        <v>0.87029999999999996</v>
      </c>
      <c r="G117" s="853">
        <f t="shared" si="34"/>
        <v>0.87029999999999996</v>
      </c>
      <c r="H117" s="853">
        <f t="shared" si="34"/>
        <v>0.87029999999999996</v>
      </c>
      <c r="I117" s="853">
        <f>ROUND(0.7412-0.0095*B113,4)</f>
        <v>0.7359</v>
      </c>
      <c r="J117" s="853">
        <f t="shared" si="33"/>
        <v>0.7359</v>
      </c>
      <c r="K117" s="853">
        <f t="shared" si="33"/>
        <v>0.7359</v>
      </c>
      <c r="L117" s="853">
        <f t="shared" si="33"/>
        <v>0.7359</v>
      </c>
      <c r="M117" s="854">
        <f t="shared" si="33"/>
        <v>0.7359</v>
      </c>
    </row>
    <row r="118" spans="1:13" ht="13.8" thickBot="1">
      <c r="A118" s="674" t="s">
        <v>2711</v>
      </c>
      <c r="B118" s="855">
        <f>ROUND(0.7275-0.01*B113,4)</f>
        <v>0.72189999999999999</v>
      </c>
      <c r="C118" s="855">
        <f>B118</f>
        <v>0.72189999999999999</v>
      </c>
      <c r="D118" s="855">
        <f>ROUND(0.7043-0.012*B113,4)</f>
        <v>0.6976</v>
      </c>
      <c r="E118" s="855">
        <f>D118</f>
        <v>0.6976</v>
      </c>
      <c r="F118" s="855">
        <f>E118</f>
        <v>0.6976</v>
      </c>
      <c r="G118" s="855">
        <f>ROUND(0.6299-0.0122*B113,4)</f>
        <v>0.62309999999999999</v>
      </c>
      <c r="H118" s="855">
        <f>G118</f>
        <v>0.62309999999999999</v>
      </c>
      <c r="I118" s="855">
        <f>ROUND(0.5667-0.0136*B113,4)</f>
        <v>0.55910000000000004</v>
      </c>
      <c r="J118" s="855">
        <f t="shared" si="33"/>
        <v>0.55910000000000004</v>
      </c>
      <c r="K118" s="855">
        <f t="shared" si="33"/>
        <v>0.55910000000000004</v>
      </c>
      <c r="L118" s="855">
        <f t="shared" si="33"/>
        <v>0.55910000000000004</v>
      </c>
      <c r="M118" s="856">
        <f t="shared" si="33"/>
        <v>0.55910000000000004</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156" priority="5" stopIfTrue="1" operator="notEqual">
      <formula>"——"</formula>
    </cfRule>
  </conditionalFormatting>
  <conditionalFormatting sqref="F59">
    <cfRule type="cellIs" dxfId="155" priority="4" stopIfTrue="1" operator="notEqual">
      <formula>"——"</formula>
    </cfRule>
  </conditionalFormatting>
  <conditionalFormatting sqref="F70">
    <cfRule type="cellIs" dxfId="154" priority="3" stopIfTrue="1" operator="notEqual">
      <formula>"——"</formula>
    </cfRule>
  </conditionalFormatting>
  <conditionalFormatting sqref="F81">
    <cfRule type="cellIs" dxfId="153" priority="2" stopIfTrue="1" operator="notEqual">
      <formula>"——"</formula>
    </cfRule>
  </conditionalFormatting>
  <conditionalFormatting sqref="H48:H56 H59:H67 H70:H78 H81:H88">
    <cfRule type="cellIs" dxfId="15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C33" sqref="C33"/>
    </sheetView>
  </sheetViews>
  <sheetFormatPr defaultColWidth="9" defaultRowHeight="13.2"/>
  <cols>
    <col min="1" max="1" width="9" style="268" customWidth="1"/>
    <col min="2" max="2" width="20.6640625" style="667" customWidth="1"/>
    <col min="3" max="3" width="11.88671875" style="667" customWidth="1"/>
    <col min="4" max="4" width="40.44140625" style="268" customWidth="1"/>
    <col min="5" max="5" width="15.77734375" style="268" customWidth="1"/>
    <col min="6" max="6" width="10.6640625" style="268" customWidth="1"/>
    <col min="7" max="7" width="4.88671875" style="268" customWidth="1"/>
    <col min="8" max="8" width="8.44140625" style="268" customWidth="1"/>
    <col min="9" max="9" width="21.21875" style="268" customWidth="1"/>
    <col min="10" max="10" width="12.21875" style="268" customWidth="1"/>
    <col min="11" max="11" width="45.109375" style="1658" customWidth="1"/>
    <col min="12" max="12" width="16.33203125" style="268" customWidth="1"/>
    <col min="13" max="13" width="13" style="268" customWidth="1"/>
    <col min="14" max="14" width="13.77734375" style="1574" customWidth="1"/>
    <col min="15" max="15" width="5.109375" style="1574" customWidth="1"/>
    <col min="16" max="16" width="25.77734375" style="1574" customWidth="1"/>
    <col min="17" max="17" width="13.77734375" style="1574" customWidth="1"/>
    <col min="18" max="18" width="20.44140625" style="1574" customWidth="1"/>
    <col min="19" max="19" width="13.21875" style="1574" customWidth="1"/>
    <col min="20" max="37" width="9" style="1574"/>
    <col min="38" max="16384" width="9" style="268"/>
  </cols>
  <sheetData>
    <row r="1" spans="1:37" s="303" customFormat="1" ht="21.6">
      <c r="A1" s="1565" t="s">
        <v>1554</v>
      </c>
      <c r="B1" s="726"/>
      <c r="C1" s="1569" t="s">
        <v>3193</v>
      </c>
      <c r="D1" s="1552" t="s">
        <v>70</v>
      </c>
      <c r="E1" s="1553" t="s">
        <v>1352</v>
      </c>
      <c r="F1" s="1197">
        <f ca="1">J53</f>
        <v>30.94</v>
      </c>
      <c r="G1" s="1568">
        <f>MATCH(C1,'数据-取费表'!A6:A16,0)+5</f>
        <v>6</v>
      </c>
      <c r="H1" s="2924"/>
      <c r="I1" s="2925"/>
      <c r="J1" s="2925"/>
      <c r="K1" s="2926"/>
      <c r="L1" s="2925"/>
      <c r="M1" s="2925"/>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1480</v>
      </c>
      <c r="B2" s="1576">
        <f ca="1">C40+J29+L46</f>
        <v>14063</v>
      </c>
      <c r="C2" s="1577" t="s">
        <v>1481</v>
      </c>
      <c r="D2" s="1577"/>
      <c r="E2" s="1578"/>
      <c r="F2" s="1579"/>
      <c r="G2" s="2938"/>
      <c r="H2" s="2927"/>
      <c r="I2" s="2927"/>
      <c r="J2" s="2927"/>
      <c r="K2" s="2928"/>
      <c r="L2" s="2927"/>
      <c r="M2" s="2927"/>
    </row>
    <row r="3" spans="1:37" ht="18" customHeight="1" thickBot="1">
      <c r="A3" s="1580" t="s">
        <v>1482</v>
      </c>
      <c r="B3" s="1581">
        <f ca="1">IF(ISERROR(B2*10000/F43),0,ROUND(B2*10000/F43,0))</f>
        <v>16276</v>
      </c>
      <c r="C3" s="1577" t="s">
        <v>1483</v>
      </c>
      <c r="D3" s="1577"/>
      <c r="E3" s="1578"/>
      <c r="F3" s="1579"/>
      <c r="G3" s="2938"/>
      <c r="H3" s="696" t="s">
        <v>1553</v>
      </c>
      <c r="I3" s="1572"/>
      <c r="J3" s="1572"/>
      <c r="K3" s="1573"/>
      <c r="L3" s="1572"/>
      <c r="M3" s="1572"/>
    </row>
    <row r="4" spans="1:37" ht="18" customHeight="1">
      <c r="A4" s="305" t="s">
        <v>1361</v>
      </c>
      <c r="B4" s="306" t="s">
        <v>1362</v>
      </c>
      <c r="C4" s="306" t="s">
        <v>1363</v>
      </c>
      <c r="D4" s="306" t="s">
        <v>1364</v>
      </c>
      <c r="E4" s="307" t="s">
        <v>1365</v>
      </c>
      <c r="F4" s="308"/>
      <c r="G4" s="1574"/>
      <c r="H4" s="305" t="s">
        <v>1361</v>
      </c>
      <c r="I4" s="306" t="s">
        <v>1362</v>
      </c>
      <c r="J4" s="306" t="s">
        <v>1363</v>
      </c>
      <c r="K4" s="306" t="s">
        <v>1364</v>
      </c>
      <c r="L4" s="307" t="s">
        <v>1365</v>
      </c>
      <c r="M4" s="308"/>
    </row>
    <row r="5" spans="1:37" ht="18" customHeight="1">
      <c r="A5" s="309">
        <v>1</v>
      </c>
      <c r="B5" s="310" t="s">
        <v>1366</v>
      </c>
      <c r="C5" s="1206">
        <f ca="1">C6+C10+C12</f>
        <v>813</v>
      </c>
      <c r="D5" s="1554" t="s">
        <v>1367</v>
      </c>
      <c r="E5" s="1207"/>
      <c r="F5" s="1208"/>
      <c r="G5" s="1574"/>
      <c r="H5" s="309">
        <v>1</v>
      </c>
      <c r="I5" s="310" t="s">
        <v>1366</v>
      </c>
      <c r="J5" s="1206">
        <f ca="1">J6+J10+J12</f>
        <v>0</v>
      </c>
      <c r="K5" s="1554" t="s">
        <v>1367</v>
      </c>
      <c r="L5" s="1207"/>
      <c r="M5" s="1208"/>
    </row>
    <row r="6" spans="1:37" ht="18" customHeight="1">
      <c r="A6" s="1205" t="s">
        <v>1003</v>
      </c>
      <c r="B6" s="3336" t="s">
        <v>1368</v>
      </c>
      <c r="C6" s="1210">
        <f ca="1">ROUND(F6*F8*F7*(1-F9)/10000,0)</f>
        <v>812</v>
      </c>
      <c r="D6" s="164" t="s">
        <v>2859</v>
      </c>
      <c r="E6" s="312" t="s">
        <v>1370</v>
      </c>
      <c r="F6" s="313">
        <f ca="1">INDIRECT("'数据-取费表'!u"&amp;$G$1)</f>
        <v>2.8</v>
      </c>
      <c r="G6" s="1574"/>
      <c r="H6" s="1205" t="s">
        <v>1003</v>
      </c>
      <c r="I6" s="3336" t="s">
        <v>1368</v>
      </c>
      <c r="J6" s="311">
        <f ca="1">ROUND(M6*M8*M7*(1-M9)/10000,0)</f>
        <v>0</v>
      </c>
      <c r="K6" s="164" t="s">
        <v>2858</v>
      </c>
      <c r="L6" s="312" t="s">
        <v>1370</v>
      </c>
      <c r="M6" s="313">
        <f ca="1">INDIRECT("'数据-取费表'!z"&amp;$G$1)</f>
        <v>0</v>
      </c>
    </row>
    <row r="7" spans="1:37" ht="18" customHeight="1">
      <c r="A7" s="1209"/>
      <c r="B7" s="3337"/>
      <c r="C7" s="1211"/>
      <c r="D7" s="317"/>
      <c r="E7" s="1212" t="s">
        <v>1371</v>
      </c>
      <c r="F7" s="313">
        <f ca="1">IF(INDIRECT("'数据-取费表'!ah"&amp;$G$1)="",INDIRECT("'数据-取费表'!k"&amp;$G$1),INDIRECT("'数据-取费表'!ah"&amp;$G$1))</f>
        <v>8640.14</v>
      </c>
      <c r="G7" s="1574"/>
      <c r="H7" s="314"/>
      <c r="I7" s="3337"/>
      <c r="J7" s="316"/>
      <c r="K7" s="317"/>
      <c r="L7" s="312" t="s">
        <v>1371</v>
      </c>
      <c r="M7" s="313">
        <f ca="1">F7</f>
        <v>8640.14</v>
      </c>
    </row>
    <row r="8" spans="1:37" ht="18" customHeight="1">
      <c r="A8" s="314"/>
      <c r="B8" s="3337"/>
      <c r="C8" s="316"/>
      <c r="D8" s="317"/>
      <c r="E8" s="312" t="s">
        <v>1372</v>
      </c>
      <c r="F8" s="313">
        <f ca="1">INDIRECT("'数据-取费表'!ai"&amp;$G$1)</f>
        <v>365</v>
      </c>
      <c r="G8" s="1574"/>
      <c r="H8" s="314"/>
      <c r="I8" s="3337"/>
      <c r="J8" s="316"/>
      <c r="K8" s="317"/>
      <c r="L8" s="312" t="s">
        <v>1372</v>
      </c>
      <c r="M8" s="313">
        <f ca="1">INDIRECT("'数据-取费表'!ai"&amp;$G$1)</f>
        <v>365</v>
      </c>
    </row>
    <row r="9" spans="1:37" ht="18" customHeight="1">
      <c r="A9" s="314"/>
      <c r="B9" s="3338"/>
      <c r="C9" s="316"/>
      <c r="D9" s="317"/>
      <c r="E9" s="312" t="s">
        <v>1373</v>
      </c>
      <c r="F9" s="322">
        <f ca="1">INDIRECT("'数据-取费表'!w"&amp;$G$1)</f>
        <v>0.08</v>
      </c>
      <c r="G9" s="1574"/>
      <c r="H9" s="314"/>
      <c r="I9" s="3338"/>
      <c r="J9" s="316"/>
      <c r="K9" s="317"/>
      <c r="L9" s="323" t="s">
        <v>1373</v>
      </c>
      <c r="M9" s="324">
        <f ca="1">INDIRECT("'数据-取费表'!ab"&amp;$G$1)</f>
        <v>0</v>
      </c>
    </row>
    <row r="10" spans="1:37" ht="18" customHeight="1">
      <c r="A10" s="1205" t="s">
        <v>1007</v>
      </c>
      <c r="B10" s="1555" t="s">
        <v>1374</v>
      </c>
      <c r="C10" s="326">
        <f ca="1">ROUND(IF(F10="押一",C6/12*F11,IF(F10="押二",C6/12*2*F11,IF(F10="押三",C6/12*3*F11,C11*F11))),0)</f>
        <v>1</v>
      </c>
      <c r="D10" s="1556" t="s">
        <v>2867</v>
      </c>
      <c r="E10" s="323" t="s">
        <v>1375</v>
      </c>
      <c r="F10" s="1280" t="s">
        <v>3194</v>
      </c>
      <c r="G10" s="1574"/>
      <c r="H10" s="1205" t="s">
        <v>1007</v>
      </c>
      <c r="I10" s="1555" t="s">
        <v>1374</v>
      </c>
      <c r="J10" s="311">
        <f ca="1">ROUND(IF(M10="押一",J6/12*M11,IF(M10="押二",J6/12*2*M11,IF(M10="押三",J6/12*3*M11,J11*M11))),0)</f>
        <v>0</v>
      </c>
      <c r="K10" s="1556" t="s">
        <v>2866</v>
      </c>
      <c r="L10" s="323" t="s">
        <v>1375</v>
      </c>
      <c r="M10" s="1280" t="s">
        <v>1376</v>
      </c>
    </row>
    <row r="11" spans="1:37" ht="18" customHeight="1">
      <c r="A11" s="318"/>
      <c r="B11" s="1557" t="s">
        <v>1353</v>
      </c>
      <c r="C11" s="1094"/>
      <c r="D11" s="1558"/>
      <c r="E11" s="323" t="s">
        <v>1377</v>
      </c>
      <c r="F11" s="324">
        <f ca="1">'数据-取费表'!B39</f>
        <v>1.4999999999999999E-2</v>
      </c>
      <c r="G11" s="1574"/>
      <c r="H11" s="1213"/>
      <c r="I11" s="1557" t="s">
        <v>1353</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3338</v>
      </c>
      <c r="D13" s="1245" t="s">
        <v>1380</v>
      </c>
      <c r="E13" s="1245" t="s">
        <v>1381</v>
      </c>
      <c r="F13" s="1246">
        <f ca="1">INDIRECT("'数据-取费表'!y"&amp;$G$1)</f>
        <v>0.8</v>
      </c>
      <c r="G13" s="1574"/>
      <c r="H13" s="1243">
        <v>2</v>
      </c>
      <c r="I13" s="1244" t="s">
        <v>1379</v>
      </c>
      <c r="J13" s="1204">
        <f ca="1">ROUND(J14*J15,0)</f>
        <v>0</v>
      </c>
      <c r="K13" s="1251" t="s">
        <v>1380</v>
      </c>
      <c r="L13" s="1582"/>
      <c r="M13" s="1583"/>
    </row>
    <row r="14" spans="1:37" ht="18" customHeight="1">
      <c r="A14" s="1117" t="s">
        <v>1002</v>
      </c>
      <c r="B14" s="312" t="s">
        <v>1382</v>
      </c>
      <c r="C14" s="328">
        <f ca="1">INDIRECT("'数据-取费表'!m"&amp;$G$1)+INDIRECT("'数据-取费表'!t"&amp;$G$1)</f>
        <v>3024</v>
      </c>
      <c r="D14" s="1535" t="s">
        <v>1383</v>
      </c>
      <c r="E14" s="1532"/>
      <c r="F14" s="329"/>
      <c r="G14" s="1574"/>
      <c r="H14" s="1117" t="s">
        <v>1003</v>
      </c>
      <c r="I14" s="312" t="s">
        <v>1384</v>
      </c>
      <c r="J14" s="24">
        <f ca="1">C29</f>
        <v>4173</v>
      </c>
      <c r="K14" s="15"/>
      <c r="L14" s="920"/>
      <c r="M14" s="921"/>
    </row>
    <row r="15" spans="1:37" s="1587" customFormat="1" ht="18" customHeight="1" thickBot="1">
      <c r="A15" s="1117" t="s">
        <v>1004</v>
      </c>
      <c r="B15" s="312" t="s">
        <v>1385</v>
      </c>
      <c r="C15" s="24">
        <f ca="1">ROUND(C14*F15,0)</f>
        <v>91</v>
      </c>
      <c r="D15" s="330" t="s">
        <v>1386</v>
      </c>
      <c r="E15" s="330" t="s">
        <v>1387</v>
      </c>
      <c r="F15" s="331">
        <f>'数据-取费表'!B33</f>
        <v>0.03</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ROUND(INDIRECT("'数据-取费表'!m"&amp;$G$1)*F16,0)</f>
        <v>0</v>
      </c>
      <c r="D16" s="312" t="s">
        <v>1386</v>
      </c>
      <c r="E16" s="312" t="s">
        <v>1387</v>
      </c>
      <c r="F16" s="332">
        <f ca="1">IF(INDIRECT("'数据-取费表'!c"&amp;$G$1)="住宅",'数据-取费表'!B34,0)</f>
        <v>0</v>
      </c>
      <c r="G16" s="1574"/>
      <c r="H16" s="1243" t="s">
        <v>998</v>
      </c>
      <c r="I16" s="1244" t="s">
        <v>1389</v>
      </c>
      <c r="J16" s="320">
        <f ca="1">ROUND(J17+J22+J23+J24,0)</f>
        <v>90</v>
      </c>
      <c r="K16" s="1251" t="s">
        <v>1390</v>
      </c>
      <c r="L16" s="1252"/>
      <c r="M16" s="1208"/>
    </row>
    <row r="17" spans="1:37" s="1587" customFormat="1" ht="18" customHeight="1">
      <c r="A17" s="1117" t="s">
        <v>1355</v>
      </c>
      <c r="B17" s="312" t="s">
        <v>1391</v>
      </c>
      <c r="C17" s="24">
        <f ca="1">ROUND(F17*(F43+INDIRECT("'数据-取费表'!S"&amp;$G$1))/10000,0)</f>
        <v>173</v>
      </c>
      <c r="D17" s="312" t="s">
        <v>1392</v>
      </c>
      <c r="E17" s="312" t="s">
        <v>1393</v>
      </c>
      <c r="F17" s="26">
        <f>'数据-取费表'!B35</f>
        <v>200</v>
      </c>
      <c r="G17" s="1586"/>
      <c r="H17" s="1117" t="s">
        <v>1003</v>
      </c>
      <c r="I17" s="312" t="s">
        <v>1394</v>
      </c>
      <c r="J17" s="2540">
        <f ca="1">ROUND(IF(AND(项目基本情况!B11="自然人",项目基本情况!B10="北京市"),J6*M17/(1+'数据-取费表'!F30),J18+J19+J20),0)</f>
        <v>40</v>
      </c>
      <c r="K17" s="1535" t="s">
        <v>1395</v>
      </c>
      <c r="L17" s="1534" t="s">
        <v>1396</v>
      </c>
      <c r="M17" s="2539"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45</v>
      </c>
      <c r="D18" s="312" t="s">
        <v>1386</v>
      </c>
      <c r="E18" s="312" t="s">
        <v>1387</v>
      </c>
      <c r="F18" s="332">
        <f>'数据-取费表'!B36</f>
        <v>1.4999999999999999E-2</v>
      </c>
      <c r="G18" s="1586"/>
      <c r="H18" s="1117" t="s">
        <v>1002</v>
      </c>
      <c r="I18" s="312" t="s">
        <v>1398</v>
      </c>
      <c r="J18" s="24">
        <f ca="1">ROUND(J6*M18/(1+'数据-取费表'!C42),2)</f>
        <v>0</v>
      </c>
      <c r="K18" s="1534" t="s">
        <v>1399</v>
      </c>
      <c r="L18" s="312" t="s">
        <v>1387</v>
      </c>
      <c r="M18" s="332">
        <f>'数据-取费表'!B41</f>
        <v>5.5000000000000007E-2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3333</v>
      </c>
      <c r="D19" s="140" t="s">
        <v>1401</v>
      </c>
      <c r="E19" s="1550"/>
      <c r="F19" s="26"/>
      <c r="G19" s="1574"/>
      <c r="H19" s="1117" t="s">
        <v>1004</v>
      </c>
      <c r="I19" s="312" t="s">
        <v>1402</v>
      </c>
      <c r="J19" s="24">
        <f ca="1">IF(K19="按租金收入计税",ROUND(J6*M19/(1+'数据-取费表'!C42),2),ROUND(C29*M19*0.7,2))</f>
        <v>35.049999999999997</v>
      </c>
      <c r="K19" s="1560" t="s">
        <v>1403</v>
      </c>
      <c r="L19" s="312" t="s">
        <v>1387</v>
      </c>
      <c r="M19" s="332">
        <f>IF(K19="按租金收入计税",'数据-取费表'!B51,'数据-取费表'!B50)</f>
        <v>1.2E-2</v>
      </c>
    </row>
    <row r="20" spans="1:37" s="1587" customFormat="1" ht="18" customHeight="1">
      <c r="A20" s="1117" t="s">
        <v>1007</v>
      </c>
      <c r="B20" s="312" t="s">
        <v>1404</v>
      </c>
      <c r="C20" s="24">
        <f ca="1">ROUND(C19*F20,0)</f>
        <v>67</v>
      </c>
      <c r="D20" s="333" t="s">
        <v>1405</v>
      </c>
      <c r="E20" s="312" t="s">
        <v>1387</v>
      </c>
      <c r="F20" s="332">
        <f>'数据-取费表'!B37</f>
        <v>0.02</v>
      </c>
      <c r="G20" s="1586"/>
      <c r="H20" s="1117" t="s">
        <v>1354</v>
      </c>
      <c r="I20" s="164" t="s">
        <v>1406</v>
      </c>
      <c r="J20" s="25">
        <f ca="1">ROUND(M20*M21/10000,2)</f>
        <v>4.6399999999999997</v>
      </c>
      <c r="K20" s="334" t="s">
        <v>1407</v>
      </c>
      <c r="L20" s="312" t="s">
        <v>1408</v>
      </c>
      <c r="M20" s="335">
        <f>'数据-取费表'!B52</f>
        <v>3</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18</v>
      </c>
      <c r="D21" s="333" t="s">
        <v>1410</v>
      </c>
      <c r="E21" s="312" t="s">
        <v>1411</v>
      </c>
      <c r="F21" s="332">
        <f>'数据-取费表'!B38</f>
        <v>0.02</v>
      </c>
      <c r="G21" s="1586"/>
      <c r="H21" s="336"/>
      <c r="I21" s="321"/>
      <c r="J21" s="29"/>
      <c r="K21" s="337"/>
      <c r="L21" s="312" t="s">
        <v>1412</v>
      </c>
      <c r="M21" s="313">
        <f ca="1">INDIRECT("'数据-取费表'!r"&amp;$G$1)</f>
        <v>15462.6</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ROUND(J14*M22,1)</f>
        <v>50.1</v>
      </c>
      <c r="K22" s="1534" t="s">
        <v>1415</v>
      </c>
      <c r="L22" s="312" t="s">
        <v>1387</v>
      </c>
      <c r="M22" s="338">
        <f ca="1">INDIRECT("'数据-取费表'!Ak"&amp;$G$1)</f>
        <v>1.2E-2</v>
      </c>
    </row>
    <row r="23" spans="1:37" s="1587" customFormat="1" ht="18" customHeight="1">
      <c r="A23" s="1117" t="s">
        <v>1002</v>
      </c>
      <c r="B23" s="312" t="s">
        <v>1416</v>
      </c>
      <c r="C23" s="24">
        <f ca="1">IF('数据-取费表'!B22&lt;=1,ROUND(C19*F24*F23/2,0)+ROUND(C20*F24*F23/2,0),ROUND(C19*(POWER((1+F24),F23/2)-1),0)+ROUND(C20*(POWER((1+F24),F23/2)-1),0))</f>
        <v>120</v>
      </c>
      <c r="D23" s="339" t="str">
        <f>IF(F23&lt;=1,"(建造成本+管理费用)×利率×(建设周期÷2)","(建造成本+管理费用)×((1+利率)^(建设周期÷2)-1)")</f>
        <v>(建造成本+管理费用)×((1+利率)^(建设周期÷2)-1)</v>
      </c>
      <c r="E23" s="312" t="s">
        <v>1417</v>
      </c>
      <c r="F23" s="335">
        <f>'数据-取费表'!B20</f>
        <v>1.5</v>
      </c>
      <c r="G23" s="1586"/>
      <c r="H23" s="1117" t="s">
        <v>1043</v>
      </c>
      <c r="I23" s="312" t="s">
        <v>1418</v>
      </c>
      <c r="J23" s="24">
        <f ca="1">ROUND(J13*M23,1)</f>
        <v>0</v>
      </c>
      <c r="K23" s="1534" t="s">
        <v>1419</v>
      </c>
      <c r="L23" s="312" t="s">
        <v>1420</v>
      </c>
      <c r="M23" s="340">
        <f ca="1">INDIRECT("'数据-取费表'!Al"&amp;$G$1)</f>
        <v>1E-3</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6.9999999999999999E-4</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ROUND(J5*M24,1)</f>
        <v>0</v>
      </c>
      <c r="K24" s="1256" t="s">
        <v>1424</v>
      </c>
      <c r="L24" s="1254" t="s">
        <v>1420</v>
      </c>
      <c r="M24" s="1250">
        <f ca="1">INDIRECT("'数据-取费表'!Am"&amp;$G$1)</f>
        <v>0.01</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24" customHeight="1" thickTop="1">
      <c r="A25" s="1117" t="s">
        <v>1425</v>
      </c>
      <c r="B25" s="312" t="s">
        <v>1426</v>
      </c>
      <c r="C25" s="24"/>
      <c r="D25" s="140" t="s">
        <v>1427</v>
      </c>
      <c r="E25" s="1550"/>
      <c r="F25" s="26"/>
      <c r="G25" s="1574"/>
      <c r="H25" s="1243" t="s">
        <v>999</v>
      </c>
      <c r="I25" s="1258" t="s">
        <v>1428</v>
      </c>
      <c r="J25" s="320">
        <f ca="1">J5-J16</f>
        <v>-90</v>
      </c>
      <c r="K25" s="1259" t="s">
        <v>1429</v>
      </c>
      <c r="L25" s="1260"/>
      <c r="M25" s="1261"/>
    </row>
    <row r="26" spans="1:37">
      <c r="A26" s="1117" t="s">
        <v>1002</v>
      </c>
      <c r="B26" s="312" t="s">
        <v>1430</v>
      </c>
      <c r="C26" s="24">
        <f ca="1">ROUND((C19+C20)*F26,0)</f>
        <v>340</v>
      </c>
      <c r="D26" s="333" t="s">
        <v>1431</v>
      </c>
      <c r="E26" s="323" t="s">
        <v>1432</v>
      </c>
      <c r="F26" s="322">
        <f ca="1">INDIRECT("'数据-取费表'!q"&amp;$G$1)</f>
        <v>0.1</v>
      </c>
      <c r="G26" s="1574"/>
      <c r="H26" s="309" t="s">
        <v>1000</v>
      </c>
      <c r="I26" s="310" t="s">
        <v>1433</v>
      </c>
      <c r="J26" s="311">
        <f ca="1">IF(J5&lt;&gt;0,ROUND(J25*(1-((1+M28)/(1+M26))^M27)/(M26-M28),0),0)</f>
        <v>0</v>
      </c>
      <c r="K26" s="334" t="s">
        <v>1434</v>
      </c>
      <c r="L26" s="312" t="s">
        <v>1435</v>
      </c>
      <c r="M26" s="322">
        <f ca="1">INDIRECT("'数据-取费表'!I"&amp;$G$1)</f>
        <v>0.05</v>
      </c>
    </row>
    <row r="27" spans="1:37" ht="18" customHeight="1">
      <c r="A27" s="1117" t="s">
        <v>1004</v>
      </c>
      <c r="B27" s="312" t="s">
        <v>1436</v>
      </c>
      <c r="C27" s="24">
        <f ca="1">ROUND(F21*F26,4)</f>
        <v>2E-3</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5.2400000000000002E-2</v>
      </c>
      <c r="D28" s="333" t="s">
        <v>1441</v>
      </c>
      <c r="E28" s="312" t="s">
        <v>1387</v>
      </c>
      <c r="F28" s="332">
        <f>'数据-取费表'!B41</f>
        <v>5.5000000000000007E-2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4173</v>
      </c>
      <c r="D29" s="1256"/>
      <c r="E29" s="1254"/>
      <c r="F29" s="1257"/>
      <c r="G29" s="1586"/>
      <c r="H29" s="344" t="s">
        <v>1001</v>
      </c>
      <c r="I29" s="345" t="s">
        <v>1444</v>
      </c>
      <c r="J29" s="346">
        <f ca="1">ROUND(J26/(1+F40)^F41,0)</f>
        <v>0</v>
      </c>
      <c r="K29" s="347" t="s">
        <v>1445</v>
      </c>
      <c r="L29" s="348"/>
      <c r="M29" s="349">
        <f ca="1">INDIRECT("'数据-取费表'!k"&amp;$G$1)</f>
        <v>8640.14</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144</v>
      </c>
      <c r="D30" s="1251" t="s">
        <v>1390</v>
      </c>
      <c r="E30" s="1252"/>
      <c r="F30" s="1208"/>
      <c r="G30" s="1574"/>
      <c r="H30" s="2929"/>
      <c r="I30" s="1588"/>
      <c r="J30" s="1589"/>
      <c r="K30" s="2703"/>
      <c r="L30" s="2930"/>
      <c r="M30" s="2931"/>
    </row>
    <row r="31" spans="1:37" ht="18" customHeight="1">
      <c r="A31" s="1117" t="s">
        <v>1003</v>
      </c>
      <c r="B31" s="312" t="s">
        <v>1394</v>
      </c>
      <c r="C31" s="2540">
        <f ca="1">ROUND(IF(AND(项目基本情况!B11="自然人",项目基本情况!B10="北京市"),C6*F31/(1+'数据-取费表'!F30),C32+C33+C34),0)</f>
        <v>82</v>
      </c>
      <c r="D31" s="1535" t="s">
        <v>1395</v>
      </c>
      <c r="E31" s="1534" t="s">
        <v>1446</v>
      </c>
      <c r="F31" s="2539" t="str">
        <f>IF(项目基本情况!B11="企业","——",IF('数据-取费表'!B10="住宅",IF(F6*F7*F8/12/(1+'数据-取费表'!F30)&gt;100000,4%,2.5%),IF(F6*F7*F8/12/(1+'数据-取费表'!F30)&gt;100000,12%,7%)))</f>
        <v>——</v>
      </c>
      <c r="G31" s="1574"/>
      <c r="H31" s="2929"/>
      <c r="I31" s="1588"/>
      <c r="J31" s="1589"/>
      <c r="K31" s="2703"/>
      <c r="L31" s="2930"/>
      <c r="M31" s="2931"/>
    </row>
    <row r="32" spans="1:37" ht="18" customHeight="1">
      <c r="A32" s="1117" t="s">
        <v>1002</v>
      </c>
      <c r="B32" s="312" t="s">
        <v>1398</v>
      </c>
      <c r="C32" s="24">
        <f ca="1">IF(项目基本情况!B11="自然人","——",ROUND(C6*F32/(1+'数据-取费表'!C42),2))</f>
        <v>42.53</v>
      </c>
      <c r="D32" s="1534" t="s">
        <v>1399</v>
      </c>
      <c r="E32" s="312" t="s">
        <v>1387</v>
      </c>
      <c r="F32" s="341">
        <f>'数据-取费表'!B41</f>
        <v>5.5000000000000007E-2</v>
      </c>
      <c r="G32" s="1574"/>
      <c r="H32" s="2929"/>
      <c r="I32" s="1588"/>
      <c r="J32" s="1589"/>
      <c r="K32" s="2703"/>
      <c r="L32" s="2930"/>
      <c r="M32" s="2931"/>
    </row>
    <row r="33" spans="1:18" ht="18" customHeight="1">
      <c r="A33" s="1117" t="s">
        <v>1004</v>
      </c>
      <c r="B33" s="312" t="s">
        <v>1402</v>
      </c>
      <c r="C33" s="24">
        <f ca="1">IF(项目基本情况!B11="自然人","——",IF(D33="按租金收入计税",ROUND(C6*F33/(1+'数据-取费表'!C42),2),IF(D33="按房产原值计税",ROUND(C29*F33*0.7,2),INDIRECT("'数据-取费表'!Aj"&amp;$G$1))))</f>
        <v>35.049999999999997</v>
      </c>
      <c r="D33" s="3112" t="s">
        <v>4406</v>
      </c>
      <c r="E33" s="312" t="s">
        <v>1387</v>
      </c>
      <c r="F33" s="332">
        <f>IF(D33="按票据","——",IF(D33="按租金收入计税",'数据-取费表'!B51,'数据-取费表'!B50))</f>
        <v>1.2E-2</v>
      </c>
      <c r="G33" s="1574"/>
      <c r="H33" s="2932"/>
      <c r="I33" s="1588"/>
      <c r="J33" s="1589"/>
      <c r="K33" s="2933"/>
      <c r="L33" s="2932"/>
      <c r="M33" s="2932"/>
    </row>
    <row r="34" spans="1:18" ht="18" customHeight="1">
      <c r="A34" s="1205" t="s">
        <v>1354</v>
      </c>
      <c r="B34" s="164" t="s">
        <v>1406</v>
      </c>
      <c r="C34" s="25">
        <f ca="1">IF(项目基本情况!B11="自然人","——",ROUND(F34*F35/10000,2))</f>
        <v>4.6399999999999997</v>
      </c>
      <c r="D34" s="334" t="s">
        <v>1407</v>
      </c>
      <c r="E34" s="312" t="s">
        <v>1408</v>
      </c>
      <c r="F34" s="335">
        <f>'数据-取费表'!B52</f>
        <v>3</v>
      </c>
      <c r="G34" s="1574"/>
      <c r="H34" s="2929"/>
      <c r="I34" s="1588"/>
      <c r="J34" s="1589"/>
      <c r="K34" s="2934"/>
      <c r="L34" s="2935"/>
      <c r="M34" s="2935"/>
    </row>
    <row r="35" spans="1:18" ht="18" customHeight="1">
      <c r="A35" s="1267"/>
      <c r="B35" s="1265"/>
      <c r="C35" s="29"/>
      <c r="D35" s="337"/>
      <c r="E35" s="312" t="s">
        <v>1412</v>
      </c>
      <c r="F35" s="313">
        <f ca="1">INDIRECT("'数据-取费表'!r"&amp;$G$1)</f>
        <v>15462.6</v>
      </c>
      <c r="G35" s="1574"/>
      <c r="H35" s="2929"/>
      <c r="I35" s="1588"/>
      <c r="J35" s="1589"/>
      <c r="K35" s="2933"/>
      <c r="L35" s="2932"/>
      <c r="M35" s="2932"/>
    </row>
    <row r="36" spans="1:18" ht="18" customHeight="1">
      <c r="A36" s="1266" t="s">
        <v>1007</v>
      </c>
      <c r="B36" s="312" t="s">
        <v>1414</v>
      </c>
      <c r="C36" s="24">
        <f ca="1">ROUND(C29*F36,1)</f>
        <v>50.1</v>
      </c>
      <c r="D36" s="1534" t="s">
        <v>1447</v>
      </c>
      <c r="E36" s="312" t="s">
        <v>1387</v>
      </c>
      <c r="F36" s="338">
        <f ca="1">INDIRECT("'数据-取费表'!Ak"&amp;$G$1)</f>
        <v>1.2E-2</v>
      </c>
      <c r="G36" s="1574"/>
      <c r="H36" s="2932"/>
      <c r="I36" s="1588"/>
      <c r="J36" s="1589"/>
      <c r="K36" s="2771"/>
      <c r="L36" s="2932"/>
      <c r="M36" s="2932"/>
    </row>
    <row r="37" spans="1:18" ht="18" customHeight="1">
      <c r="A37" s="1117" t="s">
        <v>1043</v>
      </c>
      <c r="B37" s="312" t="s">
        <v>1418</v>
      </c>
      <c r="C37" s="24">
        <f ca="1">ROUND(C13*F37,1)</f>
        <v>3.3</v>
      </c>
      <c r="D37" s="1534" t="s">
        <v>1419</v>
      </c>
      <c r="E37" s="312" t="s">
        <v>1420</v>
      </c>
      <c r="F37" s="340">
        <f ca="1">INDIRECT("'数据-取费表'!Al"&amp;$G$1)</f>
        <v>1E-3</v>
      </c>
      <c r="G37" s="1574"/>
      <c r="H37" s="2932"/>
      <c r="I37" s="1588"/>
      <c r="J37" s="1589"/>
      <c r="K37" s="2771"/>
      <c r="L37" s="2932"/>
      <c r="M37" s="2932"/>
    </row>
    <row r="38" spans="1:18" ht="18" customHeight="1" thickBot="1">
      <c r="A38" s="1253" t="s">
        <v>1358</v>
      </c>
      <c r="B38" s="1254" t="s">
        <v>1404</v>
      </c>
      <c r="C38" s="1255">
        <f ca="1">ROUND(C5*F38,1)</f>
        <v>8.1</v>
      </c>
      <c r="D38" s="1256" t="s">
        <v>1424</v>
      </c>
      <c r="E38" s="1254" t="s">
        <v>1420</v>
      </c>
      <c r="F38" s="1250">
        <f ca="1">INDIRECT("'数据-取费表'!Am"&amp;$G$1)</f>
        <v>0.01</v>
      </c>
      <c r="G38" s="1574"/>
      <c r="H38" s="2932"/>
      <c r="I38" s="1588"/>
      <c r="J38" s="1589"/>
      <c r="K38" s="2936"/>
      <c r="L38" s="2932"/>
      <c r="M38" s="2932"/>
    </row>
    <row r="39" spans="1:18" ht="24.6" customHeight="1" thickTop="1">
      <c r="A39" s="1243" t="s">
        <v>999</v>
      </c>
      <c r="B39" s="1258" t="s">
        <v>1448</v>
      </c>
      <c r="C39" s="320">
        <f ca="1">C5-C30</f>
        <v>669</v>
      </c>
      <c r="D39" s="1259" t="s">
        <v>1449</v>
      </c>
      <c r="E39" s="1260"/>
      <c r="F39" s="1261"/>
      <c r="G39" s="1574"/>
      <c r="H39" s="2932"/>
      <c r="I39" s="1588"/>
      <c r="J39" s="1589"/>
      <c r="K39" s="2936"/>
      <c r="L39" s="2932"/>
      <c r="M39" s="2932"/>
    </row>
    <row r="40" spans="1:18" ht="18" customHeight="1">
      <c r="A40" s="309" t="s">
        <v>1000</v>
      </c>
      <c r="B40" s="310" t="s">
        <v>1450</v>
      </c>
      <c r="C40" s="311">
        <f ca="1">ROUND(C39*(1-((1+F42)/(1+F40))^F41)/(F40-F42),0)</f>
        <v>14063</v>
      </c>
      <c r="D40" s="334" t="s">
        <v>1434</v>
      </c>
      <c r="E40" s="312" t="s">
        <v>1435</v>
      </c>
      <c r="F40" s="322">
        <f ca="1">INDIRECT("'数据-取费表'!I"&amp;$G$1)</f>
        <v>0.05</v>
      </c>
      <c r="G40" s="1574"/>
      <c r="H40" s="1651"/>
      <c r="I40" s="1588"/>
      <c r="J40" s="1589"/>
      <c r="K40" s="2936"/>
      <c r="L40" s="1651"/>
      <c r="M40" s="1651"/>
    </row>
    <row r="41" spans="1:18" ht="18" customHeight="1">
      <c r="A41" s="314"/>
      <c r="B41" s="315"/>
      <c r="C41" s="316"/>
      <c r="D41" s="342" t="s">
        <v>1451</v>
      </c>
      <c r="E41" s="312" t="s">
        <v>1439</v>
      </c>
      <c r="F41" s="343">
        <f ca="1">IF(INDIRECT("'数据-取费表'!af"&amp;$G$1)=0,INDIRECT("'数据-取费表'!ae"&amp;$G$1),INDIRECT("'数据-取费表'!af"&amp;$G$1))</f>
        <v>30.94</v>
      </c>
      <c r="G41" s="1574"/>
      <c r="H41" s="1357"/>
      <c r="I41" s="1588"/>
      <c r="J41" s="1589"/>
      <c r="K41" s="2771"/>
      <c r="L41" s="1357"/>
      <c r="M41" s="1357"/>
    </row>
    <row r="42" spans="1:18" ht="18" customHeight="1">
      <c r="A42" s="318"/>
      <c r="B42" s="319"/>
      <c r="C42" s="320"/>
      <c r="D42" s="337"/>
      <c r="E42" s="312" t="s">
        <v>1442</v>
      </c>
      <c r="F42" s="322">
        <f ca="1">INDIRECT("'数据-取费表'!v"&amp;$G$1)</f>
        <v>2.5000000000000001E-2</v>
      </c>
      <c r="G42" s="1574"/>
      <c r="H42" s="1357"/>
      <c r="I42" s="1588"/>
      <c r="J42" s="1589"/>
      <c r="K42" s="2771"/>
      <c r="L42" s="1357"/>
      <c r="M42" s="1357"/>
    </row>
    <row r="43" spans="1:18" ht="18" customHeight="1" thickBot="1">
      <c r="A43" s="344" t="s">
        <v>1001</v>
      </c>
      <c r="B43" s="345" t="s">
        <v>1452</v>
      </c>
      <c r="C43" s="346">
        <f ca="1">ROUND(C40*10000/F43,0)</f>
        <v>16276</v>
      </c>
      <c r="D43" s="347" t="s">
        <v>1453</v>
      </c>
      <c r="E43" s="348" t="s">
        <v>1454</v>
      </c>
      <c r="F43" s="349">
        <f ca="1">INDIRECT("'数据-取费表'!k"&amp;$G$1)</f>
        <v>8640.14</v>
      </c>
      <c r="G43" s="1574"/>
      <c r="H43" s="1357"/>
      <c r="I43" s="1357"/>
      <c r="J43" s="1357"/>
      <c r="K43" s="2771"/>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591"/>
      <c r="D45" s="1590"/>
      <c r="E45" s="1590"/>
      <c r="F45" s="1590"/>
      <c r="J45" s="739"/>
      <c r="O45" s="2937" t="s">
        <v>1484</v>
      </c>
      <c r="P45" s="1651"/>
      <c r="Q45" s="1651"/>
      <c r="R45" s="1651"/>
    </row>
    <row r="46" spans="1:18" s="1574" customFormat="1" ht="13.8" thickBot="1">
      <c r="A46" s="1594" t="s">
        <v>1485</v>
      </c>
      <c r="C46" s="1595">
        <f ca="1">C68-C40</f>
        <v>-15512</v>
      </c>
      <c r="D46" s="1596" t="str">
        <f>C2</f>
        <v>万元</v>
      </c>
      <c r="E46" s="1590"/>
      <c r="F46" s="1590"/>
      <c r="I46" s="1597" t="s">
        <v>1486</v>
      </c>
      <c r="J46" s="1598"/>
      <c r="K46" s="1599"/>
      <c r="L46" s="1600" t="str">
        <f ca="1">IF(M47="住宅",0,IF(L48&gt;J51,L60,J60))</f>
        <v>0</v>
      </c>
      <c r="O46" s="1601" t="s">
        <v>1487</v>
      </c>
      <c r="P46" s="1602" t="s">
        <v>1488</v>
      </c>
      <c r="Q46" s="1603" t="s">
        <v>1489</v>
      </c>
      <c r="R46" s="1603" t="s">
        <v>1490</v>
      </c>
    </row>
    <row r="47" spans="1:18" s="1574" customFormat="1" ht="13.8" thickBot="1">
      <c r="A47" s="1081" t="s">
        <v>1361</v>
      </c>
      <c r="B47" s="1113" t="s">
        <v>1362</v>
      </c>
      <c r="C47" s="1281" t="s">
        <v>1363</v>
      </c>
      <c r="D47" s="1113" t="s">
        <v>1364</v>
      </c>
      <c r="E47" s="1193" t="s">
        <v>1365</v>
      </c>
      <c r="F47" s="1194"/>
      <c r="G47" s="735"/>
      <c r="I47" s="1604" t="s">
        <v>1491</v>
      </c>
      <c r="J47" s="1605" t="s">
        <v>3195</v>
      </c>
      <c r="K47" s="1606" t="s">
        <v>1492</v>
      </c>
      <c r="L47" s="1607">
        <f ca="1">INDIRECT("'数据-取费表'!d"&amp;$G$1)</f>
        <v>50</v>
      </c>
      <c r="M47" s="1570" t="str">
        <f>IF(ISNUMBER(FIND("住宅",C1)),"住宅","非住宅")</f>
        <v>非住宅</v>
      </c>
      <c r="O47" s="1608" t="s">
        <v>1008</v>
      </c>
      <c r="P47" s="1609" t="s">
        <v>1493</v>
      </c>
      <c r="Q47" s="1610">
        <f ca="1">C40+J29</f>
        <v>14063</v>
      </c>
      <c r="R47" s="1610" t="s">
        <v>1494</v>
      </c>
    </row>
    <row r="48" spans="1:18" s="1574" customFormat="1" ht="40.200000000000003" thickBot="1">
      <c r="A48" s="1274" t="s">
        <v>1103</v>
      </c>
      <c r="B48" s="310" t="s">
        <v>1366</v>
      </c>
      <c r="C48" s="1549">
        <f ca="1">C49+C53+C55</f>
        <v>0</v>
      </c>
      <c r="D48" s="1276"/>
      <c r="E48" s="1277"/>
      <c r="F48" s="1097"/>
      <c r="G48" s="735"/>
      <c r="H48" s="736"/>
      <c r="I48" s="1611" t="s">
        <v>1495</v>
      </c>
      <c r="J48" s="1612" t="s">
        <v>3196</v>
      </c>
      <c r="K48" s="1613" t="s">
        <v>1496</v>
      </c>
      <c r="L48" s="1614">
        <f ca="1">INDIRECT("'数据-取费表'!f"&amp;$G$1)</f>
        <v>30.94</v>
      </c>
      <c r="O48" s="1608" t="s">
        <v>1009</v>
      </c>
      <c r="P48" s="1609" t="s">
        <v>1497</v>
      </c>
      <c r="Q48" s="1610" t="str">
        <f ca="1">J60</f>
        <v>0</v>
      </c>
      <c r="R48" s="1610" t="s">
        <v>1498</v>
      </c>
    </row>
    <row r="49" spans="1:18" s="1574" customFormat="1" ht="13.8" thickBot="1">
      <c r="A49" s="1110" t="s">
        <v>1104</v>
      </c>
      <c r="B49" s="1561" t="s">
        <v>1455</v>
      </c>
      <c r="C49" s="1278">
        <f ca="1">ROUND(F49*F51*F50*(1-F52)/10000,0)</f>
        <v>0</v>
      </c>
      <c r="D49" s="1190" t="s">
        <v>2860</v>
      </c>
      <c r="E49" s="1562" t="s">
        <v>1456</v>
      </c>
      <c r="F49" s="1195"/>
      <c r="G49" s="1615"/>
      <c r="H49" s="736"/>
      <c r="I49" s="1611" t="s">
        <v>1499</v>
      </c>
      <c r="J49" s="1616"/>
      <c r="K49" s="1613" t="s">
        <v>1500</v>
      </c>
      <c r="L49" s="1617"/>
      <c r="O49" s="1618" t="s">
        <v>1010</v>
      </c>
      <c r="P49" s="1609" t="s">
        <v>1501</v>
      </c>
      <c r="Q49" s="1610">
        <f ca="1">C29</f>
        <v>4173</v>
      </c>
      <c r="R49" s="1610" t="s">
        <v>1494</v>
      </c>
    </row>
    <row r="50" spans="1:18" s="1574" customFormat="1" ht="13.8" thickBot="1">
      <c r="A50" s="1111"/>
      <c r="B50" s="1114"/>
      <c r="C50" s="1282"/>
      <c r="D50" s="1088"/>
      <c r="E50" s="1191" t="s">
        <v>1371</v>
      </c>
      <c r="F50" s="1192">
        <f ca="1">F7</f>
        <v>8640.14</v>
      </c>
      <c r="H50" s="736"/>
      <c r="I50" s="1611" t="s">
        <v>1502</v>
      </c>
      <c r="J50" s="1619">
        <f>SUMPRODUCT((I63:I65=J47)*(J62:L62=J48)*(J63:L65))</f>
        <v>50</v>
      </c>
      <c r="K50" s="1613" t="s">
        <v>1503</v>
      </c>
      <c r="L50" s="1617"/>
      <c r="M50" s="1620"/>
      <c r="O50" s="1618" t="s">
        <v>1011</v>
      </c>
      <c r="P50" s="1609" t="s">
        <v>1504</v>
      </c>
      <c r="Q50" s="1621" t="e">
        <f ca="1">J58</f>
        <v>#VALUE!</v>
      </c>
      <c r="R50" s="1610"/>
    </row>
    <row r="51" spans="1:18" s="1574" customFormat="1" ht="13.8" thickBot="1">
      <c r="A51" s="1112"/>
      <c r="B51" s="1114"/>
      <c r="C51" s="1115"/>
      <c r="D51" s="1088"/>
      <c r="E51" s="1116" t="s">
        <v>1372</v>
      </c>
      <c r="F51" s="313">
        <f ca="1">F8</f>
        <v>365</v>
      </c>
      <c r="I51" s="1622" t="s">
        <v>1505</v>
      </c>
      <c r="J51" s="1623">
        <f>IF(J49="",J50,J49+J50-YEAR('数据-取费表'!B2))</f>
        <v>50</v>
      </c>
      <c r="K51" s="1624" t="s">
        <v>1506</v>
      </c>
      <c r="L51" s="1625">
        <f ca="1">ROUND(-PV(INDIRECT("'数据-取费表'!h"&amp;$G$1),J51,(C39-C13*C76),0),0)</f>
        <v>8273</v>
      </c>
      <c r="M51" s="1626"/>
      <c r="O51" s="1618" t="s">
        <v>1012</v>
      </c>
      <c r="P51" s="1609" t="s">
        <v>1507</v>
      </c>
      <c r="Q51" s="1621">
        <f>J52</f>
        <v>0</v>
      </c>
      <c r="R51" s="1610"/>
    </row>
    <row r="52" spans="1:18" s="1574" customFormat="1" ht="13.8" thickBot="1">
      <c r="A52" s="1112"/>
      <c r="B52" s="1114"/>
      <c r="C52" s="1115"/>
      <c r="D52" s="1088"/>
      <c r="E52" s="1116" t="s">
        <v>1373</v>
      </c>
      <c r="F52" s="1189"/>
      <c r="I52" s="1627" t="s">
        <v>1508</v>
      </c>
      <c r="J52" s="1628"/>
      <c r="K52" s="1627" t="s">
        <v>1509</v>
      </c>
      <c r="L52" s="1628"/>
      <c r="O52" s="1618" t="s">
        <v>1013</v>
      </c>
      <c r="P52" s="1609" t="s">
        <v>1510</v>
      </c>
      <c r="Q52" s="1610">
        <f ca="1">J53</f>
        <v>30.94</v>
      </c>
      <c r="R52" s="1610" t="s">
        <v>1511</v>
      </c>
    </row>
    <row r="53" spans="1:18" s="1574" customFormat="1" ht="36.6" thickBot="1">
      <c r="A53" s="1318" t="s">
        <v>1105</v>
      </c>
      <c r="B53" s="1563" t="s">
        <v>1374</v>
      </c>
      <c r="C53" s="326">
        <f ca="1">ROUND(IF(F53="押一",C49/12*F11,IF(F53="押二",C49/12*2*F11,IF(F53="押三",C49/12*3*F11,C54*F11))),0)</f>
        <v>0</v>
      </c>
      <c r="D53" s="1556" t="s">
        <v>2866</v>
      </c>
      <c r="E53" s="323" t="s">
        <v>1375</v>
      </c>
      <c r="F53" s="1280"/>
      <c r="I53" s="1629" t="s">
        <v>1512</v>
      </c>
      <c r="J53" s="2392">
        <f ca="1">IF(M47="住宅",IF(D1="——",MAX(J51,L48),MAX(J51,L48-'数据-取费表'!B24)),IF(D1="——",MIN(J51,L48),MIN(J51,L48-'数据-取费表'!B24)))</f>
        <v>30.94</v>
      </c>
      <c r="K53" s="3334" t="s">
        <v>1513</v>
      </c>
      <c r="L53" s="3335"/>
      <c r="O53" s="1608" t="s">
        <v>1014</v>
      </c>
      <c r="P53" s="1609" t="s">
        <v>1514</v>
      </c>
      <c r="Q53" s="1610">
        <f ca="1">Q47+Q48</f>
        <v>14063</v>
      </c>
      <c r="R53" s="1610" t="s">
        <v>1015</v>
      </c>
    </row>
    <row r="54" spans="1:18" s="1574" customFormat="1" ht="24.6" thickBot="1">
      <c r="A54" s="1319"/>
      <c r="B54" s="1557" t="s">
        <v>1353</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2"/>
      <c r="K54" s="1632"/>
      <c r="L54" s="1632"/>
      <c r="M54" s="1615"/>
      <c r="O54" s="1593" t="s">
        <v>1515</v>
      </c>
      <c r="P54" s="1571"/>
      <c r="Q54" s="1571"/>
      <c r="R54" s="1571"/>
    </row>
    <row r="55" spans="1:18" s="1574" customFormat="1" ht="13.8" thickBot="1">
      <c r="A55" s="1247" t="s">
        <v>1043</v>
      </c>
      <c r="B55" s="1559" t="s">
        <v>1378</v>
      </c>
      <c r="C55" s="1248"/>
      <c r="D55" s="1556"/>
      <c r="E55" s="1564"/>
      <c r="F55" s="1630"/>
      <c r="I55" s="1633" t="s">
        <v>1516</v>
      </c>
      <c r="J55" s="1634" t="e">
        <f ca="1">ROUND(IF(J47="钢混",J57/J50,1-(1-2%)*(J50-J57)/J50),3)</f>
        <v>#VALUE!</v>
      </c>
      <c r="K55" s="1635" t="s">
        <v>1517</v>
      </c>
      <c r="L55" s="1636" t="s">
        <v>1518</v>
      </c>
      <c r="O55" s="1601" t="s">
        <v>1487</v>
      </c>
      <c r="P55" s="1602" t="s">
        <v>1488</v>
      </c>
      <c r="Q55" s="1603" t="s">
        <v>1489</v>
      </c>
      <c r="R55" s="1603" t="s">
        <v>1490</v>
      </c>
    </row>
    <row r="56" spans="1:18" s="1574" customFormat="1" ht="37.200000000000003" thickTop="1" thickBot="1">
      <c r="A56" s="1092">
        <v>2</v>
      </c>
      <c r="B56" s="1093" t="s">
        <v>1379</v>
      </c>
      <c r="C56" s="242">
        <f ca="1">C13</f>
        <v>3338</v>
      </c>
      <c r="D56" s="1637"/>
      <c r="E56" s="1638"/>
      <c r="F56" s="1630"/>
      <c r="I56" s="1639" t="s">
        <v>1519</v>
      </c>
      <c r="J56" s="1640" t="s">
        <v>3149</v>
      </c>
      <c r="K56" s="1611" t="s">
        <v>1520</v>
      </c>
      <c r="L56" s="1614" t="str">
        <f ca="1">IF(L48&lt;J51,"——",L48-J53)</f>
        <v>——</v>
      </c>
      <c r="O56" s="1608" t="s">
        <v>1008</v>
      </c>
      <c r="P56" s="1609" t="s">
        <v>1493</v>
      </c>
      <c r="Q56" s="1610">
        <f ca="1">C40+J29</f>
        <v>14063</v>
      </c>
      <c r="R56" s="1610" t="s">
        <v>1494</v>
      </c>
    </row>
    <row r="57" spans="1:18" s="1574" customFormat="1" ht="24.6" thickBot="1">
      <c r="A57" s="1641"/>
      <c r="B57" s="1085" t="s">
        <v>1443</v>
      </c>
      <c r="C57" s="248">
        <f ca="1">C29</f>
        <v>4173</v>
      </c>
      <c r="D57" s="1642"/>
      <c r="E57" s="1643"/>
      <c r="F57" s="1644"/>
      <c r="I57" s="1645" t="s">
        <v>1521</v>
      </c>
      <c r="J57" s="1646" t="str">
        <f ca="1">IF(OR(M47="住宅",J51&lt;L48,J56="是"),"——",J51-L48)</f>
        <v>——</v>
      </c>
      <c r="K57" s="1611" t="s">
        <v>1522</v>
      </c>
      <c r="L57" s="1614" t="str">
        <f ca="1">IF(L48&lt;J51,"——",IF(L55="比较法",L49,IF(L55="基准地价",L50,L51)))</f>
        <v>——</v>
      </c>
      <c r="O57" s="1608" t="s">
        <v>1009</v>
      </c>
      <c r="P57" s="1609" t="s">
        <v>1523</v>
      </c>
      <c r="Q57" s="1610">
        <f ca="1">L60</f>
        <v>0</v>
      </c>
      <c r="R57" s="1610" t="s">
        <v>1524</v>
      </c>
    </row>
    <row r="58" spans="1:18" s="1574" customFormat="1" ht="24.6" thickBot="1">
      <c r="A58" s="325" t="s">
        <v>998</v>
      </c>
      <c r="B58" s="1093" t="s">
        <v>1389</v>
      </c>
      <c r="C58" s="326">
        <f ca="1">ROUND(C59+C64+C65+C66,0)</f>
        <v>93</v>
      </c>
      <c r="D58" s="1095" t="s">
        <v>1390</v>
      </c>
      <c r="E58" s="1096"/>
      <c r="F58" s="1097"/>
      <c r="I58" s="1645" t="s">
        <v>1525</v>
      </c>
      <c r="J58" s="1647" t="e">
        <f ca="1">IF(J55&lt;0.4,0.4,J55)</f>
        <v>#VALUE!</v>
      </c>
      <c r="K58" s="1624" t="s">
        <v>1526</v>
      </c>
      <c r="L58" s="1614" t="e">
        <f ca="1">ROUND(POWER(1+L52,L47-L48)*(POWER(1+L52,L48)-1)/(POWER(1+L52,L47)-1),4)</f>
        <v>#DIV/0!</v>
      </c>
      <c r="O58" s="1618" t="s">
        <v>1010</v>
      </c>
      <c r="P58" s="1609" t="s">
        <v>1527</v>
      </c>
      <c r="Q58" s="1610">
        <f>IF(L55="比较法",L49,IF(L55="基准地价",L50,0))</f>
        <v>0</v>
      </c>
      <c r="R58" s="1610" t="s">
        <v>1494</v>
      </c>
    </row>
    <row r="59" spans="1:18" s="1574" customFormat="1" ht="24.6" thickBot="1">
      <c r="A59" s="1117" t="s">
        <v>1003</v>
      </c>
      <c r="B59" s="1085" t="s">
        <v>1394</v>
      </c>
      <c r="C59" s="2540">
        <f ca="1">ROUND(IF(AND(项目基本情况!B11="自然人",项目基本情况!B10="北京市"),C49*F59/(1+'数据-取费表'!F30),C60+C61+C62),0)</f>
        <v>40</v>
      </c>
      <c r="D59" s="1098" t="s">
        <v>1395</v>
      </c>
      <c r="E59" s="1099" t="s">
        <v>1396</v>
      </c>
      <c r="F59" s="2539" t="str">
        <f>IF(项目基本情况!B11="企业","——",IF('数据-取费表'!B10="住宅",IF(F49*F50*F51/12/(1+'数据-取费表'!F30)&gt;100000,4%,2.5%),IF(F49*F50*F51/12/(1+'数据-取费表'!F30)&gt;100000,12%,7%)))</f>
        <v>——</v>
      </c>
      <c r="I59" s="1645" t="s">
        <v>1528</v>
      </c>
      <c r="J59" s="1646" t="str">
        <f ca="1">IF(OR(M47="住宅",J51&lt;L48,J56="是"),"——",ROUND(C29*J58,0))</f>
        <v>——</v>
      </c>
      <c r="K59" s="16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4" t="e">
        <f ca="1">ROUND(IF(D1="在建（套用方法）",M59,IF(D1="土地（套用方法）",N59,POWER(1+L52,L47-J51)*(POWER(1+L52,J51)-1)/(POWER(1+L52,L47)-1))),4)</f>
        <v>#DIV/0!</v>
      </c>
      <c r="M59" s="1570" t="e">
        <f ca="1">ROUND(POWER(1+L52,L47-(J51+'数据-取费表'!B24))*(POWER(1+L52,(J51+'数据-取费表'!B24))-1)/(POWER(1+L52,L47)-1),4)</f>
        <v>#DIV/0!</v>
      </c>
      <c r="N59" s="1570" t="e">
        <f ca="1">ROUND(POWER(1+L52,L47-(J51+'数据-取费表'!B20))*(POWER(1+L52,(J51+'数据-取费表'!B20))-1)/(POWER(1+L52,L47)-1),4)</f>
        <v>#DIV/0!</v>
      </c>
      <c r="O59" s="1618" t="s">
        <v>1011</v>
      </c>
      <c r="P59" s="1609" t="s">
        <v>1529</v>
      </c>
      <c r="Q59" s="1621">
        <f>L52</f>
        <v>0</v>
      </c>
      <c r="R59" s="1610"/>
    </row>
    <row r="60" spans="1:18" s="1574" customFormat="1" ht="16.2" thickBot="1">
      <c r="A60" s="1117" t="s">
        <v>1002</v>
      </c>
      <c r="B60" s="1085" t="s">
        <v>1398</v>
      </c>
      <c r="C60" s="24">
        <f ca="1">IF(项目基本情况!B11="自然人","——",ROUND(C48*F60/(1+'数据-取费表'!C42),2))</f>
        <v>0</v>
      </c>
      <c r="D60" s="1099" t="s">
        <v>1399</v>
      </c>
      <c r="E60" s="1085" t="s">
        <v>1387</v>
      </c>
      <c r="F60" s="341">
        <f t="shared" ref="F60:F66" si="0">F32</f>
        <v>5.5000000000000007E-2</v>
      </c>
      <c r="I60" s="1648" t="s">
        <v>1530</v>
      </c>
      <c r="J60" s="1649" t="str">
        <f ca="1">IF(OR(M47="住宅",J51&lt;L48,J56="是"),"0",ROUND(J59/(1+J52)^J53,0))</f>
        <v>0</v>
      </c>
      <c r="K60" s="1650" t="s">
        <v>1531</v>
      </c>
      <c r="L60" s="1649">
        <f ca="1">IF(OR(M47="住宅",L48&lt;J51),0,ROUND(L57*(L58/L59-1),0))</f>
        <v>0</v>
      </c>
      <c r="O60" s="1618" t="s">
        <v>1012</v>
      </c>
      <c r="P60" s="1609" t="s">
        <v>1532</v>
      </c>
      <c r="Q60" s="1610" t="e">
        <f ca="1">L58</f>
        <v>#DIV/0!</v>
      </c>
      <c r="R60" s="1610" t="s">
        <v>1533</v>
      </c>
    </row>
    <row r="61" spans="1:18" s="1574" customFormat="1" ht="13.8" thickBot="1">
      <c r="A61" s="1117" t="s">
        <v>1457</v>
      </c>
      <c r="B61" s="1085" t="s">
        <v>1458</v>
      </c>
      <c r="C61" s="24">
        <f ca="1">IF(项目基本情况!B11="自然人","——",IF(D61="按租金收入计税",ROUND(C48*F61,2),IF(D61="按房产原值计税",ROUND(C57*F61*0.7,2),INDIRECT("'数据-取费表'!Aj"&amp;$G$1))))</f>
        <v>35.049999999999997</v>
      </c>
      <c r="D61" s="1560" t="s">
        <v>1403</v>
      </c>
      <c r="E61" s="1085" t="s">
        <v>1459</v>
      </c>
      <c r="F61" s="332">
        <f t="shared" si="0"/>
        <v>1.2E-2</v>
      </c>
      <c r="I61" s="1651"/>
      <c r="J61" s="1651"/>
      <c r="K61" s="1651"/>
      <c r="L61" s="1651"/>
      <c r="O61" s="1618" t="s">
        <v>1013</v>
      </c>
      <c r="P61" s="1609" t="str">
        <f>K59</f>
        <v>建筑物剩余耐用年限下的土地年期修正系数Kn</v>
      </c>
      <c r="Q61" s="1610" t="e">
        <f ca="1">L59</f>
        <v>#DIV/0!</v>
      </c>
      <c r="R61" s="1610" t="s">
        <v>1534</v>
      </c>
    </row>
    <row r="62" spans="1:18" s="1574" customFormat="1" ht="13.8" thickBot="1">
      <c r="A62" s="1117" t="s">
        <v>1460</v>
      </c>
      <c r="B62" s="1084" t="s">
        <v>1461</v>
      </c>
      <c r="C62" s="25">
        <f ca="1">IF(项目基本情况!B11="自然人","——",ROUND(F62*F63/10000,2))</f>
        <v>4.6399999999999997</v>
      </c>
      <c r="D62" s="1100" t="s">
        <v>1462</v>
      </c>
      <c r="E62" s="1085" t="s">
        <v>1463</v>
      </c>
      <c r="F62" s="335">
        <f t="shared" si="0"/>
        <v>3</v>
      </c>
      <c r="I62" s="1652" t="s">
        <v>1535</v>
      </c>
      <c r="J62" s="1653" t="s">
        <v>1536</v>
      </c>
      <c r="K62" s="1653" t="s">
        <v>1537</v>
      </c>
      <c r="L62" s="1653" t="s">
        <v>1538</v>
      </c>
      <c r="M62" s="1654" t="s">
        <v>1539</v>
      </c>
      <c r="O62" s="1608" t="s">
        <v>1014</v>
      </c>
      <c r="P62" s="1609" t="s">
        <v>1540</v>
      </c>
      <c r="Q62" s="1610">
        <f ca="1">Q56+Q57</f>
        <v>14063</v>
      </c>
      <c r="R62" s="1610" t="s">
        <v>1015</v>
      </c>
    </row>
    <row r="63" spans="1:18" s="1574" customFormat="1" ht="13.8" thickBot="1">
      <c r="A63" s="336"/>
      <c r="B63" s="1091"/>
      <c r="C63" s="29"/>
      <c r="D63" s="1101"/>
      <c r="E63" s="1085" t="s">
        <v>1464</v>
      </c>
      <c r="F63" s="313">
        <f t="shared" ca="1" si="0"/>
        <v>15462.6</v>
      </c>
      <c r="I63" s="1652" t="s">
        <v>1541</v>
      </c>
      <c r="J63" s="1653">
        <v>70</v>
      </c>
      <c r="K63" s="1653">
        <v>50</v>
      </c>
      <c r="L63" s="1653">
        <v>80</v>
      </c>
      <c r="M63" s="1655">
        <v>0.02</v>
      </c>
      <c r="O63" s="1593" t="s">
        <v>1542</v>
      </c>
      <c r="P63" s="1571"/>
      <c r="Q63" s="1571"/>
      <c r="R63" s="1571"/>
    </row>
    <row r="64" spans="1:18" s="1574" customFormat="1" ht="13.8" thickBot="1">
      <c r="A64" s="1117" t="s">
        <v>1465</v>
      </c>
      <c r="B64" s="1085" t="s">
        <v>1466</v>
      </c>
      <c r="C64" s="24">
        <f ca="1">ROUND(C57*F64,1)</f>
        <v>50.1</v>
      </c>
      <c r="D64" s="1099" t="s">
        <v>1467</v>
      </c>
      <c r="E64" s="1085" t="s">
        <v>1459</v>
      </c>
      <c r="F64" s="338">
        <f t="shared" ca="1" si="0"/>
        <v>1.2E-2</v>
      </c>
      <c r="I64" s="1652" t="s">
        <v>1543</v>
      </c>
      <c r="J64" s="1653">
        <v>50</v>
      </c>
      <c r="K64" s="1653">
        <v>35</v>
      </c>
      <c r="L64" s="1653">
        <v>60</v>
      </c>
      <c r="M64" s="1654">
        <v>0</v>
      </c>
      <c r="O64" s="1601" t="s">
        <v>1487</v>
      </c>
      <c r="P64" s="1602" t="s">
        <v>1488</v>
      </c>
      <c r="Q64" s="1603" t="s">
        <v>1489</v>
      </c>
      <c r="R64" s="1603" t="s">
        <v>1490</v>
      </c>
    </row>
    <row r="65" spans="1:18" s="1574" customFormat="1" ht="13.8" thickBot="1">
      <c r="A65" s="1117" t="s">
        <v>1468</v>
      </c>
      <c r="B65" s="1085" t="s">
        <v>1418</v>
      </c>
      <c r="C65" s="24">
        <f ca="1">ROUND(C56*F65,1)</f>
        <v>3.3</v>
      </c>
      <c r="D65" s="1099" t="s">
        <v>1419</v>
      </c>
      <c r="E65" s="1085" t="s">
        <v>1420</v>
      </c>
      <c r="F65" s="340">
        <f t="shared" ca="1" si="0"/>
        <v>1E-3</v>
      </c>
      <c r="I65" s="1652" t="s">
        <v>1544</v>
      </c>
      <c r="J65" s="1653">
        <v>40</v>
      </c>
      <c r="K65" s="1653">
        <v>30</v>
      </c>
      <c r="L65" s="1653">
        <v>50</v>
      </c>
      <c r="M65" s="1655">
        <v>0.02</v>
      </c>
      <c r="O65" s="1608" t="s">
        <v>1008</v>
      </c>
      <c r="P65" s="1609" t="s">
        <v>1545</v>
      </c>
      <c r="Q65" s="1610">
        <f ca="1">C40+J29</f>
        <v>14063</v>
      </c>
      <c r="R65" s="1610" t="s">
        <v>1494</v>
      </c>
    </row>
    <row r="66" spans="1:18" s="1574" customFormat="1" ht="16.2" thickBot="1">
      <c r="A66" s="1117" t="s">
        <v>1469</v>
      </c>
      <c r="B66" s="1085" t="s">
        <v>1404</v>
      </c>
      <c r="C66" s="24">
        <f ca="1">ROUND(C48*F66,1)</f>
        <v>0</v>
      </c>
      <c r="D66" s="1099" t="s">
        <v>1470</v>
      </c>
      <c r="E66" s="1085" t="s">
        <v>1387</v>
      </c>
      <c r="F66" s="322">
        <f t="shared" ca="1" si="0"/>
        <v>0.01</v>
      </c>
      <c r="O66" s="1608" t="s">
        <v>1009</v>
      </c>
      <c r="P66" s="1609" t="s">
        <v>1523</v>
      </c>
      <c r="Q66" s="1610">
        <f ca="1">L60</f>
        <v>0</v>
      </c>
      <c r="R66" s="1610" t="s">
        <v>1546</v>
      </c>
    </row>
    <row r="67" spans="1:18" s="1574" customFormat="1" ht="24.6" thickBot="1">
      <c r="A67" s="1092" t="s">
        <v>999</v>
      </c>
      <c r="B67" s="1102" t="s">
        <v>1428</v>
      </c>
      <c r="C67" s="326">
        <f ca="1">C48-C58</f>
        <v>-93</v>
      </c>
      <c r="D67" s="1098" t="s">
        <v>1429</v>
      </c>
      <c r="E67" s="1103"/>
      <c r="F67" s="1104"/>
      <c r="O67" s="1618" t="s">
        <v>1010</v>
      </c>
      <c r="P67" s="1609" t="s">
        <v>1527</v>
      </c>
      <c r="Q67" s="1656">
        <f ca="1">L51</f>
        <v>8273</v>
      </c>
      <c r="R67" s="1610" t="s">
        <v>1547</v>
      </c>
    </row>
    <row r="68" spans="1:18" s="1574" customFormat="1" ht="16.2" thickBot="1">
      <c r="A68" s="1082" t="s">
        <v>1000</v>
      </c>
      <c r="B68" s="1083" t="s">
        <v>1450</v>
      </c>
      <c r="C68" s="311">
        <f ca="1">ROUND(C67*(1-((1+F70)/(1+F68))^F69)/(F68-F70),0)</f>
        <v>-1449</v>
      </c>
      <c r="D68" s="1100" t="s">
        <v>1434</v>
      </c>
      <c r="E68" s="1085" t="s">
        <v>1435</v>
      </c>
      <c r="F68" s="322">
        <f ca="1">F40</f>
        <v>0.05</v>
      </c>
      <c r="O68" s="1618" t="s">
        <v>1011</v>
      </c>
      <c r="P68" s="1657" t="s">
        <v>1548</v>
      </c>
      <c r="Q68" s="1610">
        <f ca="1">ROUND(Q69-Q70*Q71,0)</f>
        <v>419</v>
      </c>
      <c r="R68" s="1610" t="s">
        <v>1019</v>
      </c>
    </row>
    <row r="69" spans="1:18" s="1574" customFormat="1" ht="13.8" thickBot="1">
      <c r="A69" s="1086"/>
      <c r="B69" s="1087"/>
      <c r="C69" s="316"/>
      <c r="D69" s="1105" t="s">
        <v>1438</v>
      </c>
      <c r="E69" s="1085" t="s">
        <v>1439</v>
      </c>
      <c r="F69" s="343">
        <f ca="1">F41</f>
        <v>30.94</v>
      </c>
      <c r="O69" s="1618" t="s">
        <v>1016</v>
      </c>
      <c r="P69" s="1657" t="s">
        <v>1549</v>
      </c>
      <c r="Q69" s="1610">
        <f ca="1">C39</f>
        <v>669</v>
      </c>
      <c r="R69" s="1610" t="s">
        <v>1494</v>
      </c>
    </row>
    <row r="70" spans="1:18" s="1574" customFormat="1" ht="13.8" thickBot="1">
      <c r="A70" s="1089"/>
      <c r="B70" s="1090"/>
      <c r="C70" s="320"/>
      <c r="D70" s="1101"/>
      <c r="E70" s="1085" t="s">
        <v>1442</v>
      </c>
      <c r="F70" s="1189"/>
      <c r="O70" s="1618" t="s">
        <v>1017</v>
      </c>
      <c r="P70" s="1657" t="s">
        <v>1550</v>
      </c>
      <c r="Q70" s="1610">
        <f ca="1">C13</f>
        <v>3338</v>
      </c>
      <c r="R70" s="1610" t="s">
        <v>1494</v>
      </c>
    </row>
    <row r="71" spans="1:18" s="1574" customFormat="1" ht="13.8" thickBot="1">
      <c r="A71" s="1106" t="s">
        <v>1001</v>
      </c>
      <c r="B71" s="1107" t="s">
        <v>1452</v>
      </c>
      <c r="C71" s="346">
        <f ca="1">ROUND(C68*10000/F71,0)</f>
        <v>-1677</v>
      </c>
      <c r="D71" s="1108" t="s">
        <v>1453</v>
      </c>
      <c r="E71" s="1109" t="s">
        <v>1454</v>
      </c>
      <c r="F71" s="349">
        <f ca="1">F43</f>
        <v>8640.14</v>
      </c>
      <c r="O71" s="1618" t="s">
        <v>1018</v>
      </c>
      <c r="P71" s="1657" t="s">
        <v>1551</v>
      </c>
      <c r="Q71" s="1621">
        <f ca="1">C76</f>
        <v>7.4999999999999997E-2</v>
      </c>
      <c r="R71" s="1610"/>
    </row>
    <row r="72" spans="1:18" s="1574" customFormat="1" ht="13.8" thickBot="1">
      <c r="B72" s="739"/>
      <c r="C72" s="739"/>
      <c r="O72" s="1618" t="s">
        <v>1012</v>
      </c>
      <c r="P72" s="1609" t="s">
        <v>1529</v>
      </c>
      <c r="Q72" s="1621">
        <f>L52</f>
        <v>0</v>
      </c>
      <c r="R72" s="1610"/>
    </row>
    <row r="73" spans="1:18" ht="16.2" thickBot="1">
      <c r="A73" s="1574"/>
      <c r="B73" s="739"/>
      <c r="C73" s="739"/>
      <c r="D73" s="1574"/>
      <c r="E73" s="1574"/>
      <c r="F73" s="1574"/>
      <c r="O73" s="1618" t="s">
        <v>1013</v>
      </c>
      <c r="P73" s="1609" t="s">
        <v>1532</v>
      </c>
      <c r="Q73" s="1610" t="e">
        <f ca="1">L58</f>
        <v>#DIV/0!</v>
      </c>
      <c r="R73" s="1610" t="s">
        <v>1533</v>
      </c>
    </row>
    <row r="74" spans="1:18" ht="13.8" thickBot="1">
      <c r="A74" s="1574"/>
      <c r="B74" s="283" t="s">
        <v>1552</v>
      </c>
      <c r="C74" s="1659"/>
      <c r="D74" s="1574"/>
      <c r="E74" s="1574"/>
      <c r="F74" s="1574"/>
      <c r="O74" s="1618" t="s">
        <v>1020</v>
      </c>
      <c r="P74" s="1609" t="str">
        <f>K59</f>
        <v>建筑物剩余耐用年限下的土地年期修正系数Kn</v>
      </c>
      <c r="Q74" s="1610" t="e">
        <f ca="1">L59</f>
        <v>#DIV/0!</v>
      </c>
      <c r="R74" s="1610" t="s">
        <v>1534</v>
      </c>
    </row>
    <row r="75" spans="1:18" ht="13.8" thickBot="1">
      <c r="A75" s="1574"/>
      <c r="B75" s="350" t="s">
        <v>1471</v>
      </c>
      <c r="C75" s="351">
        <f ca="1">ROUND(C13*C76,0)</f>
        <v>250</v>
      </c>
      <c r="D75" s="1574"/>
      <c r="E75" s="1574"/>
      <c r="F75" s="1574"/>
      <c r="K75" s="1592"/>
      <c r="L75" s="1574"/>
      <c r="O75" s="1608" t="s">
        <v>1014</v>
      </c>
      <c r="P75" s="1609" t="s">
        <v>1514</v>
      </c>
      <c r="Q75" s="1610">
        <f ca="1">Q65+Q66</f>
        <v>14063</v>
      </c>
      <c r="R75" s="1610" t="s">
        <v>1015</v>
      </c>
    </row>
    <row r="76" spans="1:18">
      <c r="B76" s="352" t="s">
        <v>1472</v>
      </c>
      <c r="C76" s="353">
        <f ca="1">INDIRECT("'数据-取费表'!j"&amp;$G$1)</f>
        <v>7.4999999999999997E-2</v>
      </c>
      <c r="I76" s="1574"/>
      <c r="J76" s="1574"/>
      <c r="K76" s="1592"/>
      <c r="L76" s="1574"/>
    </row>
    <row r="77" spans="1:18">
      <c r="B77" s="354" t="s">
        <v>1473</v>
      </c>
      <c r="C77" s="355"/>
      <c r="I77" s="1574"/>
      <c r="J77" s="1574"/>
      <c r="K77" s="1592"/>
      <c r="L77" s="1574"/>
    </row>
    <row r="78" spans="1:18">
      <c r="B78" s="280" t="s">
        <v>1474</v>
      </c>
      <c r="C78" s="356"/>
    </row>
    <row r="79" spans="1:18">
      <c r="B79" s="350" t="s">
        <v>1475</v>
      </c>
      <c r="C79" s="284">
        <f ca="1">1-C80</f>
        <v>0.626</v>
      </c>
    </row>
    <row r="80" spans="1:18">
      <c r="B80" s="350" t="s">
        <v>1476</v>
      </c>
      <c r="C80" s="284">
        <f ca="1">ROUND(C75/C39,3)</f>
        <v>0.374</v>
      </c>
    </row>
    <row r="81" spans="2:3">
      <c r="B81" s="280" t="s">
        <v>1477</v>
      </c>
      <c r="C81" s="248"/>
    </row>
    <row r="82" spans="2:3">
      <c r="B82" s="283" t="s">
        <v>1478</v>
      </c>
      <c r="C82" s="285">
        <f ca="1">1-C83</f>
        <v>0.76300000000000001</v>
      </c>
    </row>
    <row r="83" spans="2:3">
      <c r="B83" s="283" t="s">
        <v>1479</v>
      </c>
      <c r="C83" s="284">
        <f ca="1">ROUND(C13/C40,3)</f>
        <v>0.23699999999999999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1" priority="56">
      <formula>$L$48&gt;$J$51</formula>
    </cfRule>
  </conditionalFormatting>
  <conditionalFormatting sqref="I55 I60">
    <cfRule type="expression" dxfId="150" priority="57">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3.2"/>
  <cols>
    <col min="1" max="1" width="9" style="268" customWidth="1"/>
    <col min="2" max="2" width="20.6640625" style="667" customWidth="1"/>
    <col min="3" max="3" width="11.88671875" style="667" customWidth="1"/>
    <col min="4" max="4" width="40.44140625" style="268" customWidth="1"/>
    <col min="5" max="5" width="15.77734375" style="268" customWidth="1"/>
    <col min="6" max="6" width="10.6640625" style="268" customWidth="1"/>
    <col min="7" max="7" width="4.88671875" style="268" customWidth="1"/>
    <col min="8" max="8" width="8.44140625" style="268" customWidth="1"/>
    <col min="9" max="9" width="21.21875" style="268" customWidth="1"/>
    <col min="10" max="10" width="12.21875" style="268" customWidth="1"/>
    <col min="11" max="11" width="40.109375" style="1658" customWidth="1"/>
    <col min="12" max="12" width="16.33203125" style="268" customWidth="1"/>
    <col min="13" max="13" width="13" style="268" customWidth="1"/>
    <col min="14" max="14" width="13.77734375" style="1574" customWidth="1"/>
    <col min="15" max="15" width="5.109375" style="1574" customWidth="1"/>
    <col min="16" max="16" width="25.77734375" style="1574" customWidth="1"/>
    <col min="17" max="17" width="13.77734375" style="1574" customWidth="1"/>
    <col min="18" max="18" width="20.44140625" style="1574" customWidth="1"/>
    <col min="19" max="19" width="13.21875" style="1574" customWidth="1"/>
    <col min="20" max="37" width="9" style="1574"/>
    <col min="38" max="16384" width="9" style="268"/>
  </cols>
  <sheetData>
    <row r="1" spans="1:37" s="303" customFormat="1" ht="21.6">
      <c r="A1" s="1565" t="s">
        <v>1554</v>
      </c>
      <c r="B1" s="726"/>
      <c r="C1" s="1569"/>
      <c r="D1" s="1552"/>
      <c r="E1" s="1553" t="s">
        <v>1352</v>
      </c>
      <c r="F1" s="1197">
        <f ca="1">J53</f>
        <v>0</v>
      </c>
      <c r="G1" s="1568">
        <f>MATCH(C1,'数据-取费表'!A6:A16,0)+5</f>
        <v>7</v>
      </c>
      <c r="H1" s="2924"/>
      <c r="I1" s="2925"/>
      <c r="J1" s="2925"/>
      <c r="K1" s="2926"/>
      <c r="L1" s="2925"/>
      <c r="M1" s="2925"/>
      <c r="N1" s="737"/>
      <c r="O1" s="737"/>
      <c r="P1" s="737"/>
      <c r="Q1" s="737"/>
      <c r="R1" s="737"/>
      <c r="S1" s="737"/>
      <c r="T1" s="737"/>
      <c r="U1" s="737"/>
      <c r="V1" s="737"/>
      <c r="W1" s="737"/>
      <c r="X1" s="737"/>
      <c r="Y1" s="737"/>
      <c r="Z1" s="737"/>
      <c r="AA1" s="737"/>
      <c r="AB1" s="737"/>
      <c r="AC1" s="737"/>
      <c r="AD1" s="737"/>
      <c r="AE1" s="737"/>
      <c r="AF1" s="737"/>
      <c r="AG1" s="737"/>
      <c r="AH1" s="737"/>
      <c r="AI1" s="737"/>
      <c r="AJ1" s="737"/>
      <c r="AK1" s="737"/>
    </row>
    <row r="2" spans="1:37" ht="18" customHeight="1">
      <c r="A2" s="1575" t="s">
        <v>1555</v>
      </c>
      <c r="B2" s="1576" t="e">
        <f ca="1">ROUND(D2/10000,0)</f>
        <v>#DIV/0!</v>
      </c>
      <c r="C2" s="1577" t="s">
        <v>1556</v>
      </c>
      <c r="D2" s="1661" t="e">
        <f ca="1">C40+J29+L46</f>
        <v>#DIV/0!</v>
      </c>
      <c r="E2" s="1578" t="s">
        <v>1557</v>
      </c>
      <c r="F2" s="1579"/>
      <c r="G2" s="2938"/>
      <c r="H2" s="2927"/>
      <c r="I2" s="2927"/>
      <c r="J2" s="2927"/>
      <c r="K2" s="2928"/>
      <c r="L2" s="2927"/>
      <c r="M2" s="2927"/>
    </row>
    <row r="3" spans="1:37" ht="18" customHeight="1" thickBot="1">
      <c r="A3" s="1580" t="s">
        <v>1558</v>
      </c>
      <c r="B3" s="1581">
        <f ca="1">IF(ISERROR(D2/F43),0,ROUND(D2/F43,0))</f>
        <v>0</v>
      </c>
      <c r="C3" s="1577" t="s">
        <v>1559</v>
      </c>
      <c r="D3" s="1577"/>
      <c r="E3" s="1578"/>
      <c r="F3" s="1579"/>
      <c r="G3" s="2938"/>
      <c r="H3" s="696" t="s">
        <v>1553</v>
      </c>
      <c r="I3" s="1572"/>
      <c r="J3" s="1572"/>
      <c r="K3" s="1573"/>
      <c r="L3" s="1572"/>
      <c r="M3" s="1572"/>
    </row>
    <row r="4" spans="1:37" ht="18" customHeight="1">
      <c r="A4" s="305" t="s">
        <v>1560</v>
      </c>
      <c r="B4" s="306" t="s">
        <v>1561</v>
      </c>
      <c r="C4" s="306" t="s">
        <v>1562</v>
      </c>
      <c r="D4" s="306" t="s">
        <v>1563</v>
      </c>
      <c r="E4" s="307" t="s">
        <v>1564</v>
      </c>
      <c r="F4" s="308"/>
      <c r="G4" s="1574"/>
      <c r="H4" s="305" t="s">
        <v>1560</v>
      </c>
      <c r="I4" s="306" t="s">
        <v>1561</v>
      </c>
      <c r="J4" s="306" t="s">
        <v>1562</v>
      </c>
      <c r="K4" s="306" t="s">
        <v>1563</v>
      </c>
      <c r="L4" s="307" t="s">
        <v>1564</v>
      </c>
      <c r="M4" s="308"/>
    </row>
    <row r="5" spans="1:37" ht="18" customHeight="1">
      <c r="A5" s="309">
        <v>1</v>
      </c>
      <c r="B5" s="310" t="s">
        <v>1565</v>
      </c>
      <c r="C5" s="1206">
        <f ca="1">C6+C10+C12</f>
        <v>0</v>
      </c>
      <c r="D5" s="1554" t="s">
        <v>1566</v>
      </c>
      <c r="E5" s="1207"/>
      <c r="F5" s="1208"/>
      <c r="G5" s="1574"/>
      <c r="H5" s="309">
        <v>1</v>
      </c>
      <c r="I5" s="310" t="s">
        <v>1565</v>
      </c>
      <c r="J5" s="1206">
        <f ca="1">J6+J10+J12</f>
        <v>0</v>
      </c>
      <c r="K5" s="1554" t="s">
        <v>1566</v>
      </c>
      <c r="L5" s="1207"/>
      <c r="M5" s="1208"/>
    </row>
    <row r="6" spans="1:37" ht="18" customHeight="1">
      <c r="A6" s="1205" t="s">
        <v>1003</v>
      </c>
      <c r="B6" s="3336" t="s">
        <v>1368</v>
      </c>
      <c r="C6" s="1210">
        <f ca="1">ROUND(F6*F8*F7*(1-F9),0)</f>
        <v>0</v>
      </c>
      <c r="D6" s="164" t="s">
        <v>2856</v>
      </c>
      <c r="E6" s="312" t="s">
        <v>1370</v>
      </c>
      <c r="F6" s="313">
        <f ca="1">INDIRECT("'数据-取费表'!u"&amp;$G$1)</f>
        <v>0</v>
      </c>
      <c r="G6" s="1574"/>
      <c r="H6" s="1205" t="s">
        <v>1003</v>
      </c>
      <c r="I6" s="3336" t="s">
        <v>1368</v>
      </c>
      <c r="J6" s="311">
        <f ca="1">ROUND(M6*M8*M7*(1-M9),0)</f>
        <v>0</v>
      </c>
      <c r="K6" s="1566" t="s">
        <v>2857</v>
      </c>
      <c r="L6" s="312" t="s">
        <v>1370</v>
      </c>
      <c r="M6" s="313">
        <f ca="1">INDIRECT("'数据-取费表'!z"&amp;$G$1)</f>
        <v>0</v>
      </c>
    </row>
    <row r="7" spans="1:37" ht="18" customHeight="1">
      <c r="A7" s="1209"/>
      <c r="B7" s="3337"/>
      <c r="C7" s="1211"/>
      <c r="D7" s="317"/>
      <c r="E7" s="1212" t="s">
        <v>1371</v>
      </c>
      <c r="F7" s="313">
        <f ca="1">IF(INDIRECT("'数据-取费表'!ah"&amp;$G$1)="",INDIRECT("'数据-取费表'!k"&amp;$G$1),INDIRECT("'数据-取费表'!ah"&amp;$G$1))</f>
        <v>0</v>
      </c>
      <c r="G7" s="1574"/>
      <c r="H7" s="314"/>
      <c r="I7" s="3337"/>
      <c r="J7" s="316"/>
      <c r="K7" s="317"/>
      <c r="L7" s="312" t="s">
        <v>1371</v>
      </c>
      <c r="M7" s="313">
        <f ca="1">F7</f>
        <v>0</v>
      </c>
    </row>
    <row r="8" spans="1:37" ht="18" customHeight="1">
      <c r="A8" s="314"/>
      <c r="B8" s="3337"/>
      <c r="C8" s="316"/>
      <c r="D8" s="317"/>
      <c r="E8" s="312" t="s">
        <v>1372</v>
      </c>
      <c r="F8" s="313">
        <f ca="1">INDIRECT("'数据-取费表'!ai"&amp;$G$1)</f>
        <v>0</v>
      </c>
      <c r="G8" s="1574"/>
      <c r="H8" s="314"/>
      <c r="I8" s="3337"/>
      <c r="J8" s="316"/>
      <c r="K8" s="317"/>
      <c r="L8" s="312" t="s">
        <v>1372</v>
      </c>
      <c r="M8" s="313">
        <f ca="1">INDIRECT("'数据-取费表'!ai"&amp;$G$1)</f>
        <v>0</v>
      </c>
    </row>
    <row r="9" spans="1:37" ht="18" customHeight="1">
      <c r="A9" s="314"/>
      <c r="B9" s="3338"/>
      <c r="C9" s="316"/>
      <c r="D9" s="317"/>
      <c r="E9" s="312" t="s">
        <v>1373</v>
      </c>
      <c r="F9" s="322">
        <f ca="1">INDIRECT("'数据-取费表'!w"&amp;$G$1)</f>
        <v>0</v>
      </c>
      <c r="G9" s="1574"/>
      <c r="H9" s="314"/>
      <c r="I9" s="3338"/>
      <c r="J9" s="316"/>
      <c r="K9" s="317"/>
      <c r="L9" s="323" t="s">
        <v>1373</v>
      </c>
      <c r="M9" s="324">
        <f ca="1">INDIRECT("'数据-取费表'!ab"&amp;$G$1)</f>
        <v>0</v>
      </c>
    </row>
    <row r="10" spans="1:37" ht="18" customHeight="1">
      <c r="A10" s="1205" t="s">
        <v>1007</v>
      </c>
      <c r="B10" s="1555" t="s">
        <v>1374</v>
      </c>
      <c r="C10" s="326">
        <f ca="1">ROUND(IF(F10="押一",C6/12*F11,IF(F10="押二",C6/12*2*F11,IF(F10="押三",C6/12*3*F11,C11*F11))),0)</f>
        <v>0</v>
      </c>
      <c r="D10" s="1556" t="s">
        <v>2866</v>
      </c>
      <c r="E10" s="323" t="s">
        <v>1375</v>
      </c>
      <c r="F10" s="1280"/>
      <c r="G10" s="1574"/>
      <c r="H10" s="1205" t="s">
        <v>1007</v>
      </c>
      <c r="I10" s="1555" t="s">
        <v>1374</v>
      </c>
      <c r="J10" s="311">
        <f ca="1">ROUND(IF(M10="押一",J6/12*M11,IF(M10="押二",J6/12*2*M11,IF(M10="押三",J6/12*3*M11,J11*M11))),0)</f>
        <v>0</v>
      </c>
      <c r="K10" s="1567" t="s">
        <v>2868</v>
      </c>
      <c r="L10" s="323" t="s">
        <v>1375</v>
      </c>
      <c r="M10" s="1280"/>
    </row>
    <row r="11" spans="1:37" ht="18" customHeight="1">
      <c r="A11" s="318"/>
      <c r="B11" s="1557" t="s">
        <v>1567</v>
      </c>
      <c r="C11" s="1094"/>
      <c r="D11" s="317"/>
      <c r="E11" s="323" t="s">
        <v>1377</v>
      </c>
      <c r="F11" s="324">
        <f ca="1">'数据-取费表'!B39</f>
        <v>1.4999999999999999E-2</v>
      </c>
      <c r="G11" s="1574"/>
      <c r="H11" s="1213"/>
      <c r="I11" s="1557" t="s">
        <v>1568</v>
      </c>
      <c r="J11" s="1094"/>
      <c r="K11" s="697"/>
      <c r="L11" s="323" t="s">
        <v>1377</v>
      </c>
      <c r="M11" s="975">
        <f ca="1">'数据-取费表'!B39</f>
        <v>1.4999999999999999E-2</v>
      </c>
    </row>
    <row r="12" spans="1:37" ht="18" customHeight="1" thickBot="1">
      <c r="A12" s="1247" t="s">
        <v>1043</v>
      </c>
      <c r="B12" s="1559" t="s">
        <v>1378</v>
      </c>
      <c r="C12" s="1248"/>
      <c r="D12" s="1249"/>
      <c r="E12" s="1254"/>
      <c r="F12" s="1250"/>
      <c r="G12" s="1574"/>
      <c r="H12" s="1247" t="s">
        <v>1043</v>
      </c>
      <c r="I12" s="1559" t="s">
        <v>1378</v>
      </c>
      <c r="J12" s="1248"/>
      <c r="K12" s="1262"/>
      <c r="L12" s="1254"/>
      <c r="M12" s="1263"/>
    </row>
    <row r="13" spans="1:37" ht="18" customHeight="1" thickTop="1">
      <c r="A13" s="1243">
        <v>2</v>
      </c>
      <c r="B13" s="1244" t="s">
        <v>1379</v>
      </c>
      <c r="C13" s="320">
        <f ca="1">ROUND(C29*F13,0)</f>
        <v>0</v>
      </c>
      <c r="D13" s="1245" t="s">
        <v>1380</v>
      </c>
      <c r="E13" s="1245" t="s">
        <v>1381</v>
      </c>
      <c r="F13" s="1246">
        <f ca="1">INDIRECT("'数据-取费表'!y"&amp;$G$1)</f>
        <v>0</v>
      </c>
      <c r="G13" s="1574"/>
      <c r="H13" s="1243">
        <v>2</v>
      </c>
      <c r="I13" s="1244" t="s">
        <v>1379</v>
      </c>
      <c r="J13" s="1204">
        <f ca="1">ROUND(J14*J15,0)</f>
        <v>0</v>
      </c>
      <c r="K13" s="1251" t="s">
        <v>1380</v>
      </c>
      <c r="L13" s="1582"/>
      <c r="M13" s="1583"/>
    </row>
    <row r="14" spans="1:37" ht="18" customHeight="1">
      <c r="A14" s="1117" t="s">
        <v>1002</v>
      </c>
      <c r="B14" s="312" t="s">
        <v>1382</v>
      </c>
      <c r="C14" s="328">
        <f ca="1">ROUND(INDIRECT("'数据-取费表'!l"&amp;$G$1)*F43+'数据-取费表'!L14*INDIRECT("'数据-取费表'!S"&amp;$G$1),0)</f>
        <v>0</v>
      </c>
      <c r="D14" s="1535" t="s">
        <v>1383</v>
      </c>
      <c r="E14" s="1532"/>
      <c r="F14" s="329"/>
      <c r="G14" s="1574"/>
      <c r="H14" s="1117" t="s">
        <v>1003</v>
      </c>
      <c r="I14" s="312" t="s">
        <v>1384</v>
      </c>
      <c r="J14" s="24">
        <f ca="1">C29</f>
        <v>0</v>
      </c>
      <c r="K14" s="15"/>
      <c r="L14" s="920"/>
      <c r="M14" s="921"/>
    </row>
    <row r="15" spans="1:37" s="1587" customFormat="1" ht="18" customHeight="1" thickBot="1">
      <c r="A15" s="1117" t="s">
        <v>1004</v>
      </c>
      <c r="B15" s="312" t="s">
        <v>1385</v>
      </c>
      <c r="C15" s="24">
        <f ca="1">ROUND(C14*F15,0)</f>
        <v>0</v>
      </c>
      <c r="D15" s="330" t="s">
        <v>1386</v>
      </c>
      <c r="E15" s="330" t="s">
        <v>1387</v>
      </c>
      <c r="F15" s="331">
        <f>'数据-取费表'!B33</f>
        <v>0.03</v>
      </c>
      <c r="G15" s="1586"/>
      <c r="H15" s="1253" t="s">
        <v>1007</v>
      </c>
      <c r="I15" s="1254" t="s">
        <v>1381</v>
      </c>
      <c r="J15" s="1263">
        <f ca="1">INDIRECT("'数据-取费表'!ad"&amp;$G$1)</f>
        <v>0</v>
      </c>
      <c r="K15" s="1264"/>
      <c r="L15" s="1584"/>
      <c r="M15" s="1585"/>
      <c r="N15" s="1586"/>
      <c r="O15" s="1586"/>
      <c r="P15" s="1586"/>
      <c r="Q15" s="1586"/>
      <c r="R15" s="1586"/>
      <c r="S15" s="1586"/>
      <c r="T15" s="1586"/>
      <c r="U15" s="1586"/>
      <c r="V15" s="1586"/>
      <c r="W15" s="1586"/>
      <c r="X15" s="1586"/>
      <c r="Y15" s="1586"/>
      <c r="Z15" s="1586"/>
      <c r="AA15" s="1586"/>
      <c r="AB15" s="1586"/>
      <c r="AC15" s="1586"/>
      <c r="AD15" s="1586"/>
      <c r="AE15" s="1586"/>
      <c r="AF15" s="1586"/>
      <c r="AG15" s="1586"/>
      <c r="AH15" s="1586"/>
      <c r="AI15" s="1586"/>
      <c r="AJ15" s="1586"/>
      <c r="AK15" s="1586"/>
    </row>
    <row r="16" spans="1:37" ht="18" customHeight="1" thickTop="1">
      <c r="A16" s="1117" t="s">
        <v>1354</v>
      </c>
      <c r="B16" s="312" t="s">
        <v>1388</v>
      </c>
      <c r="C16" s="24">
        <f ca="1">ROUND(INDIRECT("'数据-取费表'!l"&amp;$G$1)*F43*F16,0)</f>
        <v>0</v>
      </c>
      <c r="D16" s="312" t="s">
        <v>1386</v>
      </c>
      <c r="E16" s="312" t="s">
        <v>1387</v>
      </c>
      <c r="F16" s="332">
        <f ca="1">IF(INDIRECT("'数据-取费表'!c"&amp;$G$1)="住宅",'数据-取费表'!B34,0)</f>
        <v>0</v>
      </c>
      <c r="G16" s="1574"/>
      <c r="H16" s="1243" t="s">
        <v>998</v>
      </c>
      <c r="I16" s="1244" t="s">
        <v>1389</v>
      </c>
      <c r="J16" s="320">
        <f ca="1">ROUND(J17+J22+J23+J24,0)</f>
        <v>0</v>
      </c>
      <c r="K16" s="1251" t="s">
        <v>1390</v>
      </c>
      <c r="L16" s="1252"/>
      <c r="M16" s="1208"/>
    </row>
    <row r="17" spans="1:37" s="1587" customFormat="1" ht="18" customHeight="1">
      <c r="A17" s="1117" t="s">
        <v>1355</v>
      </c>
      <c r="B17" s="312" t="s">
        <v>1391</v>
      </c>
      <c r="C17" s="24">
        <f ca="1">ROUND(F17*(F43+INDIRECT("'数据-取费表'!S"&amp;$G$1)),0)</f>
        <v>0</v>
      </c>
      <c r="D17" s="312" t="s">
        <v>1392</v>
      </c>
      <c r="E17" s="312" t="s">
        <v>1393</v>
      </c>
      <c r="F17" s="26">
        <f>'数据-取费表'!B35</f>
        <v>200</v>
      </c>
      <c r="G17" s="1586"/>
      <c r="H17" s="1117" t="s">
        <v>1003</v>
      </c>
      <c r="I17" s="312" t="s">
        <v>1394</v>
      </c>
      <c r="J17" s="2540">
        <f ca="1">ROUND(IF(AND(项目基本情况!B11="自然人",项目基本情况!B10="北京市"),J6*M17/(1+'数据-取费表'!F30),J18+J19+J20),0)</f>
        <v>0</v>
      </c>
      <c r="K17" s="1535" t="s">
        <v>1395</v>
      </c>
      <c r="L17" s="1534" t="s">
        <v>1396</v>
      </c>
      <c r="M17" s="2539" t="str">
        <f>IF(项目基本情况!B11="企业","",IF('数据-取费表'!B10="住宅",IF(M6*M7*M8/12/(1+'数据-取费表'!F30)&gt;100000,4%,2.5%),IF(M6*M7*M8/12/(1+'数据-取费表'!F30)&gt;100000,12%,7%)))</f>
        <v/>
      </c>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row>
    <row r="18" spans="1:37" s="1587" customFormat="1" ht="18" customHeight="1">
      <c r="A18" s="1117" t="s">
        <v>1356</v>
      </c>
      <c r="B18" s="312" t="s">
        <v>1397</v>
      </c>
      <c r="C18" s="24">
        <f ca="1">ROUND(C14*F18,0)</f>
        <v>0</v>
      </c>
      <c r="D18" s="312" t="s">
        <v>1386</v>
      </c>
      <c r="E18" s="312" t="s">
        <v>1387</v>
      </c>
      <c r="F18" s="332">
        <f>'数据-取费表'!B36</f>
        <v>1.4999999999999999E-2</v>
      </c>
      <c r="G18" s="1586"/>
      <c r="H18" s="1117" t="s">
        <v>1002</v>
      </c>
      <c r="I18" s="312" t="s">
        <v>1398</v>
      </c>
      <c r="J18" s="24">
        <f ca="1">ROUND(J6*M18/(1+'数据-取费表'!C42),0)</f>
        <v>0</v>
      </c>
      <c r="K18" s="1534" t="s">
        <v>1399</v>
      </c>
      <c r="L18" s="312" t="s">
        <v>1387</v>
      </c>
      <c r="M18" s="332">
        <f>'数据-取费表'!B41</f>
        <v>5.5000000000000007E-2</v>
      </c>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row>
    <row r="19" spans="1:37" ht="18" customHeight="1">
      <c r="A19" s="1117" t="s">
        <v>1003</v>
      </c>
      <c r="B19" s="312" t="s">
        <v>1400</v>
      </c>
      <c r="C19" s="24">
        <f ca="1">SUM(C14:C18)</f>
        <v>0</v>
      </c>
      <c r="D19" s="140" t="s">
        <v>1401</v>
      </c>
      <c r="E19" s="1550"/>
      <c r="F19" s="26"/>
      <c r="G19" s="1574"/>
      <c r="H19" s="1117" t="s">
        <v>1004</v>
      </c>
      <c r="I19" s="312" t="s">
        <v>1402</v>
      </c>
      <c r="J19" s="24">
        <f ca="1">IF(K19="按租金收入计税",ROUND(J6*M19/(1+'数据-取费表'!C42),0),ROUND(C29*M19*0.7,0))</f>
        <v>0</v>
      </c>
      <c r="K19" s="1560" t="s">
        <v>1403</v>
      </c>
      <c r="L19" s="312" t="s">
        <v>1387</v>
      </c>
      <c r="M19" s="332">
        <f>IF(K19="按租金收入计税",'数据-取费表'!B51,'数据-取费表'!B50)</f>
        <v>1.2E-2</v>
      </c>
    </row>
    <row r="20" spans="1:37" s="1587" customFormat="1" ht="18" customHeight="1">
      <c r="A20" s="1117" t="s">
        <v>1007</v>
      </c>
      <c r="B20" s="312" t="s">
        <v>1404</v>
      </c>
      <c r="C20" s="24">
        <f ca="1">ROUND(C19*F20,0)</f>
        <v>0</v>
      </c>
      <c r="D20" s="333" t="s">
        <v>1405</v>
      </c>
      <c r="E20" s="312" t="s">
        <v>1387</v>
      </c>
      <c r="F20" s="332">
        <f>'数据-取费表'!B37</f>
        <v>0.02</v>
      </c>
      <c r="G20" s="1586"/>
      <c r="H20" s="1117" t="s">
        <v>1354</v>
      </c>
      <c r="I20" s="164" t="s">
        <v>1406</v>
      </c>
      <c r="J20" s="25">
        <f ca="1">ROUND(M20*M21,0)</f>
        <v>0</v>
      </c>
      <c r="K20" s="334" t="s">
        <v>1407</v>
      </c>
      <c r="L20" s="312" t="s">
        <v>1408</v>
      </c>
      <c r="M20" s="335">
        <f>'数据-取费表'!B52</f>
        <v>3</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row>
    <row r="21" spans="1:37" s="1587" customFormat="1" ht="18" customHeight="1">
      <c r="A21" s="1117" t="s">
        <v>1043</v>
      </c>
      <c r="B21" s="312" t="s">
        <v>1409</v>
      </c>
      <c r="C21" s="24" t="s">
        <v>1</v>
      </c>
      <c r="D21" s="333" t="s">
        <v>1410</v>
      </c>
      <c r="E21" s="312" t="s">
        <v>1411</v>
      </c>
      <c r="F21" s="332">
        <f>'数据-取费表'!B38</f>
        <v>0.02</v>
      </c>
      <c r="G21" s="1586"/>
      <c r="H21" s="336"/>
      <c r="I21" s="321"/>
      <c r="J21" s="29"/>
      <c r="K21" s="337"/>
      <c r="L21" s="312" t="s">
        <v>1412</v>
      </c>
      <c r="M21" s="313">
        <f ca="1">INDIRECT("'数据-取费表'!r"&amp;$G$1)</f>
        <v>0</v>
      </c>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row>
    <row r="22" spans="1:37" ht="18" customHeight="1">
      <c r="A22" s="1117" t="s">
        <v>1357</v>
      </c>
      <c r="B22" s="312" t="s">
        <v>1413</v>
      </c>
      <c r="C22" s="24"/>
      <c r="D22" s="140" t="str">
        <f>IF(F23&lt;=1,"单利计息。","复利计息。")&amp;"建造成本、管理费用、销售费用产生的利息。"</f>
        <v>复利计息。建造成本、管理费用、销售费用产生的利息。</v>
      </c>
      <c r="E22" s="1550"/>
      <c r="F22" s="26"/>
      <c r="G22" s="1574"/>
      <c r="H22" s="1117" t="s">
        <v>1007</v>
      </c>
      <c r="I22" s="312" t="s">
        <v>1414</v>
      </c>
      <c r="J22" s="24">
        <f ca="1">ROUND(J14*M22,0)</f>
        <v>0</v>
      </c>
      <c r="K22" s="1534" t="s">
        <v>1415</v>
      </c>
      <c r="L22" s="312" t="s">
        <v>1387</v>
      </c>
      <c r="M22" s="338">
        <f ca="1">INDIRECT("'数据-取费表'!Ak"&amp;$G$1)</f>
        <v>0</v>
      </c>
    </row>
    <row r="23" spans="1:37" s="1587" customFormat="1" ht="18" customHeight="1">
      <c r="A23" s="1117" t="s">
        <v>1002</v>
      </c>
      <c r="B23" s="312" t="s">
        <v>1416</v>
      </c>
      <c r="C23" s="24">
        <f ca="1">IF('数据-取费表'!B22&lt;=1,ROUND(C19*F24*F23/2,0)+ROUND(C20*F24*F23/2,0),ROUND(C19*(POWER((1+F24),F23/2)-1),0)+ROUND(C20*(POWER((1+F24),F23/2)-1),0))</f>
        <v>0</v>
      </c>
      <c r="D23" s="339" t="str">
        <f>IF(F23&lt;=1,"(建造成本+管理费用)×利率×(建设周期÷2)","(建造成本+管理费用)×((1+利率)^(建设周期÷2)-1)")</f>
        <v>(建造成本+管理费用)×((1+利率)^(建设周期÷2)-1)</v>
      </c>
      <c r="E23" s="312" t="s">
        <v>1417</v>
      </c>
      <c r="F23" s="335">
        <f>'数据-取费表'!B20</f>
        <v>1.5</v>
      </c>
      <c r="G23" s="1586"/>
      <c r="H23" s="1117" t="s">
        <v>1043</v>
      </c>
      <c r="I23" s="312" t="s">
        <v>1418</v>
      </c>
      <c r="J23" s="24">
        <f ca="1">ROUND(J13*M23,0)</f>
        <v>0</v>
      </c>
      <c r="K23" s="1534" t="s">
        <v>1419</v>
      </c>
      <c r="L23" s="312" t="s">
        <v>1420</v>
      </c>
      <c r="M23" s="340">
        <f ca="1">INDIRECT("'数据-取费表'!Al"&amp;$G$1)</f>
        <v>0</v>
      </c>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row>
    <row r="24" spans="1:37" s="1587" customFormat="1" ht="18" customHeight="1" thickBot="1">
      <c r="A24" s="1117" t="s">
        <v>1421</v>
      </c>
      <c r="B24" s="312" t="s">
        <v>1422</v>
      </c>
      <c r="C24" s="24">
        <f ca="1">ROUND(IF('数据-取费表'!B22&lt;=1,F21*F24*F23/2,F21*(POWER((1+F24),F23/2)-1)),4)</f>
        <v>6.9999999999999999E-4</v>
      </c>
      <c r="D24" s="339" t="str">
        <f>IF(F23&lt;=1,"销售费用×利率×(建设周期÷2)","销售费用×((1+利率)^(建设周期÷2)-1)")</f>
        <v>销售费用×((1+利率)^(建设周期÷2)-1)</v>
      </c>
      <c r="E24" s="312" t="s">
        <v>1423</v>
      </c>
      <c r="F24" s="341">
        <f ca="1">'数据-取费表'!B40</f>
        <v>4.7500000000000001E-2</v>
      </c>
      <c r="G24" s="1586"/>
      <c r="H24" s="1253" t="s">
        <v>1358</v>
      </c>
      <c r="I24" s="1254" t="s">
        <v>1404</v>
      </c>
      <c r="J24" s="1255">
        <f ca="1">ROUND(J5*M24,0)</f>
        <v>0</v>
      </c>
      <c r="K24" s="1256" t="s">
        <v>1424</v>
      </c>
      <c r="L24" s="1254" t="s">
        <v>1420</v>
      </c>
      <c r="M24" s="1250">
        <f ca="1">INDIRECT("'数据-取费表'!Am"&amp;$G$1)</f>
        <v>0</v>
      </c>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row>
    <row r="25" spans="1:37" ht="18" customHeight="1" thickTop="1">
      <c r="A25" s="1117" t="s">
        <v>1425</v>
      </c>
      <c r="B25" s="312" t="s">
        <v>1426</v>
      </c>
      <c r="C25" s="24"/>
      <c r="D25" s="140" t="s">
        <v>1427</v>
      </c>
      <c r="E25" s="1550"/>
      <c r="F25" s="26"/>
      <c r="G25" s="1574"/>
      <c r="H25" s="1243" t="s">
        <v>999</v>
      </c>
      <c r="I25" s="1258" t="s">
        <v>1428</v>
      </c>
      <c r="J25" s="320">
        <f ca="1">J5-J16</f>
        <v>0</v>
      </c>
      <c r="K25" s="1259" t="s">
        <v>1429</v>
      </c>
      <c r="L25" s="1260"/>
      <c r="M25" s="1261"/>
    </row>
    <row r="26" spans="1:37" ht="18" customHeight="1">
      <c r="A26" s="1117" t="s">
        <v>1002</v>
      </c>
      <c r="B26" s="312" t="s">
        <v>1430</v>
      </c>
      <c r="C26" s="24">
        <f ca="1">ROUND((C19+C20)*F26,0)</f>
        <v>0</v>
      </c>
      <c r="D26" s="333" t="s">
        <v>1431</v>
      </c>
      <c r="E26" s="323" t="s">
        <v>1432</v>
      </c>
      <c r="F26" s="322">
        <f ca="1">INDIRECT("'数据-取费表'!q"&amp;$G$1)</f>
        <v>0</v>
      </c>
      <c r="G26" s="1574"/>
      <c r="H26" s="309" t="s">
        <v>1000</v>
      </c>
      <c r="I26" s="310" t="s">
        <v>1433</v>
      </c>
      <c r="J26" s="311">
        <f ca="1">IF(J5&lt;&gt;0,ROUND(J25*(1-((1+M28)/(1+M26))^M27)/(M26-M28),0),0)</f>
        <v>0</v>
      </c>
      <c r="K26" s="334" t="s">
        <v>1434</v>
      </c>
      <c r="L26" s="312" t="s">
        <v>1435</v>
      </c>
      <c r="M26" s="322">
        <f ca="1">INDIRECT("'数据-取费表'!I"&amp;$G$1)</f>
        <v>0</v>
      </c>
    </row>
    <row r="27" spans="1:37" ht="18" customHeight="1">
      <c r="A27" s="1117" t="s">
        <v>1004</v>
      </c>
      <c r="B27" s="312" t="s">
        <v>1436</v>
      </c>
      <c r="C27" s="24">
        <f ca="1">ROUND(F21*F26,4)</f>
        <v>0</v>
      </c>
      <c r="D27" s="333" t="s">
        <v>1437</v>
      </c>
      <c r="E27" s="330"/>
      <c r="F27" s="331"/>
      <c r="G27" s="1574"/>
      <c r="H27" s="314"/>
      <c r="I27" s="315"/>
      <c r="J27" s="316"/>
      <c r="K27" s="342" t="s">
        <v>1438</v>
      </c>
      <c r="L27" s="312" t="s">
        <v>1439</v>
      </c>
      <c r="M27" s="343">
        <f ca="1">INDIRECT("'数据-取费表'!ag"&amp;$G$1)</f>
        <v>0</v>
      </c>
    </row>
    <row r="28" spans="1:37" s="1587" customFormat="1" ht="18" customHeight="1">
      <c r="A28" s="1117" t="s">
        <v>1005</v>
      </c>
      <c r="B28" s="312" t="s">
        <v>1440</v>
      </c>
      <c r="C28" s="24">
        <f>ROUND(F28/(1+'数据-取费表'!C42),4)</f>
        <v>5.2400000000000002E-2</v>
      </c>
      <c r="D28" s="333" t="s">
        <v>1441</v>
      </c>
      <c r="E28" s="312" t="s">
        <v>1387</v>
      </c>
      <c r="F28" s="332">
        <f>'数据-取费表'!B41</f>
        <v>5.5000000000000007E-2</v>
      </c>
      <c r="G28" s="1586"/>
      <c r="H28" s="318"/>
      <c r="I28" s="319"/>
      <c r="J28" s="320"/>
      <c r="K28" s="337"/>
      <c r="L28" s="312" t="s">
        <v>1442</v>
      </c>
      <c r="M28" s="322">
        <f ca="1">INDIRECT("'数据-取费表'!aa"&amp;$G$1)</f>
        <v>0</v>
      </c>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row>
    <row r="29" spans="1:37" s="1587" customFormat="1" ht="18" customHeight="1" thickBot="1">
      <c r="A29" s="1253" t="s">
        <v>1006</v>
      </c>
      <c r="B29" s="1254" t="s">
        <v>1443</v>
      </c>
      <c r="C29" s="1255">
        <f ca="1">ROUND((C19+C20+C23+C26)/(1-F21-C24-C27-C28),0)</f>
        <v>0</v>
      </c>
      <c r="D29" s="1256"/>
      <c r="E29" s="1254"/>
      <c r="F29" s="1257"/>
      <c r="G29" s="1586"/>
      <c r="H29" s="344" t="s">
        <v>1001</v>
      </c>
      <c r="I29" s="345" t="s">
        <v>1444</v>
      </c>
      <c r="J29" s="346">
        <f ca="1">ROUND(J26/(1+F40)^F41,0)</f>
        <v>0</v>
      </c>
      <c r="K29" s="347" t="s">
        <v>1445</v>
      </c>
      <c r="L29" s="348"/>
      <c r="M29" s="349">
        <f ca="1">INDIRECT("'数据-取费表'!k"&amp;$G$1)</f>
        <v>0</v>
      </c>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row>
    <row r="30" spans="1:37" ht="18" customHeight="1" thickTop="1">
      <c r="A30" s="1243" t="s">
        <v>998</v>
      </c>
      <c r="B30" s="1244" t="s">
        <v>1389</v>
      </c>
      <c r="C30" s="320">
        <f ca="1">ROUND(C31+C36+C37+C38,0)</f>
        <v>0</v>
      </c>
      <c r="D30" s="1251" t="s">
        <v>1390</v>
      </c>
      <c r="E30" s="1252"/>
      <c r="F30" s="1208"/>
      <c r="G30" s="1574"/>
      <c r="H30" s="2929"/>
      <c r="I30" s="1588"/>
      <c r="J30" s="1589"/>
      <c r="K30" s="2703"/>
      <c r="L30" s="2930"/>
      <c r="M30" s="2931"/>
    </row>
    <row r="31" spans="1:37" ht="18" customHeight="1">
      <c r="A31" s="1117" t="s">
        <v>1003</v>
      </c>
      <c r="B31" s="312" t="s">
        <v>1394</v>
      </c>
      <c r="C31" s="2540">
        <f ca="1">ROUND(IF(AND(项目基本情况!B11="自然人",项目基本情况!B10="北京市"),C6*F31/(1+'数据-取费表'!F30),C32+C33+C34),0)</f>
        <v>0</v>
      </c>
      <c r="D31" s="1535" t="s">
        <v>1395</v>
      </c>
      <c r="E31" s="1534" t="s">
        <v>1446</v>
      </c>
      <c r="F31" s="2539" t="str">
        <f>IF(项目基本情况!B11="企业","——",IF('数据-取费表'!B10="住宅",IF(F6*F7*F8/12/(1+'数据-取费表'!F30)&gt;100000,4%,2.5%),IF(F6*F7*F8/12/(1+'数据-取费表'!F30)&gt;100000,12%,7%)))</f>
        <v>——</v>
      </c>
      <c r="G31" s="1574"/>
      <c r="H31" s="2929"/>
      <c r="I31" s="1588"/>
      <c r="J31" s="1589"/>
      <c r="K31" s="2703"/>
      <c r="L31" s="2930"/>
      <c r="M31" s="2931"/>
    </row>
    <row r="32" spans="1:37" ht="18" customHeight="1">
      <c r="A32" s="1117" t="s">
        <v>1002</v>
      </c>
      <c r="B32" s="312" t="s">
        <v>1398</v>
      </c>
      <c r="C32" s="24">
        <f ca="1">IF(项目基本情况!B11="自然人","——",ROUND(C6*F32/(1+'数据-取费表'!C42),0))</f>
        <v>0</v>
      </c>
      <c r="D32" s="1534" t="s">
        <v>1399</v>
      </c>
      <c r="E32" s="312" t="s">
        <v>1387</v>
      </c>
      <c r="F32" s="341">
        <f>'数据-取费表'!B41</f>
        <v>5.5000000000000007E-2</v>
      </c>
      <c r="G32" s="1574"/>
      <c r="H32" s="2929"/>
      <c r="I32" s="1588"/>
      <c r="J32" s="1589"/>
      <c r="K32" s="2703"/>
      <c r="L32" s="2930"/>
      <c r="M32" s="2931"/>
    </row>
    <row r="33" spans="1:18" ht="18" customHeight="1">
      <c r="A33" s="1117" t="s">
        <v>1004</v>
      </c>
      <c r="B33" s="312" t="s">
        <v>1402</v>
      </c>
      <c r="C33" s="24">
        <f ca="1">IF(项目基本情况!B11="自然人","——",IF(D33="按租金收入计税",ROUND(C6*F33/(1+'数据-取费表'!C42),0),IF(D33="按房产原值计税",ROUND(C29*F33*0.7,0),INDIRECT("'数据-取费表'!Aj"&amp;$G$1))))</f>
        <v>0</v>
      </c>
      <c r="D33" s="1560" t="s">
        <v>1403</v>
      </c>
      <c r="E33" s="312" t="s">
        <v>1387</v>
      </c>
      <c r="F33" s="332">
        <f>IF(D33="按票据","——",IF(D33="按租金收入计税",'数据-取费表'!B51,'数据-取费表'!B50))</f>
        <v>1.2E-2</v>
      </c>
      <c r="G33" s="1574"/>
      <c r="H33" s="2932"/>
      <c r="I33" s="1588"/>
      <c r="J33" s="1589"/>
      <c r="K33" s="2933"/>
      <c r="L33" s="2932"/>
      <c r="M33" s="2932"/>
    </row>
    <row r="34" spans="1:18" ht="18" customHeight="1">
      <c r="A34" s="1205" t="s">
        <v>1354</v>
      </c>
      <c r="B34" s="164" t="s">
        <v>1406</v>
      </c>
      <c r="C34" s="25">
        <f ca="1">IF(项目基本情况!B11="自然人","——",ROUND(F34*F35,))</f>
        <v>0</v>
      </c>
      <c r="D34" s="334" t="s">
        <v>1407</v>
      </c>
      <c r="E34" s="312" t="s">
        <v>1408</v>
      </c>
      <c r="F34" s="335">
        <f>'数据-取费表'!B52</f>
        <v>3</v>
      </c>
      <c r="G34" s="1574"/>
      <c r="H34" s="2929"/>
      <c r="I34" s="1588"/>
      <c r="J34" s="1589"/>
      <c r="K34" s="2934"/>
      <c r="L34" s="2935"/>
      <c r="M34" s="2935"/>
    </row>
    <row r="35" spans="1:18" ht="18" customHeight="1">
      <c r="A35" s="1267"/>
      <c r="B35" s="1265"/>
      <c r="C35" s="29"/>
      <c r="D35" s="337"/>
      <c r="E35" s="312" t="s">
        <v>1412</v>
      </c>
      <c r="F35" s="313">
        <f ca="1">INDIRECT("'数据-取费表'!r"&amp;$G$1)</f>
        <v>0</v>
      </c>
      <c r="G35" s="1574"/>
      <c r="H35" s="2929"/>
      <c r="I35" s="1588"/>
      <c r="J35" s="1589"/>
      <c r="K35" s="2933"/>
      <c r="L35" s="2932"/>
      <c r="M35" s="2932"/>
    </row>
    <row r="36" spans="1:18" ht="18" customHeight="1">
      <c r="A36" s="1266" t="s">
        <v>1007</v>
      </c>
      <c r="B36" s="312" t="s">
        <v>1414</v>
      </c>
      <c r="C36" s="24">
        <f ca="1">ROUND(C29*F36,0)</f>
        <v>0</v>
      </c>
      <c r="D36" s="1534" t="s">
        <v>1447</v>
      </c>
      <c r="E36" s="312" t="s">
        <v>1387</v>
      </c>
      <c r="F36" s="338">
        <f ca="1">INDIRECT("'数据-取费表'!Ak"&amp;$G$1)</f>
        <v>0</v>
      </c>
      <c r="G36" s="1574"/>
      <c r="H36" s="2932"/>
      <c r="I36" s="1588"/>
      <c r="J36" s="1589"/>
      <c r="K36" s="2771"/>
      <c r="L36" s="2932"/>
      <c r="M36" s="2932"/>
    </row>
    <row r="37" spans="1:18" ht="18" customHeight="1">
      <c r="A37" s="1117" t="s">
        <v>1043</v>
      </c>
      <c r="B37" s="312" t="s">
        <v>1418</v>
      </c>
      <c r="C37" s="24">
        <f ca="1">ROUND(C13*F37,0)</f>
        <v>0</v>
      </c>
      <c r="D37" s="1534" t="s">
        <v>1419</v>
      </c>
      <c r="E37" s="312" t="s">
        <v>1420</v>
      </c>
      <c r="F37" s="340">
        <f ca="1">INDIRECT("'数据-取费表'!Al"&amp;$G$1)</f>
        <v>0</v>
      </c>
      <c r="G37" s="1574"/>
      <c r="H37" s="2932"/>
      <c r="I37" s="1588"/>
      <c r="J37" s="1589"/>
      <c r="K37" s="2771"/>
      <c r="L37" s="2932"/>
      <c r="M37" s="2932"/>
    </row>
    <row r="38" spans="1:18" ht="18" customHeight="1" thickBot="1">
      <c r="A38" s="1253" t="s">
        <v>1358</v>
      </c>
      <c r="B38" s="1254" t="s">
        <v>1404</v>
      </c>
      <c r="C38" s="1255">
        <f ca="1">ROUND(C5*F38,1)</f>
        <v>0</v>
      </c>
      <c r="D38" s="1256" t="s">
        <v>1424</v>
      </c>
      <c r="E38" s="1254" t="s">
        <v>1420</v>
      </c>
      <c r="F38" s="1250">
        <f ca="1">INDIRECT("'数据-取费表'!Am"&amp;$G$1)</f>
        <v>0</v>
      </c>
      <c r="G38" s="1574"/>
      <c r="H38" s="2932"/>
      <c r="I38" s="1588"/>
      <c r="J38" s="1589"/>
      <c r="K38" s="2936"/>
      <c r="L38" s="2932"/>
      <c r="M38" s="2932"/>
    </row>
    <row r="39" spans="1:18" ht="24.6" customHeight="1" thickTop="1">
      <c r="A39" s="1243" t="s">
        <v>999</v>
      </c>
      <c r="B39" s="1258" t="s">
        <v>1448</v>
      </c>
      <c r="C39" s="320">
        <f ca="1">C5-C30</f>
        <v>0</v>
      </c>
      <c r="D39" s="1259" t="s">
        <v>1449</v>
      </c>
      <c r="E39" s="1260"/>
      <c r="F39" s="1261"/>
      <c r="G39" s="1574"/>
      <c r="H39" s="2932"/>
      <c r="I39" s="1588"/>
      <c r="J39" s="1589"/>
      <c r="K39" s="2936"/>
      <c r="L39" s="2932"/>
      <c r="M39" s="2932"/>
    </row>
    <row r="40" spans="1:18" ht="18" customHeight="1">
      <c r="A40" s="309" t="s">
        <v>1000</v>
      </c>
      <c r="B40" s="310" t="s">
        <v>1450</v>
      </c>
      <c r="C40" s="311" t="e">
        <f ca="1">ROUND(C39*(1-((1+F42)/(1+F40))^F41)/(F40-F42),0)</f>
        <v>#DIV/0!</v>
      </c>
      <c r="D40" s="334" t="s">
        <v>1434</v>
      </c>
      <c r="E40" s="312" t="s">
        <v>1435</v>
      </c>
      <c r="F40" s="322">
        <f ca="1">INDIRECT("'数据-取费表'!I"&amp;$G$1)</f>
        <v>0</v>
      </c>
      <c r="G40" s="1574"/>
      <c r="H40" s="1651"/>
      <c r="I40" s="1588"/>
      <c r="J40" s="1589"/>
      <c r="K40" s="2936"/>
      <c r="L40" s="1651"/>
      <c r="M40" s="1651"/>
    </row>
    <row r="41" spans="1:18" ht="18" customHeight="1">
      <c r="A41" s="314"/>
      <c r="B41" s="315"/>
      <c r="C41" s="316"/>
      <c r="D41" s="342" t="s">
        <v>1451</v>
      </c>
      <c r="E41" s="312" t="s">
        <v>1439</v>
      </c>
      <c r="F41" s="343">
        <f ca="1">IF(INDIRECT("'数据-取费表'!af"&amp;$G$1)=0,INDIRECT("'数据-取费表'!ae"&amp;$G$1),INDIRECT("'数据-取费表'!af"&amp;$G$1))</f>
        <v>0</v>
      </c>
      <c r="G41" s="1574"/>
      <c r="H41" s="1357"/>
      <c r="I41" s="1588"/>
      <c r="J41" s="1589"/>
      <c r="K41" s="2771"/>
      <c r="L41" s="1357"/>
      <c r="M41" s="1357"/>
    </row>
    <row r="42" spans="1:18" ht="18" customHeight="1">
      <c r="A42" s="318"/>
      <c r="B42" s="319"/>
      <c r="C42" s="320"/>
      <c r="D42" s="337"/>
      <c r="E42" s="312" t="s">
        <v>1442</v>
      </c>
      <c r="F42" s="322">
        <f ca="1">INDIRECT("'数据-取费表'!v"&amp;$G$1)</f>
        <v>0</v>
      </c>
      <c r="G42" s="1574"/>
      <c r="H42" s="1357"/>
      <c r="I42" s="1588"/>
      <c r="J42" s="1589"/>
      <c r="K42" s="2771"/>
      <c r="L42" s="1357"/>
      <c r="M42" s="1357"/>
    </row>
    <row r="43" spans="1:18" ht="18" customHeight="1" thickBot="1">
      <c r="A43" s="344" t="s">
        <v>1001</v>
      </c>
      <c r="B43" s="345" t="s">
        <v>1452</v>
      </c>
      <c r="C43" s="346" t="e">
        <f ca="1">ROUND(C40/F43,0)</f>
        <v>#DIV/0!</v>
      </c>
      <c r="D43" s="347" t="s">
        <v>1453</v>
      </c>
      <c r="E43" s="348" t="s">
        <v>1454</v>
      </c>
      <c r="F43" s="349">
        <f ca="1">INDIRECT("'数据-取费表'!k"&amp;$G$1)</f>
        <v>0</v>
      </c>
      <c r="G43" s="1574"/>
      <c r="H43" s="1357"/>
      <c r="I43" s="1357"/>
      <c r="J43" s="1357"/>
      <c r="K43" s="2771"/>
      <c r="L43" s="1357"/>
      <c r="M43" s="1357"/>
    </row>
    <row r="44" spans="1:18" s="1574" customFormat="1" ht="18" customHeight="1">
      <c r="A44" s="1590"/>
      <c r="B44" s="1590"/>
      <c r="C44" s="1591"/>
      <c r="D44" s="1590"/>
      <c r="E44" s="1590"/>
      <c r="F44" s="1590"/>
      <c r="K44" s="1592"/>
    </row>
    <row r="45" spans="1:18" s="1574" customFormat="1" ht="18" customHeight="1" thickBot="1">
      <c r="A45" s="1590"/>
      <c r="B45" s="1590"/>
      <c r="C45" s="1662" t="e">
        <f ca="1">C68-C40</f>
        <v>#DIV/0!</v>
      </c>
      <c r="D45" s="1663" t="s">
        <v>1569</v>
      </c>
      <c r="E45" s="1590"/>
      <c r="F45" s="1590"/>
      <c r="O45" s="1593" t="s">
        <v>1484</v>
      </c>
      <c r="P45" s="1651"/>
      <c r="Q45" s="1651"/>
      <c r="R45" s="1651"/>
    </row>
    <row r="46" spans="1:18" s="1574" customFormat="1" ht="13.8" thickBot="1">
      <c r="A46" s="1594" t="s">
        <v>1485</v>
      </c>
      <c r="C46" s="1595" t="e">
        <f ca="1">ROUND(C45/10000,0)</f>
        <v>#DIV/0!</v>
      </c>
      <c r="D46" s="1596" t="str">
        <f>C2</f>
        <v>万元</v>
      </c>
      <c r="I46" s="1597" t="s">
        <v>1486</v>
      </c>
      <c r="J46" s="1598"/>
      <c r="K46" s="1599"/>
      <c r="L46" s="1600" t="e">
        <f ca="1">IF(M47="住宅",0,IF(L48&gt;J51,L60,J60))</f>
        <v>#DIV/0!</v>
      </c>
      <c r="O46" s="1601" t="s">
        <v>1487</v>
      </c>
      <c r="P46" s="1602" t="s">
        <v>1488</v>
      </c>
      <c r="Q46" s="1603" t="s">
        <v>1489</v>
      </c>
      <c r="R46" s="1603" t="s">
        <v>1490</v>
      </c>
    </row>
    <row r="47" spans="1:18" s="1574" customFormat="1" ht="13.8" thickBot="1">
      <c r="A47" s="1081" t="s">
        <v>1361</v>
      </c>
      <c r="B47" s="1113" t="s">
        <v>1362</v>
      </c>
      <c r="C47" s="1113" t="s">
        <v>1363</v>
      </c>
      <c r="D47" s="1113" t="s">
        <v>1364</v>
      </c>
      <c r="E47" s="1193" t="s">
        <v>1365</v>
      </c>
      <c r="F47" s="1194"/>
      <c r="G47" s="735"/>
      <c r="I47" s="1604" t="s">
        <v>1491</v>
      </c>
      <c r="J47" s="1605"/>
      <c r="K47" s="1606" t="s">
        <v>1492</v>
      </c>
      <c r="L47" s="1607">
        <f ca="1">INDIRECT("'数据-取费表'!d"&amp;$G$1)</f>
        <v>0</v>
      </c>
      <c r="M47" s="1570" t="str">
        <f>IF(ISNUMBER(FIND("住宅",C1)),"住宅","非住宅")</f>
        <v>非住宅</v>
      </c>
      <c r="O47" s="1608" t="s">
        <v>1008</v>
      </c>
      <c r="P47" s="1609" t="s">
        <v>1493</v>
      </c>
      <c r="Q47" s="1610" t="e">
        <f ca="1">C40+J29</f>
        <v>#DIV/0!</v>
      </c>
      <c r="R47" s="1610" t="s">
        <v>1494</v>
      </c>
    </row>
    <row r="48" spans="1:18" s="1574" customFormat="1" ht="40.200000000000003" thickBot="1">
      <c r="A48" s="1274" t="s">
        <v>1103</v>
      </c>
      <c r="B48" s="310" t="s">
        <v>1366</v>
      </c>
      <c r="C48" s="1549">
        <f ca="1">C49+C53+C55</f>
        <v>0</v>
      </c>
      <c r="D48" s="1276"/>
      <c r="E48" s="1277"/>
      <c r="F48" s="1097"/>
      <c r="G48" s="735"/>
      <c r="H48" s="736"/>
      <c r="I48" s="1611" t="s">
        <v>1495</v>
      </c>
      <c r="J48" s="1612"/>
      <c r="K48" s="1613" t="s">
        <v>1496</v>
      </c>
      <c r="L48" s="1614">
        <f ca="1">INDIRECT("'数据-取费表'!f"&amp;$G$1)</f>
        <v>0</v>
      </c>
      <c r="O48" s="1608" t="s">
        <v>1009</v>
      </c>
      <c r="P48" s="1609" t="s">
        <v>1497</v>
      </c>
      <c r="Q48" s="1610" t="e">
        <f ca="1">J60</f>
        <v>#DIV/0!</v>
      </c>
      <c r="R48" s="1610" t="s">
        <v>1498</v>
      </c>
    </row>
    <row r="49" spans="1:18" s="1574" customFormat="1" ht="13.8" thickBot="1">
      <c r="A49" s="1110" t="s">
        <v>1104</v>
      </c>
      <c r="B49" s="1561" t="s">
        <v>1455</v>
      </c>
      <c r="C49" s="1278">
        <f ca="1">ROUND(F49*F51*F50*(1-F52),0)</f>
        <v>0</v>
      </c>
      <c r="D49" s="1190" t="s">
        <v>1369</v>
      </c>
      <c r="E49" s="1562" t="s">
        <v>1456</v>
      </c>
      <c r="F49" s="1195"/>
      <c r="G49" s="1615"/>
      <c r="H49" s="736"/>
      <c r="I49" s="1611" t="s">
        <v>1499</v>
      </c>
      <c r="J49" s="1616"/>
      <c r="K49" s="1613" t="s">
        <v>1500</v>
      </c>
      <c r="L49" s="1617"/>
      <c r="O49" s="1618" t="s">
        <v>1010</v>
      </c>
      <c r="P49" s="1609" t="s">
        <v>1501</v>
      </c>
      <c r="Q49" s="1610">
        <f ca="1">C29</f>
        <v>0</v>
      </c>
      <c r="R49" s="1610" t="s">
        <v>1494</v>
      </c>
    </row>
    <row r="50" spans="1:18" s="1574" customFormat="1" ht="13.8" thickBot="1">
      <c r="A50" s="1111"/>
      <c r="B50" s="1114"/>
      <c r="C50" s="1115"/>
      <c r="D50" s="1088"/>
      <c r="E50" s="1191" t="s">
        <v>1371</v>
      </c>
      <c r="F50" s="1192">
        <f ca="1">F7</f>
        <v>0</v>
      </c>
      <c r="H50" s="736"/>
      <c r="I50" s="1611" t="s">
        <v>1502</v>
      </c>
      <c r="J50" s="1619">
        <f>SUMPRODUCT((I63:I65=J47)*(J62:L62=J48)*(J63:L65))</f>
        <v>0</v>
      </c>
      <c r="K50" s="1613" t="s">
        <v>1503</v>
      </c>
      <c r="L50" s="1617"/>
      <c r="M50" s="1620"/>
      <c r="O50" s="1618" t="s">
        <v>1011</v>
      </c>
      <c r="P50" s="1609" t="s">
        <v>1504</v>
      </c>
      <c r="Q50" s="1621" t="e">
        <f ca="1">J58</f>
        <v>#DIV/0!</v>
      </c>
      <c r="R50" s="1610"/>
    </row>
    <row r="51" spans="1:18" s="1574" customFormat="1" ht="13.8" thickBot="1">
      <c r="A51" s="1112"/>
      <c r="B51" s="1114"/>
      <c r="C51" s="1115"/>
      <c r="D51" s="1088"/>
      <c r="E51" s="1116" t="s">
        <v>1372</v>
      </c>
      <c r="F51" s="313">
        <f ca="1">F8</f>
        <v>0</v>
      </c>
      <c r="I51" s="1622" t="s">
        <v>1505</v>
      </c>
      <c r="J51" s="1623">
        <f>IF(J49="",J50,J49+J50-YEAR('数据-取费表'!B2))</f>
        <v>0</v>
      </c>
      <c r="K51" s="1624" t="s">
        <v>1506</v>
      </c>
      <c r="L51" s="1625">
        <f ca="1">ROUND(-PV(INDIRECT("'数据-取费表'!h"&amp;$G$1),J51,(C39-C13*C76),0),0)</f>
        <v>0</v>
      </c>
      <c r="M51" s="1626"/>
      <c r="O51" s="1618" t="s">
        <v>1012</v>
      </c>
      <c r="P51" s="1609" t="s">
        <v>1507</v>
      </c>
      <c r="Q51" s="1621">
        <f>J52</f>
        <v>0</v>
      </c>
      <c r="R51" s="1610"/>
    </row>
    <row r="52" spans="1:18" s="1574" customFormat="1" ht="13.8" thickBot="1">
      <c r="A52" s="1112"/>
      <c r="B52" s="1114"/>
      <c r="C52" s="1115"/>
      <c r="D52" s="1088"/>
      <c r="E52" s="1116" t="s">
        <v>1373</v>
      </c>
      <c r="F52" s="1189"/>
      <c r="I52" s="1627" t="s">
        <v>1508</v>
      </c>
      <c r="J52" s="1628"/>
      <c r="K52" s="1627" t="s">
        <v>1509</v>
      </c>
      <c r="L52" s="1628"/>
      <c r="O52" s="1618" t="s">
        <v>1013</v>
      </c>
      <c r="P52" s="1609" t="s">
        <v>1510</v>
      </c>
      <c r="Q52" s="1610">
        <f ca="1">J53</f>
        <v>0</v>
      </c>
      <c r="R52" s="1610" t="s">
        <v>1511</v>
      </c>
    </row>
    <row r="53" spans="1:18" s="1574" customFormat="1" ht="30.75" customHeight="1" thickBot="1">
      <c r="A53" s="1275" t="s">
        <v>1105</v>
      </c>
      <c r="B53" s="333" t="s">
        <v>1374</v>
      </c>
      <c r="C53" s="326">
        <f ca="1">ROUND(IF(F53="押一",C49/12*F11,IF(F53="押二",C49/12*2*F11,IF(F53="押三",C49/12*3*F11,C54*F11))),0)</f>
        <v>0</v>
      </c>
      <c r="D53" s="1556" t="s">
        <v>2869</v>
      </c>
      <c r="E53" s="323" t="s">
        <v>1375</v>
      </c>
      <c r="F53" s="1280"/>
      <c r="I53" s="1629" t="s">
        <v>1512</v>
      </c>
      <c r="J53" s="2392">
        <f ca="1">IF(M47="住宅",IF(D1="——",MAX(J51,L48),MAX(J51,L48-'数据-取费表'!B24)),IF(D1="——",MIN(J51,L48),MIN(J51,L48-'数据-取费表'!B24)))</f>
        <v>0</v>
      </c>
      <c r="K53" s="3334" t="s">
        <v>1513</v>
      </c>
      <c r="L53" s="3335"/>
      <c r="O53" s="1608" t="s">
        <v>1014</v>
      </c>
      <c r="P53" s="1609" t="s">
        <v>1514</v>
      </c>
      <c r="Q53" s="1610" t="e">
        <f ca="1">Q47+Q48</f>
        <v>#DIV/0!</v>
      </c>
      <c r="R53" s="1610" t="s">
        <v>1015</v>
      </c>
    </row>
    <row r="54" spans="1:18" s="1574" customFormat="1" ht="13.8" thickBot="1">
      <c r="A54" s="1110"/>
      <c r="B54" s="1664" t="s">
        <v>1568</v>
      </c>
      <c r="C54" s="1094"/>
      <c r="D54" s="1556"/>
      <c r="E54" s="1564"/>
      <c r="F54" s="1630"/>
      <c r="I54" s="1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2"/>
      <c r="K54" s="1632"/>
      <c r="L54" s="1632"/>
      <c r="M54" s="1615"/>
      <c r="O54" s="1593" t="s">
        <v>1515</v>
      </c>
      <c r="P54" s="1571"/>
      <c r="Q54" s="1571"/>
      <c r="R54" s="1571"/>
    </row>
    <row r="55" spans="1:18" s="1574" customFormat="1" ht="13.8" thickBot="1">
      <c r="A55" s="1247" t="s">
        <v>1043</v>
      </c>
      <c r="B55" s="1559" t="s">
        <v>1378</v>
      </c>
      <c r="C55" s="1248"/>
      <c r="D55" s="1556"/>
      <c r="E55" s="1564"/>
      <c r="F55" s="1630"/>
      <c r="I55" s="1633" t="s">
        <v>1516</v>
      </c>
      <c r="J55" s="1634" t="e">
        <f ca="1">ROUND(IF(J47="钢混",J57/J50,1-(1-2%)*(J50-J57)/J50),3)</f>
        <v>#DIV/0!</v>
      </c>
      <c r="K55" s="1635" t="s">
        <v>1517</v>
      </c>
      <c r="L55" s="1636"/>
      <c r="O55" s="1601" t="s">
        <v>1487</v>
      </c>
      <c r="P55" s="1602" t="s">
        <v>1488</v>
      </c>
      <c r="Q55" s="1603" t="s">
        <v>1489</v>
      </c>
      <c r="R55" s="1603" t="s">
        <v>1490</v>
      </c>
    </row>
    <row r="56" spans="1:18" s="1574" customFormat="1" ht="36" customHeight="1" thickTop="1" thickBot="1">
      <c r="A56" s="1092">
        <v>2</v>
      </c>
      <c r="B56" s="1093" t="s">
        <v>1379</v>
      </c>
      <c r="C56" s="242">
        <f ca="1">C13</f>
        <v>0</v>
      </c>
      <c r="D56" s="1637"/>
      <c r="E56" s="1638"/>
      <c r="F56" s="1630"/>
      <c r="I56" s="1639" t="s">
        <v>1519</v>
      </c>
      <c r="J56" s="1640"/>
      <c r="K56" s="1611" t="s">
        <v>1520</v>
      </c>
      <c r="L56" s="1614">
        <f ca="1">IF(L48&lt;J51,"——",L48-J51)</f>
        <v>0</v>
      </c>
      <c r="O56" s="1608" t="s">
        <v>1008</v>
      </c>
      <c r="P56" s="1609" t="s">
        <v>1493</v>
      </c>
      <c r="Q56" s="1610" t="e">
        <f ca="1">C40+J29</f>
        <v>#DIV/0!</v>
      </c>
      <c r="R56" s="1610" t="s">
        <v>1494</v>
      </c>
    </row>
    <row r="57" spans="1:18" s="1574" customFormat="1" ht="24.6" thickBot="1">
      <c r="A57" s="1641"/>
      <c r="B57" s="1085" t="s">
        <v>1443</v>
      </c>
      <c r="C57" s="248">
        <f ca="1">C29</f>
        <v>0</v>
      </c>
      <c r="D57" s="1642"/>
      <c r="E57" s="1643"/>
      <c r="F57" s="1644"/>
      <c r="I57" s="1645" t="s">
        <v>1521</v>
      </c>
      <c r="J57" s="1646">
        <f ca="1">IF(OR(M47="住宅",J51&lt;L48,J56="是"),"——",J51-L48)</f>
        <v>0</v>
      </c>
      <c r="K57" s="1611" t="s">
        <v>1570</v>
      </c>
      <c r="L57" s="1614">
        <f ca="1">IF(L48&lt;J51,"——",IF(L55="比较法",L49,IF(L55="基准地价",L50,L51)))</f>
        <v>0</v>
      </c>
      <c r="O57" s="1608" t="s">
        <v>1009</v>
      </c>
      <c r="P57" s="1609" t="s">
        <v>1571</v>
      </c>
      <c r="Q57" s="1610" t="e">
        <f ca="1">L60</f>
        <v>#DIV/0!</v>
      </c>
      <c r="R57" s="1610" t="s">
        <v>1572</v>
      </c>
    </row>
    <row r="58" spans="1:18" s="1574" customFormat="1" ht="24.6" thickBot="1">
      <c r="A58" s="325" t="s">
        <v>998</v>
      </c>
      <c r="B58" s="1093" t="s">
        <v>1389</v>
      </c>
      <c r="C58" s="326">
        <f ca="1">ROUND(C59+C64+C65+C66,0)</f>
        <v>0</v>
      </c>
      <c r="D58" s="1095" t="s">
        <v>1390</v>
      </c>
      <c r="E58" s="1096"/>
      <c r="F58" s="1097"/>
      <c r="I58" s="1645" t="s">
        <v>1525</v>
      </c>
      <c r="J58" s="1647" t="e">
        <f ca="1">IF(J55&lt;0.4,0.4,J55)</f>
        <v>#DIV/0!</v>
      </c>
      <c r="K58" s="1624" t="s">
        <v>1573</v>
      </c>
      <c r="L58" s="1614" t="e">
        <f ca="1">ROUND(POWER(1+L52,L47-L48)*(POWER(1+L52,L48)-1)/(POWER(1+L52,L47)-1),4)</f>
        <v>#DIV/0!</v>
      </c>
      <c r="O58" s="1618" t="s">
        <v>1010</v>
      </c>
      <c r="P58" s="1609" t="s">
        <v>1527</v>
      </c>
      <c r="Q58" s="1610">
        <f>IF(L55="比较法",L49,IF(L55="基准地价",L50,0))</f>
        <v>0</v>
      </c>
      <c r="R58" s="1610" t="s">
        <v>1494</v>
      </c>
    </row>
    <row r="59" spans="1:18" s="1574" customFormat="1" ht="24.6" thickBot="1">
      <c r="A59" s="1117" t="s">
        <v>1003</v>
      </c>
      <c r="B59" s="1085" t="s">
        <v>1394</v>
      </c>
      <c r="C59" s="2540">
        <f ca="1">ROUND(IF(AND(项目基本情况!B11="自然人",项目基本情况!B10="北京市"),C49*F59/(1+'数据-取费表'!F30),C60+C61+C62),0)</f>
        <v>0</v>
      </c>
      <c r="D59" s="1098" t="s">
        <v>1395</v>
      </c>
      <c r="E59" s="1099" t="s">
        <v>1396</v>
      </c>
      <c r="F59" s="2539" t="str">
        <f>IF(项目基本情况!B11="企业","——",IF('数据-取费表'!B10="住宅",IF(F49*F50*F51/12/(1+'数据-取费表'!F30)&gt;100000,4%,2.5%),IF(F49*F50*F51/12/(1+'数据-取费表'!F30)&gt;100000,12%,7%)))</f>
        <v>——</v>
      </c>
      <c r="I59" s="1645" t="s">
        <v>1528</v>
      </c>
      <c r="J59" s="1646" t="e">
        <f ca="1">IF(OR(M47="住宅",J51&lt;L48,J56="是"),"——",ROUND(C29*J58,0))</f>
        <v>#DIV/0!</v>
      </c>
      <c r="K59" s="16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4" t="e">
        <f ca="1">ROUND(IF(D1="在建（套用方法）",M59,IF(D1="土地（套用方法）",N59,POWER(1+L52,L47-J51)*(POWER(1+L52,J51)-1)/(POWER(1+L52,L47)-1))),4)</f>
        <v>#DIV/0!</v>
      </c>
      <c r="M59" s="1571" t="e">
        <f ca="1">ROUND(POWER(1+L52,L47-(J51+'数据-取费表'!B24))*(POWER(1+L52,(J51+'数据-取费表'!B24))-1)/(POWER(1+L52,L47)-1),4)</f>
        <v>#DIV/0!</v>
      </c>
      <c r="N59" s="1571" t="e">
        <f ca="1">ROUND(POWER(1+L52,L47-(J51+'数据-取费表'!B20))*(POWER(1+L52,(J51+'数据-取费表'!B20))-1)/(POWER(1+L52,L47)-1),4)</f>
        <v>#DIV/0!</v>
      </c>
      <c r="O59" s="1618" t="s">
        <v>1011</v>
      </c>
      <c r="P59" s="1609" t="s">
        <v>1529</v>
      </c>
      <c r="Q59" s="1621">
        <f>L52</f>
        <v>0</v>
      </c>
      <c r="R59" s="1610"/>
    </row>
    <row r="60" spans="1:18" s="1574" customFormat="1" ht="16.2" thickBot="1">
      <c r="A60" s="1117" t="s">
        <v>1002</v>
      </c>
      <c r="B60" s="1085" t="s">
        <v>1398</v>
      </c>
      <c r="C60" s="24">
        <f ca="1">IF(项目基本情况!B11="自然人","——",ROUND(C48*F60/(1+'数据-取费表'!C42),0))</f>
        <v>0</v>
      </c>
      <c r="D60" s="1099" t="s">
        <v>1399</v>
      </c>
      <c r="E60" s="1085" t="s">
        <v>1387</v>
      </c>
      <c r="F60" s="341">
        <f t="shared" ref="F60:F66" si="0">F32</f>
        <v>5.5000000000000007E-2</v>
      </c>
      <c r="I60" s="1648" t="s">
        <v>1530</v>
      </c>
      <c r="J60" s="1649" t="e">
        <f ca="1">IF(OR(M47="住宅",J51&lt;L48,J56="是"),"0",ROUND(J59/(1+J52)^J53,0))</f>
        <v>#DIV/0!</v>
      </c>
      <c r="K60" s="1650" t="s">
        <v>1531</v>
      </c>
      <c r="L60" s="1649" t="e">
        <f ca="1">IF(OR(M47="住宅",L48&lt;J51),0,ROUND(L57*(L58/L59-1),0))</f>
        <v>#DIV/0!</v>
      </c>
      <c r="O60" s="1618" t="s">
        <v>1012</v>
      </c>
      <c r="P60" s="1609" t="s">
        <v>1532</v>
      </c>
      <c r="Q60" s="1610" t="e">
        <f ca="1">L58</f>
        <v>#DIV/0!</v>
      </c>
      <c r="R60" s="1610" t="s">
        <v>1533</v>
      </c>
    </row>
    <row r="61" spans="1:18" s="1574" customFormat="1" ht="13.8" thickBot="1">
      <c r="A61" s="1117" t="s">
        <v>1457</v>
      </c>
      <c r="B61" s="1085" t="s">
        <v>1458</v>
      </c>
      <c r="C61" s="24">
        <f ca="1">IF(项目基本情况!B11="自然人","——",IF(D61="按租金收入计税",ROUND(C48*F61,0),IF(D61="按房产原值计税",ROUND(C57*F61*0.7,0),INDIRECT("'数据-取费表'!Aj"&amp;$G$1))))</f>
        <v>0</v>
      </c>
      <c r="D61" s="1560" t="s">
        <v>1403</v>
      </c>
      <c r="E61" s="1085" t="s">
        <v>1459</v>
      </c>
      <c r="F61" s="332">
        <f t="shared" si="0"/>
        <v>1.2E-2</v>
      </c>
      <c r="I61" s="1651"/>
      <c r="J61" s="1651"/>
      <c r="K61" s="1651"/>
      <c r="L61" s="1651"/>
      <c r="O61" s="1618" t="s">
        <v>1013</v>
      </c>
      <c r="P61" s="1609" t="str">
        <f>K59</f>
        <v>建设期及建筑物耐用年限下的土地年期修正系数Kn</v>
      </c>
      <c r="Q61" s="1610" t="e">
        <f ca="1">L59</f>
        <v>#DIV/0!</v>
      </c>
      <c r="R61" s="1610" t="s">
        <v>1534</v>
      </c>
    </row>
    <row r="62" spans="1:18" s="1574" customFormat="1" ht="13.8" thickBot="1">
      <c r="A62" s="1117" t="s">
        <v>1460</v>
      </c>
      <c r="B62" s="1084" t="s">
        <v>1461</v>
      </c>
      <c r="C62" s="25">
        <f ca="1">IF(项目基本情况!B11="自然人","——",ROUND(F62*F63,0))</f>
        <v>0</v>
      </c>
      <c r="D62" s="1100" t="s">
        <v>1462</v>
      </c>
      <c r="E62" s="1085" t="s">
        <v>1463</v>
      </c>
      <c r="F62" s="335">
        <f t="shared" si="0"/>
        <v>3</v>
      </c>
      <c r="I62" s="1652" t="s">
        <v>1535</v>
      </c>
      <c r="J62" s="1653" t="s">
        <v>1536</v>
      </c>
      <c r="K62" s="1653" t="s">
        <v>1537</v>
      </c>
      <c r="L62" s="1653" t="s">
        <v>1538</v>
      </c>
      <c r="M62" s="1654" t="s">
        <v>1539</v>
      </c>
      <c r="O62" s="1608" t="s">
        <v>1014</v>
      </c>
      <c r="P62" s="1609" t="s">
        <v>1540</v>
      </c>
      <c r="Q62" s="1610" t="e">
        <f ca="1">Q56+Q57</f>
        <v>#DIV/0!</v>
      </c>
      <c r="R62" s="1610" t="s">
        <v>1015</v>
      </c>
    </row>
    <row r="63" spans="1:18" s="1574" customFormat="1" ht="13.8" thickBot="1">
      <c r="A63" s="336"/>
      <c r="B63" s="1091"/>
      <c r="C63" s="29"/>
      <c r="D63" s="1101"/>
      <c r="E63" s="1085" t="s">
        <v>1464</v>
      </c>
      <c r="F63" s="313">
        <f t="shared" ca="1" si="0"/>
        <v>0</v>
      </c>
      <c r="I63" s="1652" t="s">
        <v>1541</v>
      </c>
      <c r="J63" s="1653">
        <v>70</v>
      </c>
      <c r="K63" s="1653">
        <v>50</v>
      </c>
      <c r="L63" s="1653">
        <v>80</v>
      </c>
      <c r="M63" s="1655">
        <v>0.02</v>
      </c>
      <c r="O63" s="1593" t="s">
        <v>1542</v>
      </c>
      <c r="P63" s="1571"/>
      <c r="Q63" s="1571"/>
      <c r="R63" s="1571"/>
    </row>
    <row r="64" spans="1:18" s="1574" customFormat="1" ht="13.8" thickBot="1">
      <c r="A64" s="1117" t="s">
        <v>1465</v>
      </c>
      <c r="B64" s="1085" t="s">
        <v>1466</v>
      </c>
      <c r="C64" s="24">
        <f ca="1">ROUND(C57*F64,0)</f>
        <v>0</v>
      </c>
      <c r="D64" s="1099" t="s">
        <v>1467</v>
      </c>
      <c r="E64" s="1085" t="s">
        <v>1459</v>
      </c>
      <c r="F64" s="338">
        <f t="shared" ca="1" si="0"/>
        <v>0</v>
      </c>
      <c r="I64" s="1652" t="s">
        <v>1543</v>
      </c>
      <c r="J64" s="1653">
        <v>50</v>
      </c>
      <c r="K64" s="1653">
        <v>35</v>
      </c>
      <c r="L64" s="1653">
        <v>60</v>
      </c>
      <c r="M64" s="1654">
        <v>0</v>
      </c>
      <c r="O64" s="1601" t="s">
        <v>1487</v>
      </c>
      <c r="P64" s="1602" t="s">
        <v>1488</v>
      </c>
      <c r="Q64" s="1603" t="s">
        <v>1489</v>
      </c>
      <c r="R64" s="1603" t="s">
        <v>1490</v>
      </c>
    </row>
    <row r="65" spans="1:18" s="1574" customFormat="1" ht="13.8" thickBot="1">
      <c r="A65" s="1117" t="s">
        <v>1468</v>
      </c>
      <c r="B65" s="1085" t="s">
        <v>1418</v>
      </c>
      <c r="C65" s="24">
        <f ca="1">ROUND(C56*F65,0)</f>
        <v>0</v>
      </c>
      <c r="D65" s="1099" t="s">
        <v>1419</v>
      </c>
      <c r="E65" s="1085" t="s">
        <v>1420</v>
      </c>
      <c r="F65" s="340">
        <f t="shared" ca="1" si="0"/>
        <v>0</v>
      </c>
      <c r="I65" s="1652" t="s">
        <v>1544</v>
      </c>
      <c r="J65" s="1653">
        <v>40</v>
      </c>
      <c r="K65" s="1653">
        <v>30</v>
      </c>
      <c r="L65" s="1653">
        <v>50</v>
      </c>
      <c r="M65" s="1655">
        <v>0.02</v>
      </c>
      <c r="O65" s="1608" t="s">
        <v>1008</v>
      </c>
      <c r="P65" s="1609" t="s">
        <v>1545</v>
      </c>
      <c r="Q65" s="1610" t="e">
        <f ca="1">C40+J29</f>
        <v>#DIV/0!</v>
      </c>
      <c r="R65" s="1610" t="s">
        <v>1494</v>
      </c>
    </row>
    <row r="66" spans="1:18" s="1574" customFormat="1" ht="16.2" thickBot="1">
      <c r="A66" s="1117" t="s">
        <v>1469</v>
      </c>
      <c r="B66" s="1085" t="s">
        <v>1404</v>
      </c>
      <c r="C66" s="24">
        <f ca="1">ROUND(C48*F66,0)</f>
        <v>0</v>
      </c>
      <c r="D66" s="1099" t="s">
        <v>1470</v>
      </c>
      <c r="E66" s="1085" t="s">
        <v>1387</v>
      </c>
      <c r="F66" s="322">
        <f t="shared" ca="1" si="0"/>
        <v>0</v>
      </c>
      <c r="O66" s="1608" t="s">
        <v>1009</v>
      </c>
      <c r="P66" s="1609" t="s">
        <v>1523</v>
      </c>
      <c r="Q66" s="1610" t="e">
        <f ca="1">L60</f>
        <v>#DIV/0!</v>
      </c>
      <c r="R66" s="1610" t="s">
        <v>1546</v>
      </c>
    </row>
    <row r="67" spans="1:18" s="1574" customFormat="1" ht="24.6" thickBot="1">
      <c r="A67" s="1092" t="s">
        <v>999</v>
      </c>
      <c r="B67" s="1102" t="s">
        <v>1428</v>
      </c>
      <c r="C67" s="326">
        <f ca="1">C48-C58</f>
        <v>0</v>
      </c>
      <c r="D67" s="1098" t="s">
        <v>1429</v>
      </c>
      <c r="E67" s="1103"/>
      <c r="F67" s="1104"/>
      <c r="O67" s="1618" t="s">
        <v>1010</v>
      </c>
      <c r="P67" s="1609" t="s">
        <v>1527</v>
      </c>
      <c r="Q67" s="1656">
        <f ca="1">L51</f>
        <v>0</v>
      </c>
      <c r="R67" s="1610" t="s">
        <v>1547</v>
      </c>
    </row>
    <row r="68" spans="1:18" s="1574" customFormat="1" ht="16.2" thickBot="1">
      <c r="A68" s="1082" t="s">
        <v>1000</v>
      </c>
      <c r="B68" s="1083" t="s">
        <v>1450</v>
      </c>
      <c r="C68" s="311" t="e">
        <f ca="1">ROUND(C67*(1-((1+F70)/(1+F68))^F69)/(F68-F70),0)</f>
        <v>#DIV/0!</v>
      </c>
      <c r="D68" s="1100" t="s">
        <v>1434</v>
      </c>
      <c r="E68" s="1085" t="s">
        <v>1435</v>
      </c>
      <c r="F68" s="322">
        <f ca="1">F40</f>
        <v>0</v>
      </c>
      <c r="O68" s="1618" t="s">
        <v>1011</v>
      </c>
      <c r="P68" s="1657" t="s">
        <v>1548</v>
      </c>
      <c r="Q68" s="1610">
        <f ca="1">ROUND(Q69-Q70*Q71,0)</f>
        <v>0</v>
      </c>
      <c r="R68" s="1610" t="s">
        <v>1019</v>
      </c>
    </row>
    <row r="69" spans="1:18" s="1574" customFormat="1" ht="13.8" thickBot="1">
      <c r="A69" s="1086"/>
      <c r="B69" s="1087"/>
      <c r="C69" s="316"/>
      <c r="D69" s="1105" t="s">
        <v>1438</v>
      </c>
      <c r="E69" s="1085" t="s">
        <v>1439</v>
      </c>
      <c r="F69" s="343">
        <f ca="1">F41</f>
        <v>0</v>
      </c>
      <c r="O69" s="1618" t="s">
        <v>1016</v>
      </c>
      <c r="P69" s="1657" t="s">
        <v>1549</v>
      </c>
      <c r="Q69" s="1610">
        <f ca="1">C39</f>
        <v>0</v>
      </c>
      <c r="R69" s="1610" t="s">
        <v>1494</v>
      </c>
    </row>
    <row r="70" spans="1:18" s="1574" customFormat="1" ht="13.8" thickBot="1">
      <c r="A70" s="1089"/>
      <c r="B70" s="1090"/>
      <c r="C70" s="320"/>
      <c r="D70" s="1101"/>
      <c r="E70" s="1085" t="s">
        <v>1442</v>
      </c>
      <c r="F70" s="1189">
        <f ca="1">F42</f>
        <v>0</v>
      </c>
      <c r="O70" s="1618" t="s">
        <v>1017</v>
      </c>
      <c r="P70" s="1657" t="s">
        <v>1550</v>
      </c>
      <c r="Q70" s="1610">
        <f ca="1">C13</f>
        <v>0</v>
      </c>
      <c r="R70" s="1610" t="s">
        <v>1494</v>
      </c>
    </row>
    <row r="71" spans="1:18" s="1574" customFormat="1" ht="13.8" thickBot="1">
      <c r="A71" s="1106" t="s">
        <v>1001</v>
      </c>
      <c r="B71" s="1107" t="s">
        <v>1452</v>
      </c>
      <c r="C71" s="346" t="e">
        <f ca="1">ROUND(C68/F71,0)</f>
        <v>#DIV/0!</v>
      </c>
      <c r="D71" s="1108" t="s">
        <v>1453</v>
      </c>
      <c r="E71" s="1109" t="s">
        <v>1454</v>
      </c>
      <c r="F71" s="349">
        <f ca="1">F43</f>
        <v>0</v>
      </c>
      <c r="O71" s="1618" t="s">
        <v>1018</v>
      </c>
      <c r="P71" s="1657" t="s">
        <v>1551</v>
      </c>
      <c r="Q71" s="1621">
        <f ca="1">C76</f>
        <v>0</v>
      </c>
      <c r="R71" s="1610"/>
    </row>
    <row r="72" spans="1:18" s="1574" customFormat="1" ht="13.8" thickBot="1">
      <c r="B72" s="739"/>
      <c r="C72" s="739"/>
      <c r="O72" s="1618" t="s">
        <v>1012</v>
      </c>
      <c r="P72" s="1609" t="s">
        <v>1529</v>
      </c>
      <c r="Q72" s="1621">
        <f>L52</f>
        <v>0</v>
      </c>
      <c r="R72" s="1610"/>
    </row>
    <row r="73" spans="1:18" ht="16.2" thickBot="1">
      <c r="A73" s="1574"/>
      <c r="B73" s="739"/>
      <c r="C73" s="739"/>
      <c r="D73" s="1574"/>
      <c r="E73" s="1574"/>
      <c r="F73" s="1574"/>
      <c r="O73" s="1618" t="s">
        <v>1013</v>
      </c>
      <c r="P73" s="1609" t="s">
        <v>1532</v>
      </c>
      <c r="Q73" s="1610" t="e">
        <f ca="1">L58</f>
        <v>#DIV/0!</v>
      </c>
      <c r="R73" s="1610" t="s">
        <v>1533</v>
      </c>
    </row>
    <row r="74" spans="1:18" ht="13.8" thickBot="1">
      <c r="A74" s="1574"/>
      <c r="B74" s="283" t="s">
        <v>1552</v>
      </c>
      <c r="C74" s="1659"/>
      <c r="D74" s="1574"/>
      <c r="E74" s="1574"/>
      <c r="F74" s="1574"/>
      <c r="O74" s="1618" t="s">
        <v>1020</v>
      </c>
      <c r="P74" s="1609" t="str">
        <f>K59</f>
        <v>建设期及建筑物耐用年限下的土地年期修正系数Kn</v>
      </c>
      <c r="Q74" s="1610" t="e">
        <f ca="1">L59</f>
        <v>#DIV/0!</v>
      </c>
      <c r="R74" s="1610" t="s">
        <v>1534</v>
      </c>
    </row>
    <row r="75" spans="1:18" ht="13.8" thickBot="1">
      <c r="A75" s="1574"/>
      <c r="B75" s="350" t="s">
        <v>1471</v>
      </c>
      <c r="C75" s="351">
        <f ca="1">ROUND(C13*C76,0)</f>
        <v>0</v>
      </c>
      <c r="D75" s="1574"/>
      <c r="E75" s="1574"/>
      <c r="F75" s="1574"/>
      <c r="K75" s="1592"/>
      <c r="L75" s="1574"/>
      <c r="O75" s="1608" t="s">
        <v>1014</v>
      </c>
      <c r="P75" s="1609" t="s">
        <v>1514</v>
      </c>
      <c r="Q75" s="1610" t="e">
        <f ca="1">Q65+Q66</f>
        <v>#DIV/0!</v>
      </c>
      <c r="R75" s="1610" t="s">
        <v>1015</v>
      </c>
    </row>
    <row r="76" spans="1:18">
      <c r="B76" s="352" t="s">
        <v>1472</v>
      </c>
      <c r="C76" s="353">
        <f ca="1">INDIRECT("'数据-取费表'!j"&amp;$G$1)</f>
        <v>0</v>
      </c>
      <c r="I76" s="1574"/>
      <c r="J76" s="1574"/>
      <c r="K76" s="1592"/>
      <c r="L76" s="1574"/>
    </row>
    <row r="77" spans="1:18">
      <c r="B77" s="354" t="s">
        <v>1473</v>
      </c>
      <c r="C77" s="355"/>
      <c r="I77" s="1574"/>
      <c r="J77" s="1574"/>
      <c r="K77" s="1592"/>
      <c r="L77" s="1574"/>
    </row>
    <row r="78" spans="1:18">
      <c r="B78" s="280" t="s">
        <v>1474</v>
      </c>
      <c r="C78" s="356"/>
    </row>
    <row r="79" spans="1:18">
      <c r="B79" s="350" t="s">
        <v>1475</v>
      </c>
      <c r="C79" s="284" t="e">
        <f ca="1">1-C80</f>
        <v>#DIV/0!</v>
      </c>
    </row>
    <row r="80" spans="1:18">
      <c r="B80" s="350" t="s">
        <v>1476</v>
      </c>
      <c r="C80" s="284" t="e">
        <f ca="1">ROUND(C75/C39,3)</f>
        <v>#DIV/0!</v>
      </c>
    </row>
    <row r="81" spans="2:3">
      <c r="B81" s="280" t="s">
        <v>1477</v>
      </c>
      <c r="C81" s="248"/>
    </row>
    <row r="82" spans="2:3">
      <c r="B82" s="283" t="s">
        <v>1478</v>
      </c>
      <c r="C82" s="285" t="e">
        <f ca="1">1-C83</f>
        <v>#DIV/0!</v>
      </c>
    </row>
    <row r="83" spans="2:3">
      <c r="B83" s="283" t="s">
        <v>1479</v>
      </c>
      <c r="C83" s="28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3.8"/>
  <cols>
    <col min="1" max="1" width="23.6640625" style="1668" customWidth="1"/>
    <col min="2" max="2" width="12" style="1668" customWidth="1"/>
    <col min="3" max="3" width="9" style="1668"/>
    <col min="4" max="4" width="14.109375" style="1668" customWidth="1"/>
    <col min="5" max="5" width="9" style="1668"/>
    <col min="6" max="6" width="12.88671875" style="1668" customWidth="1"/>
    <col min="7" max="16384" width="9" style="1668"/>
  </cols>
  <sheetData>
    <row r="1" spans="1:22" ht="21.6">
      <c r="A1" s="2059" t="s">
        <v>2356</v>
      </c>
      <c r="B1" s="2060"/>
      <c r="C1" s="2060"/>
      <c r="D1" s="2060"/>
      <c r="E1" s="2061"/>
      <c r="F1" s="2939"/>
      <c r="G1" s="1680"/>
      <c r="H1" s="1680"/>
      <c r="I1" s="1680"/>
      <c r="J1" s="1680"/>
      <c r="K1" s="1680"/>
      <c r="L1" s="1680"/>
      <c r="M1" s="1680"/>
      <c r="N1" s="1680"/>
      <c r="O1" s="1680"/>
      <c r="P1" s="1680"/>
      <c r="Q1" s="1680"/>
      <c r="R1" s="1680"/>
      <c r="S1" s="1680"/>
    </row>
    <row r="2" spans="1:22" ht="15.6">
      <c r="A2" s="2062" t="s">
        <v>2157</v>
      </c>
      <c r="B2" s="2063">
        <f ca="1">SUMIF(B6:B13,"&lt;&gt;#ref!",B6:B13)</f>
        <v>14063</v>
      </c>
      <c r="C2" s="2064" t="s">
        <v>2349</v>
      </c>
      <c r="D2" s="2065" t="s">
        <v>2350</v>
      </c>
      <c r="E2" s="2834">
        <f>SUM(E6:E13)</f>
        <v>8640.14</v>
      </c>
      <c r="F2" s="2939"/>
      <c r="G2" s="1680"/>
      <c r="H2" s="1680"/>
      <c r="I2" s="1680"/>
      <c r="J2" s="1680"/>
      <c r="K2" s="1680"/>
      <c r="L2" s="1680"/>
      <c r="M2" s="1680"/>
      <c r="N2" s="1680"/>
      <c r="O2" s="1680"/>
      <c r="P2" s="1680"/>
      <c r="Q2" s="1680"/>
      <c r="R2" s="1680"/>
      <c r="S2" s="1680"/>
    </row>
    <row r="3" spans="1:22" ht="15.6">
      <c r="A3" s="2062" t="s">
        <v>1360</v>
      </c>
      <c r="B3" s="2828">
        <f ca="1">ROUND(B2*10000/E2,0)</f>
        <v>16276</v>
      </c>
      <c r="C3" s="2064" t="s">
        <v>2357</v>
      </c>
      <c r="D3" s="2941"/>
      <c r="E3" s="2943"/>
      <c r="F3" s="2939"/>
      <c r="G3" s="1680"/>
      <c r="H3" s="1680"/>
      <c r="I3" s="1680"/>
      <c r="J3" s="1680"/>
      <c r="K3" s="1680"/>
      <c r="L3" s="1680"/>
      <c r="M3" s="1680"/>
      <c r="N3" s="1680"/>
      <c r="O3" s="1680"/>
      <c r="P3" s="1680"/>
      <c r="Q3" s="1680"/>
      <c r="R3" s="1680"/>
      <c r="S3" s="1680"/>
    </row>
    <row r="4" spans="1:22" ht="15.6">
      <c r="A4" s="2944"/>
      <c r="B4" s="2941"/>
      <c r="C4" s="2941"/>
      <c r="D4" s="2941"/>
      <c r="E4" s="2943"/>
      <c r="F4" s="2939"/>
      <c r="G4" s="1680"/>
      <c r="H4" s="1680"/>
      <c r="I4" s="1680"/>
      <c r="J4" s="1680"/>
      <c r="K4" s="1680"/>
      <c r="L4" s="1680"/>
      <c r="M4" s="1680"/>
      <c r="N4" s="1680"/>
      <c r="O4" s="1680"/>
      <c r="P4" s="1680"/>
      <c r="Q4" s="1680"/>
      <c r="R4" s="1680"/>
      <c r="S4" s="1680"/>
    </row>
    <row r="5" spans="1:22" ht="14.4">
      <c r="A5" s="2830" t="s">
        <v>2351</v>
      </c>
      <c r="B5" s="3339" t="s">
        <v>2352</v>
      </c>
      <c r="C5" s="3340"/>
      <c r="D5" s="2940"/>
      <c r="E5" s="2066" t="s">
        <v>2353</v>
      </c>
      <c r="F5" s="2067" t="s">
        <v>2354</v>
      </c>
      <c r="G5" s="1680"/>
      <c r="H5" s="1680"/>
      <c r="I5" s="1680"/>
      <c r="J5" s="1680"/>
      <c r="K5" s="1680"/>
      <c r="L5" s="1680"/>
      <c r="M5" s="1680"/>
      <c r="N5" s="1680"/>
      <c r="O5" s="1680"/>
      <c r="P5" s="1680"/>
      <c r="Q5" s="1680"/>
      <c r="R5" s="1680"/>
      <c r="S5" s="1680"/>
    </row>
    <row r="6" spans="1:22" ht="14.4">
      <c r="A6" s="2831" t="str">
        <f>'数据-取费表'!AN6</f>
        <v>收益法</v>
      </c>
      <c r="B6" s="2829">
        <f ca="1">IF(F6="是",'数据-取费表'!AO6,0)</f>
        <v>14063</v>
      </c>
      <c r="C6" s="2064" t="s">
        <v>2349</v>
      </c>
      <c r="D6" s="2941"/>
      <c r="E6" s="2833">
        <f>IF(OR(A6=0,F6="否"),0,'数据-取费表'!K6+'数据-取费表'!S6)</f>
        <v>8640.14</v>
      </c>
      <c r="F6" s="2068" t="s">
        <v>2355</v>
      </c>
      <c r="G6" s="1680"/>
      <c r="H6" s="1680"/>
      <c r="I6" s="1680"/>
      <c r="J6" s="1680"/>
      <c r="K6" s="1680"/>
      <c r="L6" s="1680"/>
      <c r="M6" s="1680"/>
      <c r="N6" s="1680"/>
      <c r="O6" s="1680"/>
      <c r="P6" s="1680"/>
      <c r="Q6" s="1680"/>
      <c r="R6" s="1680"/>
      <c r="S6" s="1680"/>
    </row>
    <row r="7" spans="1:22" ht="14.4">
      <c r="A7" s="2831">
        <f>'数据-取费表'!AN7</f>
        <v>0</v>
      </c>
      <c r="B7" s="2829" t="e">
        <f ca="1">IF(F7="是",'数据-取费表'!AO7,0)</f>
        <v>#REF!</v>
      </c>
      <c r="C7" s="2064" t="s">
        <v>2349</v>
      </c>
      <c r="D7" s="2941"/>
      <c r="E7" s="2833">
        <f>IF(OR(A7=0,F7="否"),0,'数据-取费表'!K7+'数据-取费表'!S7)</f>
        <v>0</v>
      </c>
      <c r="F7" s="2068" t="s">
        <v>2355</v>
      </c>
      <c r="G7" s="1680"/>
      <c r="H7" s="1680"/>
      <c r="I7" s="1680"/>
      <c r="J7" s="1680"/>
      <c r="K7" s="1680"/>
      <c r="L7" s="1680"/>
      <c r="M7" s="1680"/>
      <c r="N7" s="1680"/>
      <c r="O7" s="1680"/>
      <c r="P7" s="1680"/>
      <c r="Q7" s="1680"/>
      <c r="R7" s="1680"/>
      <c r="S7" s="1680"/>
    </row>
    <row r="8" spans="1:22" ht="14.4">
      <c r="A8" s="2831">
        <f>'数据-取费表'!AN8</f>
        <v>0</v>
      </c>
      <c r="B8" s="2829" t="e">
        <f ca="1">IF(F8="是",'数据-取费表'!AO8,0)</f>
        <v>#REF!</v>
      </c>
      <c r="C8" s="2064" t="s">
        <v>2349</v>
      </c>
      <c r="D8" s="2941"/>
      <c r="E8" s="2833">
        <f>IF(OR(A8=0,F8="否"),0,'数据-取费表'!K8+'数据-取费表'!S8)</f>
        <v>0</v>
      </c>
      <c r="F8" s="2068" t="s">
        <v>2355</v>
      </c>
      <c r="G8" s="1680"/>
      <c r="H8" s="1680"/>
      <c r="I8" s="1680"/>
      <c r="J8" s="1680"/>
      <c r="K8" s="1680"/>
      <c r="L8" s="1680"/>
      <c r="M8" s="1680"/>
      <c r="N8" s="1680"/>
      <c r="O8" s="1680"/>
      <c r="P8" s="1680"/>
      <c r="Q8" s="1680"/>
      <c r="R8" s="1680"/>
      <c r="S8" s="1680"/>
    </row>
    <row r="9" spans="1:22" ht="14.4">
      <c r="A9" s="2831">
        <f>'数据-取费表'!AN9</f>
        <v>0</v>
      </c>
      <c r="B9" s="2829" t="e">
        <f ca="1">IF(F9="是",'数据-取费表'!AO9,0)</f>
        <v>#REF!</v>
      </c>
      <c r="C9" s="2064" t="s">
        <v>2349</v>
      </c>
      <c r="D9" s="2941"/>
      <c r="E9" s="2833">
        <f>IF(OR(A9=0,F9="否"),0,'数据-取费表'!K9+'数据-取费表'!S9)</f>
        <v>0</v>
      </c>
      <c r="F9" s="2068" t="s">
        <v>2355</v>
      </c>
      <c r="G9" s="1680"/>
      <c r="H9" s="1680"/>
      <c r="I9" s="1680"/>
      <c r="J9" s="1680"/>
      <c r="K9" s="1680"/>
      <c r="L9" s="1680"/>
      <c r="M9" s="1680"/>
      <c r="N9" s="1680"/>
      <c r="O9" s="1680"/>
      <c r="P9" s="1680"/>
      <c r="Q9" s="1680"/>
      <c r="R9" s="1680"/>
      <c r="S9" s="1680"/>
    </row>
    <row r="10" spans="1:22" ht="14.4">
      <c r="A10" s="2831">
        <f>'数据-取费表'!AN10</f>
        <v>0</v>
      </c>
      <c r="B10" s="2829" t="e">
        <f ca="1">IF(F10="是",'数据-取费表'!AO10,0)</f>
        <v>#REF!</v>
      </c>
      <c r="C10" s="2064" t="s">
        <v>2349</v>
      </c>
      <c r="D10" s="2941"/>
      <c r="E10" s="2833">
        <f>IF(OR(A10=0,F10="否"),0,'数据-取费表'!K10+'数据-取费表'!S10)</f>
        <v>0</v>
      </c>
      <c r="F10" s="2068" t="s">
        <v>2355</v>
      </c>
      <c r="G10" s="1680"/>
      <c r="H10" s="1680"/>
      <c r="I10" s="1680"/>
      <c r="J10" s="1680"/>
      <c r="K10" s="1680"/>
      <c r="L10" s="1680"/>
      <c r="M10" s="1680"/>
      <c r="N10" s="1680"/>
      <c r="O10" s="1680"/>
      <c r="P10" s="1680"/>
      <c r="Q10" s="1680"/>
      <c r="R10" s="1680"/>
      <c r="S10" s="1680"/>
    </row>
    <row r="11" spans="1:22" ht="14.4">
      <c r="A11" s="2831">
        <f>'数据-取费表'!AN11</f>
        <v>0</v>
      </c>
      <c r="B11" s="2829" t="e">
        <f ca="1">IF(F11="是",'数据-取费表'!AO11,0)</f>
        <v>#REF!</v>
      </c>
      <c r="C11" s="2064" t="s">
        <v>2349</v>
      </c>
      <c r="D11" s="2941"/>
      <c r="E11" s="2833">
        <f>IF(OR(A11=0,F11="否"),0,'数据-取费表'!K11+'数据-取费表'!S11)</f>
        <v>0</v>
      </c>
      <c r="F11" s="2068" t="s">
        <v>2355</v>
      </c>
      <c r="G11" s="1680"/>
      <c r="H11" s="1680"/>
      <c r="I11" s="1680"/>
      <c r="J11" s="1680"/>
      <c r="K11" s="1680"/>
      <c r="L11" s="1680"/>
      <c r="M11" s="1680"/>
      <c r="N11" s="1680"/>
      <c r="O11" s="1680"/>
      <c r="P11" s="1680"/>
      <c r="Q11" s="1680"/>
      <c r="R11" s="1680"/>
      <c r="S11" s="1680"/>
    </row>
    <row r="12" spans="1:22" ht="14.4">
      <c r="A12" s="2831">
        <f>'数据-取费表'!AN12</f>
        <v>0</v>
      </c>
      <c r="B12" s="2829" t="e">
        <f ca="1">IF(F12="是",'数据-取费表'!AO12,0)</f>
        <v>#REF!</v>
      </c>
      <c r="C12" s="2064" t="s">
        <v>2349</v>
      </c>
      <c r="D12" s="2941"/>
      <c r="E12" s="2833">
        <f>IF(OR(A12=0,F12="否"),0,'数据-取费表'!K12+'数据-取费表'!S12)</f>
        <v>0</v>
      </c>
      <c r="F12" s="2068" t="s">
        <v>2355</v>
      </c>
      <c r="G12" s="1680"/>
      <c r="H12" s="1680"/>
      <c r="I12" s="1680"/>
      <c r="J12" s="1680"/>
      <c r="K12" s="1680"/>
      <c r="L12" s="1680"/>
      <c r="M12" s="1680"/>
      <c r="N12" s="1680"/>
      <c r="O12" s="1680"/>
      <c r="P12" s="1680"/>
      <c r="Q12" s="1680"/>
      <c r="R12" s="1680"/>
      <c r="S12" s="1680"/>
    </row>
    <row r="13" spans="1:22" ht="15" thickBot="1">
      <c r="A13" s="2832">
        <f>'数据-取费表'!AN13</f>
        <v>0</v>
      </c>
      <c r="B13" s="2829" t="e">
        <f ca="1">IF(F13="是",'数据-取费表'!AO13,0)</f>
        <v>#REF!</v>
      </c>
      <c r="C13" s="2069" t="s">
        <v>2349</v>
      </c>
      <c r="D13" s="2942"/>
      <c r="E13" s="2833">
        <f>IF(OR(A13=0,F13="否"),0,'数据-取费表'!K13+'数据-取费表'!S13)</f>
        <v>0</v>
      </c>
      <c r="F13" s="2068" t="s">
        <v>2355</v>
      </c>
      <c r="G13" s="1680"/>
      <c r="H13" s="1680"/>
      <c r="I13" s="1680"/>
      <c r="J13" s="1680"/>
      <c r="K13" s="1680"/>
      <c r="L13" s="1680"/>
      <c r="M13" s="1680"/>
      <c r="N13" s="1680"/>
      <c r="O13" s="1680"/>
      <c r="P13" s="1680"/>
      <c r="Q13" s="1680"/>
      <c r="R13" s="1680"/>
      <c r="S13" s="1680"/>
    </row>
    <row r="14" spans="1:22">
      <c r="A14" s="1680"/>
      <c r="B14" s="1680"/>
      <c r="C14" s="1680"/>
      <c r="D14" s="1680"/>
      <c r="E14" s="1680"/>
      <c r="F14" s="1680"/>
      <c r="G14" s="1680"/>
      <c r="H14" s="1680"/>
      <c r="I14" s="1680"/>
      <c r="J14" s="1680"/>
      <c r="K14" s="1680"/>
      <c r="L14" s="1680"/>
      <c r="M14" s="1680"/>
      <c r="N14" s="1680"/>
      <c r="O14" s="1680"/>
      <c r="P14" s="1680"/>
      <c r="Q14" s="1680"/>
      <c r="R14" s="1680"/>
      <c r="S14" s="1680"/>
      <c r="T14" s="1680"/>
      <c r="U14" s="1680"/>
      <c r="V14" s="1680"/>
    </row>
    <row r="15" spans="1:22">
      <c r="A15" s="1680"/>
      <c r="B15" s="1680"/>
      <c r="C15" s="1680"/>
      <c r="D15" s="1680"/>
      <c r="E15" s="1680"/>
      <c r="F15" s="1680"/>
      <c r="G15" s="1680"/>
      <c r="H15" s="1680"/>
      <c r="I15" s="1680"/>
      <c r="J15" s="1680"/>
      <c r="K15" s="1680"/>
      <c r="L15" s="1680"/>
      <c r="M15" s="1680"/>
      <c r="N15" s="1680"/>
      <c r="O15" s="1680"/>
      <c r="P15" s="1680"/>
      <c r="Q15" s="1680"/>
      <c r="R15" s="1680"/>
      <c r="S15" s="1680"/>
      <c r="T15" s="1680"/>
      <c r="U15" s="1680"/>
      <c r="V15" s="1680"/>
    </row>
    <row r="16" spans="1:22">
      <c r="A16" s="1680"/>
      <c r="B16" s="1680"/>
      <c r="C16" s="1680"/>
      <c r="D16" s="1680"/>
      <c r="E16" s="1680"/>
      <c r="F16" s="1680"/>
      <c r="G16" s="1680"/>
      <c r="H16" s="1680"/>
      <c r="I16" s="1680"/>
      <c r="J16" s="1680"/>
      <c r="K16" s="1680"/>
      <c r="L16" s="1680"/>
      <c r="M16" s="1680"/>
      <c r="N16" s="1680"/>
      <c r="O16" s="1680"/>
      <c r="P16" s="1680"/>
      <c r="Q16" s="1680"/>
      <c r="R16" s="1680"/>
      <c r="S16" s="1680"/>
      <c r="T16" s="1680"/>
      <c r="U16" s="1680"/>
      <c r="V16" s="1680"/>
    </row>
    <row r="17" spans="1:22">
      <c r="A17" s="1680"/>
      <c r="B17" s="1680"/>
      <c r="C17" s="1680"/>
      <c r="D17" s="1680"/>
      <c r="E17" s="1680"/>
      <c r="F17" s="1680"/>
      <c r="G17" s="1680"/>
      <c r="H17" s="1680"/>
      <c r="I17" s="1680"/>
      <c r="J17" s="1680"/>
      <c r="K17" s="1680"/>
      <c r="L17" s="1680"/>
      <c r="M17" s="1680"/>
      <c r="N17" s="1680"/>
      <c r="O17" s="1680"/>
      <c r="P17" s="1680"/>
      <c r="Q17" s="1680"/>
      <c r="R17" s="1680"/>
      <c r="S17" s="1680"/>
      <c r="T17" s="1680"/>
      <c r="U17" s="1680"/>
      <c r="V17" s="1680"/>
    </row>
    <row r="18" spans="1:22">
      <c r="A18" s="1680"/>
      <c r="B18" s="1680"/>
      <c r="C18" s="1680"/>
      <c r="D18" s="1680"/>
      <c r="E18" s="1680"/>
      <c r="F18" s="1680"/>
      <c r="G18" s="1680"/>
      <c r="H18" s="1680"/>
      <c r="I18" s="1680"/>
      <c r="J18" s="1680"/>
      <c r="K18" s="1680"/>
      <c r="L18" s="1680"/>
      <c r="M18" s="1680"/>
      <c r="N18" s="1680"/>
      <c r="O18" s="1680"/>
      <c r="P18" s="1680"/>
      <c r="Q18" s="1680"/>
      <c r="R18" s="1680"/>
      <c r="S18" s="1680"/>
      <c r="T18" s="1680"/>
      <c r="U18" s="1680"/>
      <c r="V18" s="1680"/>
    </row>
    <row r="19" spans="1:22">
      <c r="A19" s="1680"/>
      <c r="B19" s="1680"/>
      <c r="C19" s="1680"/>
      <c r="D19" s="1680"/>
      <c r="E19" s="1680"/>
      <c r="F19" s="1680"/>
      <c r="G19" s="1680"/>
      <c r="H19" s="1680"/>
      <c r="I19" s="1680"/>
      <c r="J19" s="1680"/>
      <c r="K19" s="1680"/>
      <c r="L19" s="1680"/>
      <c r="M19" s="1680"/>
      <c r="N19" s="1680"/>
      <c r="O19" s="1680"/>
      <c r="P19" s="1680"/>
      <c r="Q19" s="1680"/>
      <c r="R19" s="1680"/>
      <c r="S19" s="1680"/>
      <c r="T19" s="1680"/>
      <c r="U19" s="1680"/>
      <c r="V19" s="1680"/>
    </row>
    <row r="20" spans="1:22">
      <c r="A20" s="1680"/>
      <c r="B20" s="1680"/>
      <c r="C20" s="1680"/>
      <c r="D20" s="1680"/>
      <c r="E20" s="1680"/>
      <c r="F20" s="1680"/>
      <c r="G20" s="1680"/>
      <c r="H20" s="1680"/>
      <c r="I20" s="1680"/>
      <c r="J20" s="1680"/>
      <c r="K20" s="1680"/>
      <c r="L20" s="1680"/>
      <c r="M20" s="1680"/>
      <c r="N20" s="1680"/>
      <c r="O20" s="1680"/>
      <c r="P20" s="1680"/>
      <c r="Q20" s="1680"/>
      <c r="R20" s="1680"/>
      <c r="S20" s="1680"/>
      <c r="T20" s="1680"/>
      <c r="U20" s="1680"/>
      <c r="V20" s="1680"/>
    </row>
    <row r="21" spans="1:22">
      <c r="A21" s="1680"/>
      <c r="B21" s="1680"/>
      <c r="C21" s="1680"/>
      <c r="D21" s="1680"/>
      <c r="E21" s="1680"/>
      <c r="F21" s="1680"/>
      <c r="G21" s="1680"/>
      <c r="H21" s="1680"/>
      <c r="I21" s="1680"/>
      <c r="J21" s="1680"/>
      <c r="K21" s="1680"/>
      <c r="L21" s="1680"/>
      <c r="M21" s="1680"/>
      <c r="N21" s="1680"/>
      <c r="O21" s="1680"/>
      <c r="P21" s="1680"/>
      <c r="Q21" s="1680"/>
      <c r="R21" s="1680"/>
      <c r="S21" s="1680"/>
      <c r="T21" s="1680"/>
      <c r="U21" s="1680"/>
      <c r="V21" s="1680"/>
    </row>
    <row r="22" spans="1:22">
      <c r="A22" s="1680"/>
      <c r="B22" s="1680"/>
      <c r="C22" s="1680"/>
      <c r="D22" s="1680"/>
      <c r="E22" s="1680"/>
      <c r="F22" s="1680"/>
      <c r="G22" s="1680"/>
      <c r="H22" s="1680"/>
      <c r="I22" s="1680"/>
      <c r="J22" s="1680"/>
      <c r="K22" s="1680"/>
      <c r="L22" s="1680"/>
      <c r="M22" s="1680"/>
      <c r="N22" s="1680"/>
      <c r="O22" s="1680"/>
      <c r="P22" s="1680"/>
      <c r="Q22" s="1680"/>
      <c r="R22" s="1680"/>
      <c r="S22" s="1680"/>
      <c r="T22" s="1680"/>
      <c r="U22" s="1680"/>
      <c r="V22" s="1680"/>
    </row>
    <row r="23" spans="1:22">
      <c r="A23" s="1680"/>
      <c r="B23" s="1680"/>
      <c r="C23" s="1680"/>
      <c r="D23" s="1680"/>
      <c r="E23" s="1680"/>
      <c r="F23" s="1680"/>
      <c r="G23" s="1680"/>
      <c r="H23" s="1680"/>
      <c r="I23" s="1680"/>
      <c r="J23" s="1680"/>
      <c r="K23" s="1680"/>
      <c r="L23" s="1680"/>
      <c r="M23" s="1680"/>
      <c r="N23" s="1680"/>
      <c r="O23" s="1680"/>
      <c r="P23" s="1680"/>
      <c r="Q23" s="1680"/>
      <c r="R23" s="1680"/>
      <c r="S23" s="1680"/>
      <c r="T23" s="1680"/>
      <c r="U23" s="1680"/>
      <c r="V23" s="1680"/>
    </row>
    <row r="24" spans="1:22">
      <c r="A24" s="1680"/>
      <c r="B24" s="1680"/>
      <c r="C24" s="1680"/>
      <c r="D24" s="1680"/>
      <c r="E24" s="1680"/>
      <c r="F24" s="1680"/>
      <c r="G24" s="1680"/>
      <c r="H24" s="1680"/>
      <c r="I24" s="1680"/>
      <c r="J24" s="1680"/>
      <c r="K24" s="1680"/>
      <c r="L24" s="1680"/>
      <c r="M24" s="1680"/>
      <c r="N24" s="1680"/>
      <c r="O24" s="1680"/>
      <c r="P24" s="1680"/>
      <c r="Q24" s="1680"/>
      <c r="R24" s="1680"/>
      <c r="S24" s="1680"/>
      <c r="T24" s="1680"/>
      <c r="U24" s="1680"/>
      <c r="V24" s="1680"/>
    </row>
    <row r="25" spans="1:22">
      <c r="A25" s="1680"/>
      <c r="B25" s="1680"/>
      <c r="C25" s="1680"/>
      <c r="D25" s="1680"/>
      <c r="E25" s="1680"/>
      <c r="F25" s="1680"/>
      <c r="G25" s="1680"/>
      <c r="H25" s="1680"/>
      <c r="I25" s="1680"/>
      <c r="J25" s="1680"/>
      <c r="K25" s="1680"/>
      <c r="L25" s="1680"/>
      <c r="M25" s="1680"/>
      <c r="N25" s="1680"/>
      <c r="O25" s="1680"/>
      <c r="P25" s="1680"/>
      <c r="Q25" s="1680"/>
      <c r="R25" s="1680"/>
      <c r="S25" s="1680"/>
      <c r="T25" s="1680"/>
      <c r="U25" s="1680"/>
      <c r="V25" s="1680"/>
    </row>
    <row r="26" spans="1:22">
      <c r="A26" s="1680"/>
      <c r="B26" s="1680"/>
      <c r="C26" s="1680"/>
      <c r="D26" s="1680"/>
      <c r="E26" s="1680"/>
      <c r="F26" s="1680"/>
      <c r="G26" s="1680"/>
      <c r="H26" s="1680"/>
      <c r="I26" s="1680"/>
      <c r="J26" s="1680"/>
      <c r="K26" s="1680"/>
      <c r="L26" s="1680"/>
      <c r="M26" s="1680"/>
      <c r="N26" s="1680"/>
      <c r="O26" s="1680"/>
      <c r="P26" s="1680"/>
      <c r="Q26" s="1680"/>
      <c r="R26" s="1680"/>
      <c r="S26" s="1680"/>
      <c r="T26" s="1680"/>
      <c r="U26" s="1680"/>
      <c r="V26" s="1680"/>
    </row>
    <row r="27" spans="1:22">
      <c r="A27" s="1680"/>
      <c r="B27" s="1680"/>
      <c r="C27" s="1680"/>
      <c r="D27" s="1680"/>
      <c r="E27" s="1680"/>
      <c r="F27" s="1680"/>
      <c r="G27" s="1680"/>
      <c r="H27" s="1680"/>
      <c r="I27" s="1680"/>
      <c r="J27" s="1680"/>
      <c r="K27" s="1680"/>
      <c r="L27" s="1680"/>
      <c r="M27" s="1680"/>
      <c r="N27" s="1680"/>
      <c r="O27" s="1680"/>
      <c r="P27" s="1680"/>
      <c r="Q27" s="1680"/>
      <c r="R27" s="1680"/>
      <c r="S27" s="1680"/>
      <c r="T27" s="1680"/>
      <c r="U27" s="1680"/>
      <c r="V27" s="1680"/>
    </row>
    <row r="28" spans="1:22">
      <c r="A28" s="1680"/>
      <c r="B28" s="1680"/>
      <c r="C28" s="1680"/>
      <c r="D28" s="1680"/>
      <c r="E28" s="1680"/>
      <c r="F28" s="1680"/>
      <c r="G28" s="1680"/>
      <c r="H28" s="1680"/>
      <c r="I28" s="1680"/>
      <c r="J28" s="1680"/>
      <c r="K28" s="1680"/>
      <c r="L28" s="1680"/>
      <c r="M28" s="1680"/>
      <c r="N28" s="1680"/>
      <c r="O28" s="1680"/>
      <c r="P28" s="1680"/>
      <c r="Q28" s="1680"/>
      <c r="R28" s="1680"/>
      <c r="S28" s="1680"/>
      <c r="T28" s="1680"/>
      <c r="U28" s="1680"/>
      <c r="V28" s="1680"/>
    </row>
    <row r="29" spans="1:22">
      <c r="A29" s="1680"/>
      <c r="B29" s="1680"/>
      <c r="C29" s="1680"/>
      <c r="D29" s="1680"/>
      <c r="E29" s="1680"/>
      <c r="F29" s="1680"/>
      <c r="G29" s="1680"/>
      <c r="H29" s="1680"/>
      <c r="I29" s="1680"/>
      <c r="J29" s="1680"/>
      <c r="K29" s="1680"/>
      <c r="L29" s="1680"/>
      <c r="M29" s="1680"/>
      <c r="N29" s="1680"/>
      <c r="O29" s="1680"/>
      <c r="P29" s="1680"/>
      <c r="Q29" s="1680"/>
      <c r="R29" s="1680"/>
      <c r="S29" s="1680"/>
      <c r="T29" s="1680"/>
      <c r="U29" s="1680"/>
      <c r="V29" s="1680"/>
    </row>
    <row r="30" spans="1:22">
      <c r="A30" s="1680"/>
      <c r="B30" s="1680"/>
      <c r="C30" s="1680"/>
      <c r="D30" s="1680"/>
      <c r="E30" s="1680"/>
      <c r="F30" s="1680"/>
      <c r="G30" s="1680"/>
      <c r="H30" s="1680"/>
      <c r="I30" s="1680"/>
      <c r="J30" s="1680"/>
      <c r="K30" s="1680"/>
      <c r="L30" s="1680"/>
      <c r="M30" s="1680"/>
      <c r="N30" s="1680"/>
      <c r="O30" s="1680"/>
      <c r="P30" s="1680"/>
      <c r="Q30" s="1680"/>
      <c r="R30" s="1680"/>
      <c r="S30" s="1680"/>
      <c r="T30" s="1680"/>
      <c r="U30" s="1680"/>
      <c r="V30" s="1680"/>
    </row>
    <row r="31" spans="1:22">
      <c r="A31" s="1680"/>
      <c r="B31" s="1680"/>
      <c r="C31" s="1680"/>
      <c r="D31" s="1680"/>
      <c r="E31" s="1680"/>
      <c r="F31" s="1680"/>
      <c r="G31" s="1680"/>
      <c r="H31" s="1680"/>
      <c r="I31" s="1680"/>
      <c r="J31" s="1680"/>
      <c r="K31" s="1680"/>
      <c r="L31" s="1680"/>
      <c r="M31" s="1680"/>
      <c r="N31" s="1680"/>
      <c r="O31" s="1680"/>
      <c r="P31" s="1680"/>
      <c r="Q31" s="1680"/>
      <c r="R31" s="1680"/>
      <c r="S31" s="1680"/>
      <c r="T31" s="1680"/>
      <c r="U31" s="1680"/>
      <c r="V31" s="168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D48" sqref="D48"/>
    </sheetView>
  </sheetViews>
  <sheetFormatPr defaultRowHeight="14.4"/>
  <cols>
    <col min="1" max="1" width="10.44140625" customWidth="1"/>
    <col min="2" max="2" width="12.88671875" customWidth="1"/>
    <col min="3" max="3" width="8.77734375" customWidth="1"/>
  </cols>
  <sheetData>
    <row r="1" spans="1:9" ht="15.6">
      <c r="A1" s="3341" t="s">
        <v>1044</v>
      </c>
      <c r="B1" s="3342"/>
      <c r="C1" s="3343"/>
      <c r="D1" s="3344">
        <f>SUM(I10,I15,I20,I21,I23)</f>
        <v>0</v>
      </c>
      <c r="E1" s="3344"/>
      <c r="F1" s="3344"/>
      <c r="G1" s="3344"/>
      <c r="H1" s="3344"/>
      <c r="I1" s="3345"/>
    </row>
    <row r="2" spans="1:9">
      <c r="A2" s="3346" t="s">
        <v>1045</v>
      </c>
      <c r="B2" s="3347" t="s">
        <v>1046</v>
      </c>
      <c r="C2" s="3347"/>
      <c r="D2" s="1215" t="s">
        <v>1047</v>
      </c>
      <c r="E2" s="1215" t="s">
        <v>1048</v>
      </c>
      <c r="F2" s="1215" t="s">
        <v>1049</v>
      </c>
      <c r="G2" s="1215" t="s">
        <v>1050</v>
      </c>
      <c r="H2" s="1215" t="s">
        <v>1051</v>
      </c>
      <c r="I2" s="1216" t="s">
        <v>1052</v>
      </c>
    </row>
    <row r="3" spans="1:9">
      <c r="A3" s="3346"/>
      <c r="B3" s="3347" t="s">
        <v>1053</v>
      </c>
      <c r="C3" s="3347"/>
      <c r="D3" s="1217"/>
      <c r="E3" s="1215"/>
      <c r="F3" s="1218"/>
      <c r="G3" s="1218"/>
      <c r="H3" s="1219"/>
      <c r="I3" s="1220">
        <f>ROUND(D3*E3*F3*G3*H3/10000,0)</f>
        <v>0</v>
      </c>
    </row>
    <row r="4" spans="1:9">
      <c r="A4" s="3346"/>
      <c r="B4" s="3347" t="s">
        <v>1054</v>
      </c>
      <c r="C4" s="3347"/>
      <c r="D4" s="1217"/>
      <c r="E4" s="1215"/>
      <c r="F4" s="1218"/>
      <c r="G4" s="1218"/>
      <c r="H4" s="1219"/>
      <c r="I4" s="1220">
        <f t="shared" ref="I4:I9" si="0">ROUND(D4*E4*F4*G4*H4/10000,0)</f>
        <v>0</v>
      </c>
    </row>
    <row r="5" spans="1:9">
      <c r="A5" s="3346"/>
      <c r="B5" s="3347" t="s">
        <v>1055</v>
      </c>
      <c r="C5" s="3347"/>
      <c r="D5" s="1217"/>
      <c r="E5" s="1215"/>
      <c r="F5" s="1218"/>
      <c r="G5" s="1218"/>
      <c r="H5" s="1219"/>
      <c r="I5" s="1220">
        <f t="shared" si="0"/>
        <v>0</v>
      </c>
    </row>
    <row r="6" spans="1:9">
      <c r="A6" s="3346"/>
      <c r="B6" s="3347" t="s">
        <v>1056</v>
      </c>
      <c r="C6" s="3347"/>
      <c r="D6" s="1217"/>
      <c r="E6" s="1215"/>
      <c r="F6" s="1218"/>
      <c r="G6" s="1218"/>
      <c r="H6" s="1219"/>
      <c r="I6" s="1220">
        <f t="shared" si="0"/>
        <v>0</v>
      </c>
    </row>
    <row r="7" spans="1:9">
      <c r="A7" s="3346"/>
      <c r="B7" s="3347" t="s">
        <v>1057</v>
      </c>
      <c r="C7" s="3347"/>
      <c r="D7" s="1217"/>
      <c r="E7" s="1215"/>
      <c r="F7" s="1218"/>
      <c r="G7" s="1218"/>
      <c r="H7" s="1219"/>
      <c r="I7" s="1220">
        <f t="shared" si="0"/>
        <v>0</v>
      </c>
    </row>
    <row r="8" spans="1:9">
      <c r="A8" s="3346"/>
      <c r="B8" s="3347" t="s">
        <v>1058</v>
      </c>
      <c r="C8" s="3347"/>
      <c r="D8" s="1217"/>
      <c r="E8" s="1215"/>
      <c r="F8" s="1218"/>
      <c r="G8" s="1218"/>
      <c r="H8" s="1219"/>
      <c r="I8" s="1220">
        <f t="shared" si="0"/>
        <v>0</v>
      </c>
    </row>
    <row r="9" spans="1:9">
      <c r="A9" s="3346"/>
      <c r="B9" s="3347" t="s">
        <v>1059</v>
      </c>
      <c r="C9" s="3347"/>
      <c r="D9" s="1217"/>
      <c r="E9" s="1215"/>
      <c r="F9" s="1218"/>
      <c r="G9" s="1218"/>
      <c r="H9" s="1219"/>
      <c r="I9" s="1220">
        <f t="shared" si="0"/>
        <v>0</v>
      </c>
    </row>
    <row r="10" spans="1:9">
      <c r="A10" s="3346"/>
      <c r="B10" s="3348" t="s">
        <v>1060</v>
      </c>
      <c r="C10" s="3348"/>
      <c r="D10" s="1221"/>
      <c r="E10" s="1221" t="e">
        <f>ROUND(D1*10000/D10/H9,0)</f>
        <v>#DIV/0!</v>
      </c>
      <c r="F10" s="1222"/>
      <c r="G10" s="1222"/>
      <c r="H10" s="1223"/>
      <c r="I10" s="1224">
        <f>SUM(I3:I9)</f>
        <v>0</v>
      </c>
    </row>
    <row r="11" spans="1:9" ht="15.6">
      <c r="A11" s="3346" t="s">
        <v>1061</v>
      </c>
      <c r="B11" s="3347" t="s">
        <v>1062</v>
      </c>
      <c r="C11" s="3347"/>
      <c r="D11" s="1217" t="s">
        <v>1063</v>
      </c>
      <c r="E11" s="1217" t="s">
        <v>1064</v>
      </c>
      <c r="F11" s="1218" t="s">
        <v>1065</v>
      </c>
      <c r="G11" s="1218" t="s">
        <v>1051</v>
      </c>
      <c r="H11" s="1225" t="s">
        <v>1066</v>
      </c>
      <c r="I11" s="1216" t="s">
        <v>1052</v>
      </c>
    </row>
    <row r="12" spans="1:9">
      <c r="A12" s="3346"/>
      <c r="B12" s="3347" t="s">
        <v>1067</v>
      </c>
      <c r="C12" s="3347"/>
      <c r="D12" s="1217"/>
      <c r="E12" s="1217"/>
      <c r="F12" s="1218"/>
      <c r="G12" s="1219"/>
      <c r="H12" s="1226"/>
      <c r="I12" s="1216">
        <f>ROUND(D12*E12*F12*G12/10000,0)</f>
        <v>0</v>
      </c>
    </row>
    <row r="13" spans="1:9">
      <c r="A13" s="3346"/>
      <c r="B13" s="3347" t="s">
        <v>1068</v>
      </c>
      <c r="C13" s="3347"/>
      <c r="D13" s="1217"/>
      <c r="E13" s="1217"/>
      <c r="F13" s="1218"/>
      <c r="G13" s="1219"/>
      <c r="H13" s="1226"/>
      <c r="I13" s="1216">
        <f>ROUND(D13*E13*F13*G13/10000,0)</f>
        <v>0</v>
      </c>
    </row>
    <row r="14" spans="1:9">
      <c r="A14" s="3346"/>
      <c r="B14" s="3347" t="s">
        <v>1069</v>
      </c>
      <c r="C14" s="3347"/>
      <c r="D14" s="1217"/>
      <c r="E14" s="1217"/>
      <c r="F14" s="1218"/>
      <c r="G14" s="1219"/>
      <c r="H14" s="1226"/>
      <c r="I14" s="1216">
        <f>ROUND(D14*E14*F14*G14/10000,0)</f>
        <v>0</v>
      </c>
    </row>
    <row r="15" spans="1:9">
      <c r="A15" s="3346"/>
      <c r="B15" s="3348" t="s">
        <v>1060</v>
      </c>
      <c r="C15" s="3348"/>
      <c r="D15" s="1221"/>
      <c r="E15" s="1221">
        <f>SUM(E12:E14)</f>
        <v>0</v>
      </c>
      <c r="F15" s="1222"/>
      <c r="G15" s="1219"/>
      <c r="H15" s="1226"/>
      <c r="I15" s="1227">
        <f>SUM(I12:I14)</f>
        <v>0</v>
      </c>
    </row>
    <row r="16" spans="1:9" ht="24">
      <c r="A16" s="3346" t="s">
        <v>1070</v>
      </c>
      <c r="B16" s="3347" t="s">
        <v>1071</v>
      </c>
      <c r="C16" s="3347"/>
      <c r="D16" s="1217" t="s">
        <v>1047</v>
      </c>
      <c r="E16" s="1228" t="s">
        <v>1072</v>
      </c>
      <c r="F16" s="1218" t="s">
        <v>1073</v>
      </c>
      <c r="G16" s="1219" t="s">
        <v>1051</v>
      </c>
      <c r="H16" s="1225" t="s">
        <v>1066</v>
      </c>
      <c r="I16" s="1216" t="s">
        <v>1052</v>
      </c>
    </row>
    <row r="17" spans="1:9" ht="15.6">
      <c r="A17" s="3346"/>
      <c r="B17" s="3347" t="s">
        <v>1074</v>
      </c>
      <c r="C17" s="3347"/>
      <c r="D17" s="1217"/>
      <c r="E17" s="1217"/>
      <c r="F17" s="1218"/>
      <c r="G17" s="1219"/>
      <c r="H17" s="1229"/>
      <c r="I17" s="1230">
        <f>ROUND(D17*E17*F17*G17/10000,0)</f>
        <v>0</v>
      </c>
    </row>
    <row r="18" spans="1:9" ht="15.6">
      <c r="A18" s="3346"/>
      <c r="B18" s="3347" t="s">
        <v>1075</v>
      </c>
      <c r="C18" s="3347"/>
      <c r="D18" s="1217"/>
      <c r="E18" s="1217"/>
      <c r="F18" s="1218"/>
      <c r="G18" s="1219"/>
      <c r="H18" s="1229"/>
      <c r="I18" s="1230">
        <f>ROUND(D18*E18*F18*G18/10000,0)</f>
        <v>0</v>
      </c>
    </row>
    <row r="19" spans="1:9" ht="15.6">
      <c r="A19" s="3346"/>
      <c r="B19" s="3347" t="s">
        <v>1076</v>
      </c>
      <c r="C19" s="3347"/>
      <c r="D19" s="1217"/>
      <c r="E19" s="1217"/>
      <c r="F19" s="1218"/>
      <c r="G19" s="1219"/>
      <c r="H19" s="1229"/>
      <c r="I19" s="1230">
        <f>ROUND(D19*E19*F19*G19/10000,0)</f>
        <v>0</v>
      </c>
    </row>
    <row r="20" spans="1:9">
      <c r="A20" s="3346"/>
      <c r="B20" s="3348" t="s">
        <v>1060</v>
      </c>
      <c r="C20" s="3348"/>
      <c r="D20" s="1221">
        <f>SUM(D17:D19)</f>
        <v>0</v>
      </c>
      <c r="E20" s="1221"/>
      <c r="F20" s="1222"/>
      <c r="G20" s="1219"/>
      <c r="H20" s="1226"/>
      <c r="I20" s="1227">
        <f>SUM(I17:I19)</f>
        <v>0</v>
      </c>
    </row>
    <row r="21" spans="1:9">
      <c r="A21" s="3346" t="s">
        <v>1077</v>
      </c>
      <c r="B21" s="3350"/>
      <c r="C21" s="3350"/>
      <c r="D21" s="3350"/>
      <c r="E21" s="3350"/>
      <c r="F21" s="3350"/>
      <c r="G21" s="3350"/>
      <c r="H21" s="1508">
        <v>0.1</v>
      </c>
      <c r="I21" s="1224">
        <f>ROUND(I10*H21,0)</f>
        <v>0</v>
      </c>
    </row>
    <row r="22" spans="1:9" ht="15.6">
      <c r="A22" s="3351" t="s">
        <v>1078</v>
      </c>
      <c r="B22" s="3352"/>
      <c r="C22" s="3353"/>
      <c r="D22" s="1231" t="s">
        <v>1079</v>
      </c>
      <c r="E22" s="1231" t="s">
        <v>1080</v>
      </c>
      <c r="F22" s="1232" t="s">
        <v>1081</v>
      </c>
      <c r="G22" s="1232" t="s">
        <v>1082</v>
      </c>
      <c r="H22" s="1225" t="s">
        <v>1083</v>
      </c>
      <c r="I22" s="1216" t="s">
        <v>1084</v>
      </c>
    </row>
    <row r="23" spans="1:9" ht="15" thickBot="1">
      <c r="A23" s="3354"/>
      <c r="B23" s="3355"/>
      <c r="C23" s="3356"/>
      <c r="D23" s="1233"/>
      <c r="E23" s="1233"/>
      <c r="F23" s="1233"/>
      <c r="G23" s="1234"/>
      <c r="H23" s="1235"/>
      <c r="I23" s="1236">
        <f>ROUND(E23*D23*F23*(1-G23)/10000,0)</f>
        <v>0</v>
      </c>
    </row>
    <row r="26" spans="1:9">
      <c r="A26" s="1237" t="s">
        <v>1085</v>
      </c>
      <c r="B26" s="1237"/>
      <c r="C26" s="1237"/>
      <c r="D26" s="1237"/>
      <c r="E26" s="3357">
        <f>C27-C30-C31-C32</f>
        <v>0</v>
      </c>
      <c r="F26" s="3357"/>
      <c r="G26" s="3357"/>
      <c r="H26" s="1505" t="s">
        <v>1306</v>
      </c>
    </row>
    <row r="27" spans="1:9">
      <c r="A27" s="1238">
        <v>1</v>
      </c>
      <c r="B27" s="1239" t="s">
        <v>1086</v>
      </c>
      <c r="C27" s="1239">
        <f>C28+C29</f>
        <v>0</v>
      </c>
      <c r="D27" s="1239"/>
      <c r="E27" s="3358"/>
      <c r="F27" s="3358"/>
      <c r="G27" s="3358"/>
    </row>
    <row r="28" spans="1:9">
      <c r="A28" s="1240" t="s">
        <v>1087</v>
      </c>
      <c r="B28" s="1239" t="s">
        <v>1088</v>
      </c>
      <c r="C28" s="1239"/>
      <c r="D28" s="1239"/>
      <c r="E28" s="3358"/>
      <c r="F28" s="3358"/>
      <c r="G28" s="3358"/>
    </row>
    <row r="29" spans="1:9">
      <c r="A29" s="1240" t="s">
        <v>1089</v>
      </c>
      <c r="B29" s="1239" t="s">
        <v>1090</v>
      </c>
      <c r="C29" s="1239"/>
      <c r="D29" s="1239"/>
      <c r="E29" s="1239" t="s">
        <v>1091</v>
      </c>
      <c r="F29" s="1239"/>
      <c r="G29" s="1239"/>
    </row>
    <row r="30" spans="1:9">
      <c r="A30" s="1238">
        <v>2</v>
      </c>
      <c r="B30" s="1239" t="s">
        <v>1092</v>
      </c>
      <c r="C30" s="1239">
        <f>C27*D30</f>
        <v>0</v>
      </c>
      <c r="D30" s="1241">
        <v>0.2</v>
      </c>
      <c r="E30" s="1239" t="s">
        <v>1093</v>
      </c>
      <c r="F30" s="1239"/>
      <c r="G30" s="1239"/>
    </row>
    <row r="31" spans="1:9">
      <c r="A31" s="1238">
        <v>3</v>
      </c>
      <c r="B31" s="1239" t="s">
        <v>1094</v>
      </c>
      <c r="C31" s="1239">
        <f>C27*D31</f>
        <v>0</v>
      </c>
      <c r="D31" s="1241">
        <v>0.15</v>
      </c>
      <c r="E31" s="1239" t="s">
        <v>1095</v>
      </c>
      <c r="F31" s="1239"/>
      <c r="G31" s="1239"/>
    </row>
    <row r="32" spans="1:9">
      <c r="A32" s="1238">
        <v>4</v>
      </c>
      <c r="B32" s="1239" t="s">
        <v>1096</v>
      </c>
      <c r="C32" s="1239">
        <f>C27*D32</f>
        <v>0</v>
      </c>
      <c r="D32" s="1241">
        <v>0.05</v>
      </c>
      <c r="E32" s="3349"/>
      <c r="F32" s="3349"/>
      <c r="G32" s="3349"/>
    </row>
    <row r="33" spans="1:7" hidden="1">
      <c r="A33" s="3359" t="s">
        <v>1097</v>
      </c>
      <c r="B33" s="3360"/>
      <c r="C33" s="3360"/>
      <c r="D33" s="3361"/>
      <c r="E33" s="3357"/>
      <c r="F33" s="3357"/>
      <c r="G33" s="3357"/>
    </row>
    <row r="34" spans="1:7" hidden="1">
      <c r="A34" s="1242">
        <v>1</v>
      </c>
      <c r="B34" s="1239" t="s">
        <v>1098</v>
      </c>
      <c r="C34" s="1239"/>
      <c r="D34" s="1239"/>
      <c r="E34" s="3358"/>
      <c r="F34" s="3358"/>
      <c r="G34" s="3358"/>
    </row>
    <row r="35" spans="1:7" hidden="1">
      <c r="A35" s="1242">
        <v>2</v>
      </c>
      <c r="B35" s="1239" t="s">
        <v>1099</v>
      </c>
      <c r="C35" s="1239"/>
      <c r="D35" s="1239"/>
      <c r="E35" s="3358"/>
      <c r="F35" s="3358"/>
      <c r="G35" s="3358"/>
    </row>
    <row r="36" spans="1:7" hidden="1">
      <c r="A36" s="1242">
        <v>3</v>
      </c>
      <c r="B36" s="1239" t="s">
        <v>1100</v>
      </c>
      <c r="C36" s="1239"/>
      <c r="D36" s="1239"/>
      <c r="E36" s="3358"/>
      <c r="F36" s="3358"/>
      <c r="G36" s="3358"/>
    </row>
    <row r="37" spans="1:7" hidden="1">
      <c r="A37" s="1242">
        <v>4</v>
      </c>
      <c r="B37" s="1239" t="s">
        <v>1101</v>
      </c>
      <c r="C37" s="1239"/>
      <c r="D37" s="1239"/>
      <c r="E37" s="3358"/>
      <c r="F37" s="3358"/>
      <c r="G37" s="3358"/>
    </row>
    <row r="38" spans="1:7" hidden="1">
      <c r="A38" s="3359" t="s">
        <v>1102</v>
      </c>
      <c r="B38" s="3360"/>
      <c r="C38" s="3360"/>
      <c r="D38" s="3361"/>
      <c r="E38" s="3357"/>
      <c r="F38" s="3357"/>
      <c r="G38" s="33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48" sqref="D48"/>
    </sheetView>
  </sheetViews>
  <sheetFormatPr defaultColWidth="9" defaultRowHeight="13.8"/>
  <cols>
    <col min="1" max="1" width="10.44140625" style="367" customWidth="1"/>
    <col min="2" max="2" width="15.77734375" style="367" customWidth="1"/>
    <col min="3" max="3" width="15.109375" style="367" customWidth="1"/>
    <col min="4" max="4" width="12.21875" style="367" customWidth="1"/>
    <col min="5" max="5" width="14.33203125" style="367" customWidth="1"/>
    <col min="6" max="6" width="12.21875" style="367" customWidth="1"/>
    <col min="7" max="7" width="14.44140625" style="367" customWidth="1"/>
    <col min="8" max="8" width="12.21875" style="367" customWidth="1"/>
    <col min="9" max="9" width="14.44140625" style="367" customWidth="1"/>
    <col min="10" max="10" width="12.21875" style="367" customWidth="1"/>
    <col min="11" max="11" width="12.21875" style="456" customWidth="1"/>
    <col min="12" max="12" width="12.21875" style="457" customWidth="1"/>
    <col min="13" max="15" width="12.21875" style="367" customWidth="1"/>
    <col min="16" max="16" width="4.77734375" style="2108" customWidth="1"/>
    <col min="17" max="17" width="19.44140625" style="367" customWidth="1"/>
    <col min="18" max="22" width="6.109375" style="367" customWidth="1"/>
    <col min="23" max="23" width="5.77734375" style="367" customWidth="1"/>
    <col min="24" max="24" width="4.21875" style="367" customWidth="1"/>
    <col min="25" max="25" width="3.44140625" style="367" customWidth="1"/>
    <col min="26" max="26" width="19.77734375" style="367" customWidth="1"/>
    <col min="27" max="28" width="9.33203125" style="367" customWidth="1"/>
    <col min="29" max="16384" width="9" style="367"/>
  </cols>
  <sheetData>
    <row r="1" spans="1:29" s="1405" customFormat="1" ht="28.5" customHeight="1" thickBot="1">
      <c r="A1" s="1394" t="s">
        <v>2358</v>
      </c>
      <c r="B1" s="2070" t="s">
        <v>2359</v>
      </c>
      <c r="C1" s="1410" t="s">
        <v>2360</v>
      </c>
      <c r="D1" s="1397"/>
      <c r="E1" s="2550"/>
      <c r="F1" s="2071" t="s">
        <v>2361</v>
      </c>
      <c r="G1" s="1407" t="s">
        <v>2362</v>
      </c>
      <c r="H1" s="1406"/>
      <c r="I1" s="1406"/>
      <c r="J1" s="1406"/>
      <c r="K1" s="1408"/>
      <c r="L1" s="1409"/>
      <c r="M1" s="1410"/>
      <c r="N1" s="1410"/>
      <c r="O1" s="1410"/>
      <c r="P1" s="2072"/>
      <c r="Q1" s="1396"/>
      <c r="R1" s="1396"/>
      <c r="S1" s="1396"/>
      <c r="T1" s="1396"/>
      <c r="U1" s="1396"/>
      <c r="V1" s="1396"/>
      <c r="W1" s="1396"/>
      <c r="X1" s="1396"/>
      <c r="Y1" s="1396"/>
      <c r="Z1" s="1396"/>
      <c r="AA1" s="1396"/>
      <c r="AB1" s="1396"/>
      <c r="AC1" s="1404"/>
    </row>
    <row r="2" spans="1:29" s="357" customFormat="1" ht="28.5" customHeight="1" thickTop="1">
      <c r="A2" s="1393" t="s">
        <v>1359</v>
      </c>
      <c r="B2" s="1330" t="e">
        <f ca="1">IF(C2="——",ROUND(C49*D3/10000,0),ROUND(C49*D3/10000,0)-D2)</f>
        <v>#DIV/0!</v>
      </c>
      <c r="C2" s="2073"/>
      <c r="D2" s="1279" t="e">
        <f ca="1">SUMIF(INDIRECT("'"&amp;F2&amp;"'"&amp;"!A:A"),"承租人权益价值",INDIRECT("'"&amp;F2&amp;"'"&amp;"!c:c"))</f>
        <v>#REF!</v>
      </c>
      <c r="E2" s="2074" t="s">
        <v>2363</v>
      </c>
      <c r="F2" s="2075"/>
      <c r="G2" s="1042"/>
      <c r="H2" s="1042"/>
      <c r="I2" s="1042"/>
      <c r="J2" s="1042"/>
      <c r="K2" s="2076"/>
      <c r="L2" s="2945"/>
      <c r="M2" s="2946"/>
      <c r="N2" s="2946"/>
      <c r="O2" s="2946"/>
      <c r="P2" s="2077"/>
      <c r="Q2" s="2078"/>
      <c r="R2" s="2078"/>
      <c r="S2" s="2078"/>
      <c r="T2" s="2078"/>
      <c r="U2" s="2078"/>
      <c r="V2" s="2078"/>
      <c r="W2" s="2078"/>
      <c r="X2" s="2078"/>
      <c r="Y2" s="2078"/>
      <c r="Z2" s="2078"/>
      <c r="AA2" s="2078"/>
      <c r="AB2" s="2078"/>
      <c r="AC2" s="2079"/>
    </row>
    <row r="3" spans="1:29" s="357" customFormat="1" ht="28.5" customHeight="1" thickBot="1">
      <c r="A3" s="213" t="s">
        <v>1360</v>
      </c>
      <c r="B3" s="363" t="e">
        <f ca="1">IF(C2="——",C49,ROUND(B2*10000/D3,0))</f>
        <v>#DIV/0!</v>
      </c>
      <c r="C3" s="364" t="s">
        <v>2364</v>
      </c>
      <c r="D3" s="363">
        <f>IF(D1="",'数据-汇总表'!E3,SUMIF('数据-汇总表'!$C19:$C33,D1,'数据-汇总表'!$E19:$E33))</f>
        <v>8640.14</v>
      </c>
      <c r="E3" s="1042"/>
      <c r="F3" s="2080"/>
      <c r="G3" s="1042"/>
      <c r="H3" s="1042"/>
      <c r="I3" s="1042"/>
      <c r="J3" s="1042"/>
      <c r="K3" s="2076"/>
      <c r="L3" s="2945"/>
      <c r="M3" s="2946"/>
      <c r="N3" s="2946"/>
      <c r="O3" s="2946"/>
      <c r="P3" s="2077"/>
      <c r="Q3" s="2078"/>
      <c r="R3" s="2078"/>
      <c r="S3" s="2078"/>
      <c r="T3" s="2078"/>
      <c r="U3" s="2078"/>
      <c r="V3" s="2078"/>
      <c r="W3" s="2078"/>
      <c r="X3" s="2078"/>
      <c r="Y3" s="2078"/>
      <c r="Z3" s="2078"/>
      <c r="AA3" s="2078"/>
      <c r="AB3" s="2078"/>
      <c r="AC3" s="1196"/>
    </row>
    <row r="4" spans="1:29" ht="14.4">
      <c r="A4" s="365" t="s">
        <v>2365</v>
      </c>
      <c r="B4" s="366"/>
      <c r="C4" s="3380" t="s">
        <v>2366</v>
      </c>
      <c r="D4" s="3381"/>
      <c r="E4" s="3382" t="s">
        <v>2367</v>
      </c>
      <c r="F4" s="3383"/>
      <c r="G4" s="3380" t="s">
        <v>2368</v>
      </c>
      <c r="H4" s="3381"/>
      <c r="I4" s="3380" t="s">
        <v>2369</v>
      </c>
      <c r="J4" s="3381"/>
      <c r="K4" s="2081" t="s">
        <v>2370</v>
      </c>
      <c r="L4" s="2947"/>
      <c r="M4" s="2948"/>
      <c r="N4" s="2948"/>
      <c r="O4" s="2948"/>
      <c r="P4" s="3384" t="s">
        <v>2371</v>
      </c>
      <c r="Q4" s="3385"/>
      <c r="R4" s="3367" t="s">
        <v>2367</v>
      </c>
      <c r="S4" s="3368"/>
      <c r="T4" s="3367" t="s">
        <v>2368</v>
      </c>
      <c r="U4" s="3368"/>
      <c r="V4" s="3392" t="s">
        <v>2369</v>
      </c>
      <c r="W4" s="3392"/>
      <c r="X4" s="1545"/>
      <c r="Y4" s="3367" t="s">
        <v>2371</v>
      </c>
      <c r="Z4" s="3368"/>
      <c r="AA4" s="3362" t="s">
        <v>2367</v>
      </c>
      <c r="AB4" s="3362" t="s">
        <v>2368</v>
      </c>
      <c r="AC4" s="3362" t="s">
        <v>2369</v>
      </c>
    </row>
    <row r="5" spans="1:29">
      <c r="A5" s="368"/>
      <c r="B5" s="369"/>
      <c r="C5" s="3373" t="s">
        <v>2372</v>
      </c>
      <c r="D5" s="3374"/>
      <c r="E5" s="3371" t="s">
        <v>2373</v>
      </c>
      <c r="F5" s="3372"/>
      <c r="G5" s="3373" t="s">
        <v>2374</v>
      </c>
      <c r="H5" s="3374"/>
      <c r="I5" s="3373" t="s">
        <v>2375</v>
      </c>
      <c r="J5" s="3374"/>
      <c r="K5" s="2082"/>
      <c r="L5" s="2947"/>
      <c r="M5" s="2948"/>
      <c r="N5" s="2948"/>
      <c r="O5" s="2948"/>
      <c r="P5" s="3386"/>
      <c r="Q5" s="3387"/>
      <c r="R5" s="3369"/>
      <c r="S5" s="3370"/>
      <c r="T5" s="3369"/>
      <c r="U5" s="3370"/>
      <c r="V5" s="3392"/>
      <c r="W5" s="3392"/>
      <c r="X5" s="1545"/>
      <c r="Y5" s="3369"/>
      <c r="Z5" s="3370"/>
      <c r="AA5" s="3363"/>
      <c r="AB5" s="3363"/>
      <c r="AC5" s="3363"/>
    </row>
    <row r="6" spans="1:29" ht="15" thickBot="1">
      <c r="A6" s="370"/>
      <c r="B6" s="371"/>
      <c r="C6" s="3375" t="s">
        <v>2376</v>
      </c>
      <c r="D6" s="3376"/>
      <c r="E6" s="3377" t="s">
        <v>2376</v>
      </c>
      <c r="F6" s="3378"/>
      <c r="G6" s="3375" t="s">
        <v>2376</v>
      </c>
      <c r="H6" s="3376"/>
      <c r="I6" s="3375" t="s">
        <v>2376</v>
      </c>
      <c r="J6" s="3376"/>
      <c r="K6" s="2082" t="s">
        <v>2377</v>
      </c>
      <c r="L6" s="2947"/>
      <c r="M6" s="2948"/>
      <c r="N6" s="2948"/>
      <c r="O6" s="2948"/>
      <c r="P6" s="3388"/>
      <c r="Q6" s="3389"/>
      <c r="R6" s="3369"/>
      <c r="S6" s="3370"/>
      <c r="T6" s="3390"/>
      <c r="U6" s="3391"/>
      <c r="V6" s="3392"/>
      <c r="W6" s="3392"/>
      <c r="X6" s="1545"/>
      <c r="Y6" s="3390"/>
      <c r="Z6" s="3391"/>
      <c r="AA6" s="3364"/>
      <c r="AB6" s="3364"/>
      <c r="AC6" s="3364"/>
    </row>
    <row r="7" spans="1:29" s="117" customFormat="1" ht="15" thickBot="1">
      <c r="A7" s="372" t="s">
        <v>2378</v>
      </c>
      <c r="B7" s="373"/>
      <c r="C7" s="374">
        <f>'数据-取费表'!B2</f>
        <v>44063</v>
      </c>
      <c r="D7" s="375">
        <v>100</v>
      </c>
      <c r="E7" s="376"/>
      <c r="F7" s="377">
        <f>SUMIF(58:58,YEAR(E7)&amp;"-"&amp;MONTH(E7),59:59)</f>
        <v>0</v>
      </c>
      <c r="G7" s="376"/>
      <c r="H7" s="375">
        <f>SUMIF(58:58,YEAR(G7)&amp;"-"&amp;MONTH(G7),59:59)</f>
        <v>0</v>
      </c>
      <c r="I7" s="376"/>
      <c r="J7" s="375">
        <f>SUMIF(58:58,YEAR(I7)&amp;"-"&amp;MONTH(I7),59:59)</f>
        <v>0</v>
      </c>
      <c r="K7" s="2083"/>
      <c r="L7" s="2949"/>
      <c r="M7" s="2950"/>
      <c r="N7" s="2950"/>
      <c r="O7" s="2950"/>
      <c r="P7" s="3365" t="s">
        <v>2379</v>
      </c>
      <c r="Q7" s="3393"/>
      <c r="R7" s="714" t="s">
        <v>23</v>
      </c>
      <c r="S7" s="715">
        <f t="shared" ref="S7:S15" si="0">F7</f>
        <v>0</v>
      </c>
      <c r="T7" s="714" t="s">
        <v>23</v>
      </c>
      <c r="U7" s="715">
        <f t="shared" ref="U7:U15" si="1">H7</f>
        <v>0</v>
      </c>
      <c r="V7" s="714" t="s">
        <v>23</v>
      </c>
      <c r="W7" s="715">
        <f t="shared" ref="W7:W15" si="2">J7</f>
        <v>0</v>
      </c>
      <c r="X7" s="716"/>
      <c r="Y7" s="3365" t="s">
        <v>2379</v>
      </c>
      <c r="Z7" s="3366"/>
      <c r="AA7" s="717" t="e">
        <f>D7/F7</f>
        <v>#DIV/0!</v>
      </c>
      <c r="AB7" s="717" t="e">
        <f>D7/H7</f>
        <v>#DIV/0!</v>
      </c>
      <c r="AC7" s="717" t="e">
        <f>D7/J7</f>
        <v>#DIV/0!</v>
      </c>
    </row>
    <row r="8" spans="1:29" s="117" customFormat="1" ht="15" thickBot="1">
      <c r="A8" s="372" t="s">
        <v>2380</v>
      </c>
      <c r="B8" s="373"/>
      <c r="C8" s="378" t="s">
        <v>2381</v>
      </c>
      <c r="D8" s="375">
        <v>100</v>
      </c>
      <c r="E8" s="2084"/>
      <c r="F8" s="377">
        <f>SUMIF(61:61,E8,62:62)-SUMIF(61:61,C8,62:62)+100</f>
        <v>0</v>
      </c>
      <c r="G8" s="378"/>
      <c r="H8" s="375">
        <f>SUMIF(61:61,G8,62:62)-SUMIF(61:61,C8,62:62)+100</f>
        <v>0</v>
      </c>
      <c r="I8" s="2084"/>
      <c r="J8" s="375">
        <f>SUMIF(61:61,I8,62:62)-SUMIF(61:61,C8,62:62)+100</f>
        <v>0</v>
      </c>
      <c r="K8" s="2083"/>
      <c r="L8" s="2949"/>
      <c r="M8" s="2950"/>
      <c r="N8" s="2950"/>
      <c r="O8" s="2950"/>
      <c r="P8" s="3365" t="s">
        <v>2382</v>
      </c>
      <c r="Q8" s="3366"/>
      <c r="R8" s="714" t="s">
        <v>23</v>
      </c>
      <c r="S8" s="715">
        <f t="shared" si="0"/>
        <v>0</v>
      </c>
      <c r="T8" s="714" t="s">
        <v>23</v>
      </c>
      <c r="U8" s="715">
        <f t="shared" si="1"/>
        <v>0</v>
      </c>
      <c r="V8" s="714" t="s">
        <v>23</v>
      </c>
      <c r="W8" s="715">
        <f t="shared" si="2"/>
        <v>0</v>
      </c>
      <c r="X8" s="716"/>
      <c r="Y8" s="3365" t="s">
        <v>2382</v>
      </c>
      <c r="Z8" s="3366"/>
      <c r="AA8" s="717" t="e">
        <f t="shared" ref="AA8:AA19" si="3">D8/F8</f>
        <v>#DIV/0!</v>
      </c>
      <c r="AB8" s="717" t="e">
        <f t="shared" ref="AB8:AB19" si="4">D8/H8</f>
        <v>#DIV/0!</v>
      </c>
      <c r="AC8" s="717" t="e">
        <f t="shared" ref="AC8:AC19" si="5">D8/J8</f>
        <v>#DIV/0!</v>
      </c>
    </row>
    <row r="9" spans="1:29" s="117" customFormat="1" ht="14.4">
      <c r="A9" s="379" t="s">
        <v>2383</v>
      </c>
      <c r="B9" s="71" t="s">
        <v>2384</v>
      </c>
      <c r="C9" s="380"/>
      <c r="D9" s="135">
        <v>100</v>
      </c>
      <c r="E9" s="381"/>
      <c r="F9" s="382">
        <f>SUMIF(63:63,E9,64:64)-SUMIF(63:63,C9,64:64)+100</f>
        <v>100</v>
      </c>
      <c r="G9" s="383"/>
      <c r="H9" s="135">
        <f>SUMIF(63:63,G9,64:64)-SUMIF(63:63,C9,64:64)+100</f>
        <v>100</v>
      </c>
      <c r="I9" s="383"/>
      <c r="J9" s="135">
        <f>SUMIF(63:63,I9,64:64)-SUMIF(63:63,C9,64:64)+100</f>
        <v>100</v>
      </c>
      <c r="K9" s="2083"/>
      <c r="L9" s="2949"/>
      <c r="M9" s="2950"/>
      <c r="N9" s="2950"/>
      <c r="O9" s="2950"/>
      <c r="P9" s="3379" t="s">
        <v>2385</v>
      </c>
      <c r="Q9" s="1533" t="str">
        <f t="shared" ref="Q9:Q15" si="6">B9</f>
        <v>用途</v>
      </c>
      <c r="R9" s="714" t="s">
        <v>17</v>
      </c>
      <c r="S9" s="715">
        <f t="shared" si="0"/>
        <v>100</v>
      </c>
      <c r="T9" s="714" t="s">
        <v>17</v>
      </c>
      <c r="U9" s="715">
        <f t="shared" si="1"/>
        <v>100</v>
      </c>
      <c r="V9" s="714" t="s">
        <v>17</v>
      </c>
      <c r="W9" s="715">
        <f t="shared" si="2"/>
        <v>100</v>
      </c>
      <c r="X9" s="716"/>
      <c r="Y9" s="3282" t="s">
        <v>2386</v>
      </c>
      <c r="Z9" s="55" t="str">
        <f t="shared" ref="Z9:Z15" si="7">Q9</f>
        <v>用途</v>
      </c>
      <c r="AA9" s="717">
        <f t="shared" si="3"/>
        <v>1</v>
      </c>
      <c r="AB9" s="717">
        <f t="shared" si="4"/>
        <v>1</v>
      </c>
      <c r="AC9" s="717">
        <f t="shared" si="5"/>
        <v>1</v>
      </c>
    </row>
    <row r="10" spans="1:29" s="390" customFormat="1" ht="28.8">
      <c r="A10" s="384"/>
      <c r="B10" s="385" t="s">
        <v>2387</v>
      </c>
      <c r="C10" s="386"/>
      <c r="D10" s="136">
        <v>100</v>
      </c>
      <c r="E10" s="387"/>
      <c r="F10" s="388">
        <f>SUMIF(65:65,E10,66:66)-SUMIF(65:65,C10,66:66)+100</f>
        <v>100</v>
      </c>
      <c r="G10" s="386"/>
      <c r="H10" s="136">
        <f>SUMIF(65:65,G10,66:66)-SUMIF(65:65,C10,66:66)+100</f>
        <v>100</v>
      </c>
      <c r="I10" s="386"/>
      <c r="J10" s="136">
        <f>SUMIF(65:65,I10,66:66)-SUMIF(65:65,C10,66:66)+100</f>
        <v>100</v>
      </c>
      <c r="K10" s="389"/>
      <c r="L10" s="2951"/>
      <c r="M10" s="2952"/>
      <c r="N10" s="2952"/>
      <c r="O10" s="2952"/>
      <c r="P10" s="3379"/>
      <c r="Q10" s="1533" t="str">
        <f t="shared" si="6"/>
        <v>土地使用年限（年）</v>
      </c>
      <c r="R10" s="714" t="s">
        <v>17</v>
      </c>
      <c r="S10" s="715">
        <f t="shared" si="0"/>
        <v>100</v>
      </c>
      <c r="T10" s="714" t="s">
        <v>17</v>
      </c>
      <c r="U10" s="715">
        <f t="shared" si="1"/>
        <v>100</v>
      </c>
      <c r="V10" s="714" t="s">
        <v>17</v>
      </c>
      <c r="W10" s="715">
        <f t="shared" si="2"/>
        <v>100</v>
      </c>
      <c r="X10" s="716"/>
      <c r="Y10" s="3282"/>
      <c r="Z10" s="55" t="str">
        <f t="shared" si="7"/>
        <v>土地使用年限（年）</v>
      </c>
      <c r="AA10" s="717">
        <f t="shared" si="3"/>
        <v>1</v>
      </c>
      <c r="AB10" s="717">
        <f t="shared" si="4"/>
        <v>1</v>
      </c>
      <c r="AC10" s="717">
        <f t="shared" si="5"/>
        <v>1</v>
      </c>
    </row>
    <row r="11" spans="1:29" ht="15">
      <c r="A11" s="391"/>
      <c r="B11" s="385" t="s">
        <v>2388</v>
      </c>
      <c r="C11" s="392"/>
      <c r="D11" s="136">
        <v>100</v>
      </c>
      <c r="E11" s="393"/>
      <c r="F11" s="388" t="e">
        <f>LOOKUP(E11,68:68,69:69)-LOOKUP(C11,68:68,69:69)+100</f>
        <v>#N/A</v>
      </c>
      <c r="G11" s="392"/>
      <c r="H11" s="136" t="e">
        <f>LOOKUP(G11,68:68,69:69)-LOOKUP(C11,68:68,69:69)+100</f>
        <v>#N/A</v>
      </c>
      <c r="I11" s="392"/>
      <c r="J11" s="136" t="e">
        <f>LOOKUP(I11,68:68,69:69)-LOOKUP(C11,68:68,69:69)+100</f>
        <v>#N/A</v>
      </c>
      <c r="K11" s="389"/>
      <c r="L11" s="2953"/>
      <c r="M11" s="2948"/>
      <c r="N11" s="2948"/>
      <c r="O11" s="2948"/>
      <c r="P11" s="3379"/>
      <c r="Q11" s="1533" t="str">
        <f t="shared" si="6"/>
        <v>容积率</v>
      </c>
      <c r="R11" s="714" t="s">
        <v>21</v>
      </c>
      <c r="S11" s="715" t="e">
        <f t="shared" si="0"/>
        <v>#N/A</v>
      </c>
      <c r="T11" s="714" t="s">
        <v>21</v>
      </c>
      <c r="U11" s="715" t="e">
        <f t="shared" si="1"/>
        <v>#N/A</v>
      </c>
      <c r="V11" s="714" t="s">
        <v>21</v>
      </c>
      <c r="W11" s="715" t="e">
        <f t="shared" si="2"/>
        <v>#N/A</v>
      </c>
      <c r="X11" s="716"/>
      <c r="Y11" s="3282"/>
      <c r="Z11" s="55" t="str">
        <f t="shared" si="7"/>
        <v>容积率</v>
      </c>
      <c r="AA11" s="717" t="e">
        <f t="shared" si="3"/>
        <v>#N/A</v>
      </c>
      <c r="AB11" s="717" t="e">
        <f t="shared" si="4"/>
        <v>#N/A</v>
      </c>
      <c r="AC11" s="717" t="e">
        <f t="shared" si="5"/>
        <v>#N/A</v>
      </c>
    </row>
    <row r="12" spans="1:29" s="117" customFormat="1" ht="15">
      <c r="A12" s="394"/>
      <c r="B12" s="2085">
        <v>111</v>
      </c>
      <c r="C12" s="395"/>
      <c r="D12" s="396">
        <v>100</v>
      </c>
      <c r="E12" s="395"/>
      <c r="F12" s="388">
        <f>SUMIF(70:70,E12,71:71)-SUMIF(70:70,C12,71:71)+100</f>
        <v>100</v>
      </c>
      <c r="G12" s="395"/>
      <c r="H12" s="136">
        <f>SUMIF(70:70,G12,71:71)-SUMIF(70:70,C12,71:71)+100</f>
        <v>100</v>
      </c>
      <c r="I12" s="395"/>
      <c r="J12" s="136">
        <f>SUMIF(70:70,I12,71:71)-SUMIF(70:70,C12,71:71)+100</f>
        <v>100</v>
      </c>
      <c r="K12" s="2086"/>
      <c r="L12" s="2949"/>
      <c r="M12" s="2950"/>
      <c r="N12" s="2950"/>
      <c r="O12" s="2950"/>
      <c r="P12" s="3379"/>
      <c r="Q12" s="1533">
        <f t="shared" si="6"/>
        <v>111</v>
      </c>
      <c r="R12" s="714" t="s">
        <v>21</v>
      </c>
      <c r="S12" s="715">
        <f t="shared" si="0"/>
        <v>100</v>
      </c>
      <c r="T12" s="714" t="s">
        <v>21</v>
      </c>
      <c r="U12" s="715">
        <f t="shared" si="1"/>
        <v>100</v>
      </c>
      <c r="V12" s="714" t="s">
        <v>21</v>
      </c>
      <c r="W12" s="715">
        <f t="shared" si="2"/>
        <v>100</v>
      </c>
      <c r="X12" s="716"/>
      <c r="Y12" s="3282"/>
      <c r="Z12" s="55">
        <f t="shared" si="7"/>
        <v>111</v>
      </c>
      <c r="AA12" s="717">
        <f>D12/F12</f>
        <v>1</v>
      </c>
      <c r="AB12" s="717">
        <f>D12/H12</f>
        <v>1</v>
      </c>
      <c r="AC12" s="717">
        <f>D12/J12</f>
        <v>1</v>
      </c>
    </row>
    <row r="13" spans="1:29" ht="15">
      <c r="A13" s="391"/>
      <c r="B13" s="2085">
        <v>111</v>
      </c>
      <c r="C13" s="397"/>
      <c r="D13" s="398">
        <v>100</v>
      </c>
      <c r="E13" s="397"/>
      <c r="F13" s="388">
        <f>SUMIF(72:72,E13,73:73)-SUMIF(72:72,C13,73:73)+100</f>
        <v>100</v>
      </c>
      <c r="G13" s="397"/>
      <c r="H13" s="398">
        <f>SUMIF(72:72,G13,73:73)-SUMIF(72:72,C13,73:73)+100</f>
        <v>100</v>
      </c>
      <c r="I13" s="397"/>
      <c r="J13" s="398">
        <f>SUMIF(72:72,I13,73:73)-SUMIF(72:72,C13,73:73)+100</f>
        <v>100</v>
      </c>
      <c r="K13" s="2086"/>
      <c r="L13" s="2954"/>
      <c r="M13" s="2948"/>
      <c r="N13" s="2948"/>
      <c r="O13" s="2948"/>
      <c r="P13" s="3379"/>
      <c r="Q13" s="1533">
        <f t="shared" si="6"/>
        <v>111</v>
      </c>
      <c r="R13" s="714" t="s">
        <v>21</v>
      </c>
      <c r="S13" s="715">
        <f t="shared" si="0"/>
        <v>100</v>
      </c>
      <c r="T13" s="714" t="s">
        <v>21</v>
      </c>
      <c r="U13" s="715">
        <f t="shared" si="1"/>
        <v>100</v>
      </c>
      <c r="V13" s="714" t="s">
        <v>21</v>
      </c>
      <c r="W13" s="715">
        <f t="shared" si="2"/>
        <v>100</v>
      </c>
      <c r="X13" s="716"/>
      <c r="Y13" s="3282"/>
      <c r="Z13" s="55">
        <f t="shared" si="7"/>
        <v>111</v>
      </c>
      <c r="AA13" s="717">
        <f t="shared" si="3"/>
        <v>1</v>
      </c>
      <c r="AB13" s="717">
        <f t="shared" si="4"/>
        <v>1</v>
      </c>
      <c r="AC13" s="717">
        <f t="shared" si="5"/>
        <v>1</v>
      </c>
    </row>
    <row r="14" spans="1:29" ht="15.6" thickBot="1">
      <c r="A14" s="399"/>
      <c r="B14" s="2087">
        <v>111</v>
      </c>
      <c r="C14" s="400"/>
      <c r="D14" s="401">
        <v>100</v>
      </c>
      <c r="E14" s="400"/>
      <c r="F14" s="402">
        <f>SUMIF(74:74,E14,75:75)-SUMIF(74:74,C14,75:75)+100</f>
        <v>100</v>
      </c>
      <c r="G14" s="400"/>
      <c r="H14" s="401">
        <f>SUMIF(74:74,G14,75:75)-SUMIF(74:74,C14,75:75)+100</f>
        <v>100</v>
      </c>
      <c r="I14" s="400"/>
      <c r="J14" s="401">
        <f>SUMIF(74:74,I14,75:75)-SUMIF(74:74,C14,75:75)+100</f>
        <v>100</v>
      </c>
      <c r="K14" s="2086"/>
      <c r="L14" s="2954"/>
      <c r="M14" s="2948"/>
      <c r="N14" s="2948"/>
      <c r="O14" s="2948"/>
      <c r="P14" s="3379"/>
      <c r="Q14" s="1533">
        <f t="shared" si="6"/>
        <v>111</v>
      </c>
      <c r="R14" s="714" t="s">
        <v>21</v>
      </c>
      <c r="S14" s="715">
        <f t="shared" si="0"/>
        <v>100</v>
      </c>
      <c r="T14" s="714" t="s">
        <v>21</v>
      </c>
      <c r="U14" s="715">
        <f t="shared" si="1"/>
        <v>100</v>
      </c>
      <c r="V14" s="714" t="s">
        <v>21</v>
      </c>
      <c r="W14" s="715">
        <f t="shared" si="2"/>
        <v>100</v>
      </c>
      <c r="X14" s="716"/>
      <c r="Y14" s="3282"/>
      <c r="Z14" s="55">
        <f t="shared" si="7"/>
        <v>111</v>
      </c>
      <c r="AA14" s="717">
        <f t="shared" si="3"/>
        <v>1</v>
      </c>
      <c r="AB14" s="717">
        <f t="shared" si="4"/>
        <v>1</v>
      </c>
      <c r="AC14" s="717">
        <f t="shared" si="5"/>
        <v>1</v>
      </c>
    </row>
    <row r="15" spans="1:29" ht="96.6">
      <c r="A15" s="403" t="s">
        <v>2389</v>
      </c>
      <c r="B15" s="69" t="s">
        <v>1945</v>
      </c>
      <c r="C15" s="2088" t="str">
        <f>估价对象房地状况!C3</f>
        <v>估价对象周边居住用地比例、居住小区规模和社区发展完善程度，综合评价居住社区成熟度一般</v>
      </c>
      <c r="D15" s="404">
        <v>100</v>
      </c>
      <c r="E15" s="407"/>
      <c r="F15" s="404">
        <f>SUMIF(76:76,E16,77:77)-SUMIF(76:76,C16,77:77)+100</f>
        <v>100</v>
      </c>
      <c r="G15" s="405"/>
      <c r="H15" s="404">
        <f>SUMIF(76:76,G16,77:77)-SUMIF(76:76,C16,77:77)+100</f>
        <v>100</v>
      </c>
      <c r="I15" s="405"/>
      <c r="J15" s="404">
        <f>SUMIF(76:76,I16,77:77)-SUMIF(76:76,C16,77:77)+100</f>
        <v>100</v>
      </c>
      <c r="K15" s="408"/>
      <c r="L15" s="2954"/>
      <c r="M15" s="2948"/>
      <c r="N15" s="2948"/>
      <c r="O15" s="2948"/>
      <c r="P15" s="3406" t="s">
        <v>2390</v>
      </c>
      <c r="Q15" s="1542" t="str">
        <f t="shared" si="6"/>
        <v>居住社区成熟度</v>
      </c>
      <c r="R15" s="718" t="s">
        <v>21</v>
      </c>
      <c r="S15" s="719">
        <f t="shared" si="0"/>
        <v>100</v>
      </c>
      <c r="T15" s="718" t="s">
        <v>21</v>
      </c>
      <c r="U15" s="719">
        <f t="shared" si="1"/>
        <v>100</v>
      </c>
      <c r="V15" s="718" t="s">
        <v>21</v>
      </c>
      <c r="W15" s="719">
        <f t="shared" si="2"/>
        <v>100</v>
      </c>
      <c r="X15" s="1545"/>
      <c r="Y15" s="3399" t="s">
        <v>2390</v>
      </c>
      <c r="Z15" s="1546" t="str">
        <f t="shared" si="7"/>
        <v>居住社区成熟度</v>
      </c>
      <c r="AA15" s="1543">
        <f t="shared" si="3"/>
        <v>1</v>
      </c>
      <c r="AB15" s="1543">
        <f t="shared" si="4"/>
        <v>1</v>
      </c>
      <c r="AC15" s="1543">
        <f t="shared" si="5"/>
        <v>1</v>
      </c>
    </row>
    <row r="16" spans="1:29" ht="15">
      <c r="A16" s="391"/>
      <c r="B16" s="409"/>
      <c r="C16" s="410"/>
      <c r="D16" s="411"/>
      <c r="E16" s="2089"/>
      <c r="F16" s="411"/>
      <c r="G16" s="2090"/>
      <c r="H16" s="413"/>
      <c r="I16" s="2090"/>
      <c r="J16" s="411"/>
      <c r="K16" s="2091"/>
      <c r="L16" s="2954"/>
      <c r="M16" s="2948"/>
      <c r="N16" s="2948"/>
      <c r="O16" s="2948"/>
      <c r="P16" s="3407"/>
      <c r="Q16" s="1542"/>
      <c r="R16" s="718"/>
      <c r="S16" s="719"/>
      <c r="T16" s="718"/>
      <c r="U16" s="719"/>
      <c r="V16" s="718"/>
      <c r="W16" s="719"/>
      <c r="X16" s="1545"/>
      <c r="Y16" s="3400"/>
      <c r="Z16" s="1546"/>
      <c r="AA16" s="1543">
        <v>1</v>
      </c>
      <c r="AB16" s="1543">
        <v>1</v>
      </c>
      <c r="AC16" s="1543">
        <v>1</v>
      </c>
    </row>
    <row r="17" spans="1:29" ht="82.8">
      <c r="A17" s="391"/>
      <c r="B17" s="414" t="s">
        <v>1947</v>
      </c>
      <c r="C17" s="2092" t="str">
        <f>估价对象房地状况!C6</f>
        <v>估价对象周边道路状况、公共交通通达情况、停车便捷程度，综合评价交通便捷度较好</v>
      </c>
      <c r="D17" s="413">
        <v>100</v>
      </c>
      <c r="E17" s="417"/>
      <c r="F17" s="413">
        <f>SUMIF(78:78,E18,79:79)-SUMIF(78:78,C18,79:79)+100</f>
        <v>100</v>
      </c>
      <c r="G17" s="415"/>
      <c r="H17" s="418">
        <f>SUMIF(78:78,G18,79:79)-SUMIF(78:78,C18,79:79)+100</f>
        <v>100</v>
      </c>
      <c r="I17" s="415"/>
      <c r="J17" s="418">
        <f>SUMIF(78:78,I18,79:79)-SUMIF(78:78,C18,79:79)+100</f>
        <v>100</v>
      </c>
      <c r="K17" s="408"/>
      <c r="L17" s="2954"/>
      <c r="M17" s="2948"/>
      <c r="N17" s="2948"/>
      <c r="O17" s="2948"/>
      <c r="P17" s="3407"/>
      <c r="Q17" s="1542" t="str">
        <f>B17</f>
        <v>交通便捷度</v>
      </c>
      <c r="R17" s="718" t="s">
        <v>21</v>
      </c>
      <c r="S17" s="719">
        <f>F17</f>
        <v>100</v>
      </c>
      <c r="T17" s="718" t="s">
        <v>21</v>
      </c>
      <c r="U17" s="719">
        <f>H17</f>
        <v>100</v>
      </c>
      <c r="V17" s="718" t="s">
        <v>21</v>
      </c>
      <c r="W17" s="719">
        <f>J17</f>
        <v>100</v>
      </c>
      <c r="X17" s="1545"/>
      <c r="Y17" s="3400"/>
      <c r="Z17" s="1546" t="str">
        <f>Q17</f>
        <v>交通便捷度</v>
      </c>
      <c r="AA17" s="1543">
        <f t="shared" si="3"/>
        <v>1</v>
      </c>
      <c r="AB17" s="1543">
        <f t="shared" si="4"/>
        <v>1</v>
      </c>
      <c r="AC17" s="1543">
        <f t="shared" si="5"/>
        <v>1</v>
      </c>
    </row>
    <row r="18" spans="1:29" ht="15">
      <c r="A18" s="391"/>
      <c r="B18" s="419"/>
      <c r="C18" s="2093"/>
      <c r="D18" s="413"/>
      <c r="E18" s="2094"/>
      <c r="F18" s="413"/>
      <c r="G18" s="2095"/>
      <c r="H18" s="411"/>
      <c r="I18" s="2095"/>
      <c r="J18" s="411"/>
      <c r="K18" s="2091"/>
      <c r="L18" s="2954"/>
      <c r="M18" s="2948"/>
      <c r="N18" s="2948"/>
      <c r="O18" s="2948"/>
      <c r="P18" s="3407"/>
      <c r="Q18" s="1542"/>
      <c r="R18" s="718"/>
      <c r="S18" s="719"/>
      <c r="T18" s="718"/>
      <c r="U18" s="719"/>
      <c r="V18" s="718"/>
      <c r="W18" s="719"/>
      <c r="X18" s="1545"/>
      <c r="Y18" s="3400"/>
      <c r="Z18" s="1546"/>
      <c r="AA18" s="1543">
        <v>1</v>
      </c>
      <c r="AB18" s="1543">
        <v>1</v>
      </c>
      <c r="AC18" s="1543">
        <v>1</v>
      </c>
    </row>
    <row r="19" spans="1:29" ht="41.4">
      <c r="A19" s="391"/>
      <c r="B19" s="414" t="s">
        <v>1946</v>
      </c>
      <c r="C19" s="2092" t="str">
        <f>估价对象房地状况!C7</f>
        <v>估价对象所在区域公共配套设施齐备情况</v>
      </c>
      <c r="D19" s="418">
        <v>100</v>
      </c>
      <c r="E19" s="422"/>
      <c r="F19" s="418">
        <f>SUMIF(80:80,E20,81:81)-SUMIF(80:80,C20,81:81)+100</f>
        <v>100</v>
      </c>
      <c r="G19" s="420"/>
      <c r="H19" s="413">
        <f>SUMIF(80:80,G20,81:81)-SUMIF(80:80,C20,81:81)+100</f>
        <v>100</v>
      </c>
      <c r="I19" s="420"/>
      <c r="J19" s="413">
        <f>SUMIF(80:80,I20,81:81)-SUMIF(80:80,C20,81:81)+100</f>
        <v>100</v>
      </c>
      <c r="K19" s="408"/>
      <c r="L19" s="2954"/>
      <c r="M19" s="2948"/>
      <c r="N19" s="2948"/>
      <c r="O19" s="2948"/>
      <c r="P19" s="3407"/>
      <c r="Q19" s="1542" t="str">
        <f>B19</f>
        <v>公共配套设施</v>
      </c>
      <c r="R19" s="718" t="s">
        <v>21</v>
      </c>
      <c r="S19" s="719">
        <f>F19</f>
        <v>100</v>
      </c>
      <c r="T19" s="718" t="s">
        <v>21</v>
      </c>
      <c r="U19" s="719">
        <f>H19</f>
        <v>100</v>
      </c>
      <c r="V19" s="718" t="s">
        <v>21</v>
      </c>
      <c r="W19" s="719">
        <f>J19</f>
        <v>100</v>
      </c>
      <c r="X19" s="1545"/>
      <c r="Y19" s="3400"/>
      <c r="Z19" s="1546" t="str">
        <f>Q19</f>
        <v>公共配套设施</v>
      </c>
      <c r="AA19" s="1543">
        <f t="shared" si="3"/>
        <v>1</v>
      </c>
      <c r="AB19" s="1543">
        <f t="shared" si="4"/>
        <v>1</v>
      </c>
      <c r="AC19" s="1543">
        <f t="shared" si="5"/>
        <v>1</v>
      </c>
    </row>
    <row r="20" spans="1:29" ht="15">
      <c r="A20" s="391"/>
      <c r="B20" s="419"/>
      <c r="C20" s="410"/>
      <c r="D20" s="411"/>
      <c r="E20" s="2089"/>
      <c r="F20" s="411"/>
      <c r="G20" s="2090"/>
      <c r="H20" s="411"/>
      <c r="I20" s="2090"/>
      <c r="J20" s="411"/>
      <c r="K20" s="2091"/>
      <c r="L20" s="2954"/>
      <c r="M20" s="2948"/>
      <c r="N20" s="2948"/>
      <c r="O20" s="2948"/>
      <c r="P20" s="3407"/>
      <c r="Q20" s="1542"/>
      <c r="R20" s="718"/>
      <c r="S20" s="719"/>
      <c r="T20" s="718"/>
      <c r="U20" s="719"/>
      <c r="V20" s="718"/>
      <c r="W20" s="719"/>
      <c r="X20" s="1545"/>
      <c r="Y20" s="3400"/>
      <c r="Z20" s="1546"/>
      <c r="AA20" s="1543">
        <v>1</v>
      </c>
      <c r="AB20" s="1543">
        <v>1</v>
      </c>
      <c r="AC20" s="1543">
        <v>1</v>
      </c>
    </row>
    <row r="21" spans="1:29" ht="27.6">
      <c r="A21" s="391"/>
      <c r="B21" s="1297" t="s">
        <v>1948</v>
      </c>
      <c r="C21" s="2092" t="str">
        <f>估价对象房地状况!C8</f>
        <v>估价对象所在区域基础设施水平</v>
      </c>
      <c r="D21" s="413">
        <v>100</v>
      </c>
      <c r="E21" s="422"/>
      <c r="F21" s="418">
        <f>SUMIF(82:82,E22,83:83)-SUMIF(82:82,C22,83:83)+100</f>
        <v>100</v>
      </c>
      <c r="G21" s="420"/>
      <c r="H21" s="413">
        <f>SUMIF(82:82,G22,83:83)-SUMIF(82:82,C22,83:83)+100</f>
        <v>100</v>
      </c>
      <c r="I21" s="420"/>
      <c r="J21" s="413">
        <f>SUMIF(82:82,I22,83:83)-SUMIF(82:82,C22,83:83)+100</f>
        <v>100</v>
      </c>
      <c r="K21" s="408"/>
      <c r="L21" s="2954"/>
      <c r="M21" s="2948"/>
      <c r="N21" s="2948"/>
      <c r="O21" s="2948"/>
      <c r="P21" s="3407"/>
      <c r="Q21" s="1542" t="str">
        <f>B21</f>
        <v>基础设施水平</v>
      </c>
      <c r="R21" s="718" t="s">
        <v>17</v>
      </c>
      <c r="S21" s="719">
        <f>F21</f>
        <v>100</v>
      </c>
      <c r="T21" s="718" t="s">
        <v>17</v>
      </c>
      <c r="U21" s="719">
        <f>H21</f>
        <v>100</v>
      </c>
      <c r="V21" s="718" t="s">
        <v>17</v>
      </c>
      <c r="W21" s="719">
        <f>J21</f>
        <v>100</v>
      </c>
      <c r="X21" s="1545"/>
      <c r="Y21" s="3400"/>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1"/>
      <c r="G22" s="2096"/>
      <c r="H22" s="411"/>
      <c r="I22" s="410"/>
      <c r="J22" s="411"/>
      <c r="K22" s="2097"/>
      <c r="L22" s="2954"/>
      <c r="M22" s="2948"/>
      <c r="N22" s="2948"/>
      <c r="O22" s="2948"/>
      <c r="P22" s="3407"/>
      <c r="Q22" s="1542"/>
      <c r="R22" s="718"/>
      <c r="S22" s="719"/>
      <c r="T22" s="718"/>
      <c r="U22" s="719"/>
      <c r="V22" s="718"/>
      <c r="W22" s="719"/>
      <c r="X22" s="1545"/>
      <c r="Y22" s="3400"/>
      <c r="Z22" s="1546"/>
      <c r="AA22" s="1543">
        <v>1</v>
      </c>
      <c r="AB22" s="1543">
        <v>1</v>
      </c>
      <c r="AC22" s="1543">
        <v>1</v>
      </c>
    </row>
    <row r="23" spans="1:29" ht="55.2">
      <c r="A23" s="391"/>
      <c r="B23" s="414" t="s">
        <v>1949</v>
      </c>
      <c r="C23" s="2092" t="str">
        <f>估价对象房地状况!C9</f>
        <v>区域自然环境：；人文环境；综合评价环境状况一般</v>
      </c>
      <c r="D23" s="413">
        <v>100</v>
      </c>
      <c r="E23" s="417"/>
      <c r="F23" s="413">
        <f>SUMIF(84:84,E24,85:85)-SUMIF(84:84,C24,85:85)+100</f>
        <v>100</v>
      </c>
      <c r="G23" s="415"/>
      <c r="H23" s="413">
        <f>SUMIF(84:84,G24,85:85)-SUMIF(84:84,C24,85:85)+100</f>
        <v>100</v>
      </c>
      <c r="I23" s="415"/>
      <c r="J23" s="413">
        <f>SUMIF(84:84,I24,85:85)-SUMIF(84:84,C24,85:85)+100</f>
        <v>100</v>
      </c>
      <c r="K23" s="408"/>
      <c r="L23" s="2954"/>
      <c r="M23" s="2948"/>
      <c r="N23" s="2948"/>
      <c r="O23" s="2948"/>
      <c r="P23" s="3407"/>
      <c r="Q23" s="1542" t="str">
        <f>B23</f>
        <v>自然及人文环境</v>
      </c>
      <c r="R23" s="718" t="s">
        <v>21</v>
      </c>
      <c r="S23" s="719">
        <f>F23</f>
        <v>100</v>
      </c>
      <c r="T23" s="718" t="s">
        <v>21</v>
      </c>
      <c r="U23" s="719">
        <f>H23</f>
        <v>100</v>
      </c>
      <c r="V23" s="718" t="s">
        <v>21</v>
      </c>
      <c r="W23" s="719">
        <f>J23</f>
        <v>100</v>
      </c>
      <c r="X23" s="1545"/>
      <c r="Y23" s="3400"/>
      <c r="Z23" s="1546" t="str">
        <f>Q23</f>
        <v>自然及人文环境</v>
      </c>
      <c r="AA23" s="1543">
        <f>D23/F23</f>
        <v>1</v>
      </c>
      <c r="AB23" s="1543">
        <f>D23/H23</f>
        <v>1</v>
      </c>
      <c r="AC23" s="1543">
        <f>D23/J23</f>
        <v>1</v>
      </c>
    </row>
    <row r="24" spans="1:29" ht="15">
      <c r="A24" s="391"/>
      <c r="B24" s="419"/>
      <c r="C24" s="410"/>
      <c r="D24" s="411"/>
      <c r="E24" s="2089"/>
      <c r="F24" s="411"/>
      <c r="G24" s="2090"/>
      <c r="H24" s="411"/>
      <c r="I24" s="2090"/>
      <c r="J24" s="411"/>
      <c r="K24" s="2091"/>
      <c r="L24" s="2954"/>
      <c r="M24" s="2948"/>
      <c r="N24" s="2948"/>
      <c r="O24" s="2948"/>
      <c r="P24" s="3407"/>
      <c r="Q24" s="1542"/>
      <c r="R24" s="718"/>
      <c r="S24" s="719"/>
      <c r="T24" s="718"/>
      <c r="U24" s="719"/>
      <c r="V24" s="718"/>
      <c r="W24" s="719"/>
      <c r="X24" s="1545"/>
      <c r="Y24" s="3400"/>
      <c r="Z24" s="1546"/>
      <c r="AA24" s="1543">
        <v>1</v>
      </c>
      <c r="AB24" s="1543">
        <v>1</v>
      </c>
      <c r="AC24" s="1543">
        <v>1</v>
      </c>
    </row>
    <row r="25" spans="1:29" ht="15">
      <c r="A25" s="391"/>
      <c r="B25" s="385" t="s">
        <v>2391</v>
      </c>
      <c r="C25" s="423"/>
      <c r="D25" s="398">
        <v>100</v>
      </c>
      <c r="E25" s="2098"/>
      <c r="F25" s="398">
        <f>SUMIF(86:86,E25,87:87)-SUMIF(86:86,C25,87:87)+100</f>
        <v>100</v>
      </c>
      <c r="G25" s="2099"/>
      <c r="H25" s="398">
        <f>SUMIF(86:86,G25,87:87)-SUMIF(86:86,C25,87:87)+100</f>
        <v>100</v>
      </c>
      <c r="I25" s="2099"/>
      <c r="J25" s="398">
        <f>SUMIF(86:86,I25,87:87)-SUMIF(86:86,C25,87:87)+100</f>
        <v>100</v>
      </c>
      <c r="K25" s="389"/>
      <c r="L25" s="2954"/>
      <c r="M25" s="2948"/>
      <c r="N25" s="2948"/>
      <c r="O25" s="2948"/>
      <c r="P25" s="3407"/>
      <c r="Q25" s="1542" t="str">
        <f t="shared" ref="Q25:Q46" si="11">B25</f>
        <v>楼层-1</v>
      </c>
      <c r="R25" s="718" t="s">
        <v>21</v>
      </c>
      <c r="S25" s="719">
        <f t="shared" ref="S25:S46" si="12">F25</f>
        <v>100</v>
      </c>
      <c r="T25" s="718" t="s">
        <v>21</v>
      </c>
      <c r="U25" s="719">
        <f t="shared" ref="U25:U46" si="13">H25</f>
        <v>100</v>
      </c>
      <c r="V25" s="718" t="s">
        <v>21</v>
      </c>
      <c r="W25" s="719">
        <f t="shared" ref="W25:W46" si="14">J25</f>
        <v>100</v>
      </c>
      <c r="X25" s="1545"/>
      <c r="Y25" s="3400"/>
      <c r="Z25" s="1546" t="str">
        <f>Q25</f>
        <v>楼层-1</v>
      </c>
      <c r="AA25" s="1543">
        <f t="shared" ref="AA25:AA46" si="15">D25/F25</f>
        <v>1</v>
      </c>
      <c r="AB25" s="1543">
        <f t="shared" ref="AB25:AB46" si="16">D25/H25</f>
        <v>1</v>
      </c>
      <c r="AC25" s="1543">
        <f t="shared" ref="AC25:AC46" si="17">D25/J25</f>
        <v>1</v>
      </c>
    </row>
    <row r="26" spans="1:29" ht="15">
      <c r="A26" s="391"/>
      <c r="B26" s="385" t="s">
        <v>2392</v>
      </c>
      <c r="C26" s="423"/>
      <c r="D26" s="398">
        <v>100</v>
      </c>
      <c r="E26" s="2098"/>
      <c r="F26" s="398">
        <f>SUMIF(88:88,E26,89:89)-SUMIF(88:88,C26,89:89)+100</f>
        <v>100</v>
      </c>
      <c r="G26" s="2099"/>
      <c r="H26" s="398">
        <f>SUMIF(88:88,G26,89:89)-SUMIF(88:88,C26,89:89)+100</f>
        <v>100</v>
      </c>
      <c r="I26" s="2099"/>
      <c r="J26" s="398">
        <f>SUMIF(88:88,I26,89:89)-SUMIF(88:88,C26,89:89)+100</f>
        <v>100</v>
      </c>
      <c r="K26" s="389"/>
      <c r="L26" s="2954"/>
      <c r="M26" s="2948"/>
      <c r="N26" s="2948"/>
      <c r="O26" s="2948"/>
      <c r="P26" s="3407"/>
      <c r="Q26" s="1542" t="str">
        <f t="shared" si="11"/>
        <v>朝向</v>
      </c>
      <c r="R26" s="718" t="s">
        <v>21</v>
      </c>
      <c r="S26" s="719">
        <f t="shared" si="12"/>
        <v>100</v>
      </c>
      <c r="T26" s="718" t="s">
        <v>21</v>
      </c>
      <c r="U26" s="719">
        <f t="shared" si="13"/>
        <v>100</v>
      </c>
      <c r="V26" s="718" t="s">
        <v>21</v>
      </c>
      <c r="W26" s="719">
        <f t="shared" si="14"/>
        <v>100</v>
      </c>
      <c r="X26" s="1545"/>
      <c r="Y26" s="3400"/>
      <c r="Z26" s="1546" t="str">
        <f>Q26</f>
        <v>朝向</v>
      </c>
      <c r="AA26" s="1543">
        <f t="shared" si="15"/>
        <v>1</v>
      </c>
      <c r="AB26" s="1543">
        <f t="shared" si="16"/>
        <v>1</v>
      </c>
      <c r="AC26" s="1543">
        <f t="shared" si="17"/>
        <v>1</v>
      </c>
    </row>
    <row r="27" spans="1:29" s="117" customFormat="1" ht="15">
      <c r="A27" s="394"/>
      <c r="B27" s="1299">
        <v>111</v>
      </c>
      <c r="C27" s="395"/>
      <c r="D27" s="425">
        <v>100</v>
      </c>
      <c r="E27" s="428"/>
      <c r="F27" s="425">
        <f>SUMIF(90:90,E27,91:91)-SUMIF(90:90,C27,91:91)+100</f>
        <v>100</v>
      </c>
      <c r="G27" s="426"/>
      <c r="H27" s="425">
        <f>SUMIF(90:90,G27,91:91)-SUMIF(90:90,C27,91:91)+100</f>
        <v>100</v>
      </c>
      <c r="I27" s="426"/>
      <c r="J27" s="425">
        <f>SUMIF(90:90,I27,91:91)-SUMIF(90:90,C27,91:91)+100</f>
        <v>100</v>
      </c>
      <c r="K27" s="2086"/>
      <c r="L27" s="2949"/>
      <c r="M27" s="2950"/>
      <c r="N27" s="2950"/>
      <c r="O27" s="2950"/>
      <c r="P27" s="3407"/>
      <c r="Q27" s="1533">
        <f t="shared" si="11"/>
        <v>111</v>
      </c>
      <c r="R27" s="714" t="s">
        <v>21</v>
      </c>
      <c r="S27" s="715">
        <f t="shared" si="12"/>
        <v>100</v>
      </c>
      <c r="T27" s="714" t="s">
        <v>21</v>
      </c>
      <c r="U27" s="715">
        <f t="shared" si="13"/>
        <v>100</v>
      </c>
      <c r="V27" s="714" t="s">
        <v>21</v>
      </c>
      <c r="W27" s="715">
        <f t="shared" si="14"/>
        <v>100</v>
      </c>
      <c r="X27" s="716"/>
      <c r="Y27" s="3400"/>
      <c r="Z27" s="55">
        <f>Q27</f>
        <v>111</v>
      </c>
      <c r="AA27" s="1543">
        <f t="shared" si="15"/>
        <v>1</v>
      </c>
      <c r="AB27" s="1543">
        <f t="shared" si="16"/>
        <v>1</v>
      </c>
      <c r="AC27" s="1543">
        <f t="shared" si="17"/>
        <v>1</v>
      </c>
    </row>
    <row r="28" spans="1:29" ht="15">
      <c r="A28" s="391"/>
      <c r="B28" s="1299">
        <v>111</v>
      </c>
      <c r="C28" s="397"/>
      <c r="D28" s="398">
        <v>100</v>
      </c>
      <c r="E28" s="397"/>
      <c r="F28" s="398">
        <f>SUMIF(92:92,E28,93:93)-SUMIF(92:92,C28,93:93)+100</f>
        <v>100</v>
      </c>
      <c r="G28" s="2100"/>
      <c r="H28" s="398">
        <f>SUMIF(92:92,G28,93:93)-SUMIF(92:92,C28,93:93)+100</f>
        <v>100</v>
      </c>
      <c r="I28" s="397"/>
      <c r="J28" s="398">
        <f>SUMIF(92:92,I28,93:93)-SUMIF(92:92,C28,93:93)+100</f>
        <v>100</v>
      </c>
      <c r="K28" s="2086"/>
      <c r="L28" s="2954"/>
      <c r="M28" s="2948"/>
      <c r="N28" s="2948"/>
      <c r="O28" s="2948"/>
      <c r="P28" s="3407"/>
      <c r="Q28" s="1542">
        <f t="shared" si="11"/>
        <v>111</v>
      </c>
      <c r="R28" s="718" t="s">
        <v>21</v>
      </c>
      <c r="S28" s="719">
        <f t="shared" si="12"/>
        <v>100</v>
      </c>
      <c r="T28" s="718" t="s">
        <v>21</v>
      </c>
      <c r="U28" s="719">
        <f t="shared" si="13"/>
        <v>100</v>
      </c>
      <c r="V28" s="718" t="s">
        <v>21</v>
      </c>
      <c r="W28" s="719">
        <f t="shared" si="14"/>
        <v>100</v>
      </c>
      <c r="X28" s="1545"/>
      <c r="Y28" s="3400"/>
      <c r="Z28" s="1546">
        <f t="shared" ref="Z28:Z46" si="18">Q28</f>
        <v>111</v>
      </c>
      <c r="AA28" s="1543">
        <f t="shared" si="15"/>
        <v>1</v>
      </c>
      <c r="AB28" s="1543">
        <f t="shared" si="16"/>
        <v>1</v>
      </c>
      <c r="AC28" s="1543">
        <f t="shared" si="17"/>
        <v>1</v>
      </c>
    </row>
    <row r="29" spans="1:29" ht="15">
      <c r="A29" s="391"/>
      <c r="B29" s="1299">
        <v>111</v>
      </c>
      <c r="C29" s="397"/>
      <c r="D29" s="398">
        <v>100</v>
      </c>
      <c r="E29" s="397"/>
      <c r="F29" s="398">
        <f>SUMIF(94:94,E29,95:95)-SUMIF(94:94,C29,95:95)+100</f>
        <v>100</v>
      </c>
      <c r="G29" s="2100"/>
      <c r="H29" s="398">
        <f>SUMIF(94:94,G29,95:95)-SUMIF(94:94,C29,95:95)+100</f>
        <v>100</v>
      </c>
      <c r="I29" s="397"/>
      <c r="J29" s="398">
        <f>SUMIF(94:94,I29,95:95)-SUMIF(94:94,C29,95:95)+100</f>
        <v>100</v>
      </c>
      <c r="K29" s="2086"/>
      <c r="L29" s="2954"/>
      <c r="M29" s="2948"/>
      <c r="N29" s="2948"/>
      <c r="O29" s="2948"/>
      <c r="P29" s="3407"/>
      <c r="Q29" s="1542">
        <f t="shared" si="11"/>
        <v>111</v>
      </c>
      <c r="R29" s="718" t="s">
        <v>21</v>
      </c>
      <c r="S29" s="719">
        <f t="shared" si="12"/>
        <v>100</v>
      </c>
      <c r="T29" s="718" t="s">
        <v>21</v>
      </c>
      <c r="U29" s="719">
        <f t="shared" si="13"/>
        <v>100</v>
      </c>
      <c r="V29" s="718" t="s">
        <v>21</v>
      </c>
      <c r="W29" s="719">
        <f t="shared" si="14"/>
        <v>100</v>
      </c>
      <c r="X29" s="1545"/>
      <c r="Y29" s="3400"/>
      <c r="Z29" s="1546">
        <f t="shared" si="18"/>
        <v>111</v>
      </c>
      <c r="AA29" s="1543">
        <f t="shared" si="15"/>
        <v>1</v>
      </c>
      <c r="AB29" s="1543">
        <f t="shared" si="16"/>
        <v>1</v>
      </c>
      <c r="AC29" s="1543">
        <f t="shared" si="17"/>
        <v>1</v>
      </c>
    </row>
    <row r="30" spans="1:29" ht="15">
      <c r="A30" s="391"/>
      <c r="B30" s="1299">
        <v>111</v>
      </c>
      <c r="C30" s="397"/>
      <c r="D30" s="398">
        <v>100</v>
      </c>
      <c r="E30" s="397"/>
      <c r="F30" s="398">
        <f>SUMIF(96:96,E30,97:97)-SUMIF(96:96,C30,97:97)+100</f>
        <v>100</v>
      </c>
      <c r="G30" s="2100"/>
      <c r="H30" s="398">
        <f>SUMIF(96:96,G30,97:97)-SUMIF(96:96,C30,97:97)+100</f>
        <v>100</v>
      </c>
      <c r="I30" s="397"/>
      <c r="J30" s="398">
        <f>SUMIF(96:96,I30,97:97)-SUMIF(96:96,C30,97:97)+100</f>
        <v>100</v>
      </c>
      <c r="K30" s="2086"/>
      <c r="L30" s="2954"/>
      <c r="M30" s="2948"/>
      <c r="N30" s="2948"/>
      <c r="O30" s="2948"/>
      <c r="P30" s="3407"/>
      <c r="Q30" s="1542">
        <f t="shared" si="11"/>
        <v>111</v>
      </c>
      <c r="R30" s="718" t="s">
        <v>21</v>
      </c>
      <c r="S30" s="719">
        <f t="shared" si="12"/>
        <v>100</v>
      </c>
      <c r="T30" s="718" t="s">
        <v>21</v>
      </c>
      <c r="U30" s="719">
        <f t="shared" si="13"/>
        <v>100</v>
      </c>
      <c r="V30" s="718" t="s">
        <v>21</v>
      </c>
      <c r="W30" s="719">
        <f t="shared" si="14"/>
        <v>100</v>
      </c>
      <c r="X30" s="1545"/>
      <c r="Y30" s="3400"/>
      <c r="Z30" s="1546">
        <f t="shared" si="18"/>
        <v>111</v>
      </c>
      <c r="AA30" s="1543">
        <f t="shared" si="15"/>
        <v>1</v>
      </c>
      <c r="AB30" s="1543">
        <f t="shared" si="16"/>
        <v>1</v>
      </c>
      <c r="AC30" s="1543">
        <f t="shared" si="17"/>
        <v>1</v>
      </c>
    </row>
    <row r="31" spans="1:29" ht="15.6" thickBot="1">
      <c r="A31" s="399"/>
      <c r="B31" s="1299">
        <v>111</v>
      </c>
      <c r="C31" s="400"/>
      <c r="D31" s="401">
        <v>100</v>
      </c>
      <c r="E31" s="400"/>
      <c r="F31" s="401">
        <f>SUMIF(98:98,E31,99:99)-SUMIF(98:98,C31,99:99)+100</f>
        <v>100</v>
      </c>
      <c r="G31" s="2101"/>
      <c r="H31" s="401">
        <f>SUMIF(98:98,G31,99:99)-SUMIF(98:98,C31,99:99)+100</f>
        <v>100</v>
      </c>
      <c r="I31" s="400"/>
      <c r="J31" s="401">
        <f>SUMIF(98:98,I31,99:99)-SUMIF(98:98,C31,99:99)+100</f>
        <v>100</v>
      </c>
      <c r="K31" s="2086"/>
      <c r="L31" s="2954"/>
      <c r="M31" s="2948"/>
      <c r="N31" s="2948"/>
      <c r="O31" s="2948"/>
      <c r="P31" s="3407"/>
      <c r="Q31" s="1542">
        <f t="shared" si="11"/>
        <v>111</v>
      </c>
      <c r="R31" s="718" t="s">
        <v>21</v>
      </c>
      <c r="S31" s="719">
        <f t="shared" si="12"/>
        <v>100</v>
      </c>
      <c r="T31" s="718" t="s">
        <v>21</v>
      </c>
      <c r="U31" s="719">
        <f t="shared" si="13"/>
        <v>100</v>
      </c>
      <c r="V31" s="718" t="s">
        <v>21</v>
      </c>
      <c r="W31" s="719">
        <f t="shared" si="14"/>
        <v>100</v>
      </c>
      <c r="X31" s="1545"/>
      <c r="Y31" s="3400"/>
      <c r="Z31" s="1546">
        <f t="shared" si="18"/>
        <v>111</v>
      </c>
      <c r="AA31" s="1543">
        <f t="shared" si="15"/>
        <v>1</v>
      </c>
      <c r="AB31" s="1543">
        <f t="shared" si="16"/>
        <v>1</v>
      </c>
      <c r="AC31" s="1543">
        <f t="shared" si="17"/>
        <v>1</v>
      </c>
    </row>
    <row r="32" spans="1:29" ht="15">
      <c r="A32" s="403" t="s">
        <v>2393</v>
      </c>
      <c r="B32" s="71" t="s">
        <v>2394</v>
      </c>
      <c r="C32" s="2102"/>
      <c r="D32" s="430">
        <v>100</v>
      </c>
      <c r="E32" s="2103"/>
      <c r="F32" s="424">
        <f>SUMIF(100:100,E32,101:101)-SUMIF(100:100,C32,101:101)+100</f>
        <v>100</v>
      </c>
      <c r="G32" s="2102"/>
      <c r="H32" s="430">
        <f>SUMIF(100:100,G32,101:101)-SUMIF(100:100,C32,101:101)+100</f>
        <v>100</v>
      </c>
      <c r="I32" s="2103"/>
      <c r="J32" s="398">
        <f>SUMIF(100:100,I32,101:101)-SUMIF(100:100,C32,101:101)+100</f>
        <v>100</v>
      </c>
      <c r="K32" s="389"/>
      <c r="L32" s="2954"/>
      <c r="M32" s="2948"/>
      <c r="N32" s="2948"/>
      <c r="O32" s="2948"/>
      <c r="P32" s="3401" t="s">
        <v>2395</v>
      </c>
      <c r="Q32" s="1542" t="str">
        <f t="shared" si="11"/>
        <v>建筑类型</v>
      </c>
      <c r="R32" s="718" t="s">
        <v>21</v>
      </c>
      <c r="S32" s="719">
        <f t="shared" si="12"/>
        <v>100</v>
      </c>
      <c r="T32" s="718" t="s">
        <v>21</v>
      </c>
      <c r="U32" s="719">
        <f t="shared" si="13"/>
        <v>100</v>
      </c>
      <c r="V32" s="718" t="s">
        <v>21</v>
      </c>
      <c r="W32" s="719">
        <f t="shared" si="14"/>
        <v>100</v>
      </c>
      <c r="X32" s="1545"/>
      <c r="Y32" s="3404" t="s">
        <v>2395</v>
      </c>
      <c r="Z32" s="1546" t="str">
        <f t="shared" si="18"/>
        <v>建筑类型</v>
      </c>
      <c r="AA32" s="1543">
        <f t="shared" si="15"/>
        <v>1</v>
      </c>
      <c r="AB32" s="1543">
        <f t="shared" si="16"/>
        <v>1</v>
      </c>
      <c r="AC32" s="1543">
        <f t="shared" si="17"/>
        <v>1</v>
      </c>
    </row>
    <row r="33" spans="1:29" s="434" customFormat="1" ht="15">
      <c r="A33" s="431"/>
      <c r="B33" s="385" t="s">
        <v>2396</v>
      </c>
      <c r="C33" s="432"/>
      <c r="D33" s="136">
        <v>100</v>
      </c>
      <c r="E33" s="393"/>
      <c r="F33" s="388" t="e">
        <f>LOOKUP(E33,103:103,104:104)-LOOKUP(C33,103:103,104:104)+100</f>
        <v>#N/A</v>
      </c>
      <c r="G33" s="392"/>
      <c r="H33" s="136" t="e">
        <f>LOOKUP(G33,103:103,104:104)-LOOKUP(C33,103:103,104:104)+100</f>
        <v>#N/A</v>
      </c>
      <c r="I33" s="393"/>
      <c r="J33" s="136" t="e">
        <f>LOOKUP(I33,103:103,104:104)-LOOKUP(C33,103:103,104:104)+100</f>
        <v>#N/A</v>
      </c>
      <c r="K33" s="2086"/>
      <c r="L33" s="2953"/>
      <c r="M33" s="2955"/>
      <c r="N33" s="2955"/>
      <c r="O33" s="2955"/>
      <c r="P33" s="3402"/>
      <c r="Q33" s="720" t="str">
        <f t="shared" si="11"/>
        <v>项目建筑规模</v>
      </c>
      <c r="R33" s="721" t="s">
        <v>21</v>
      </c>
      <c r="S33" s="722" t="e">
        <f t="shared" si="12"/>
        <v>#N/A</v>
      </c>
      <c r="T33" s="721" t="s">
        <v>21</v>
      </c>
      <c r="U33" s="722" t="e">
        <f t="shared" si="13"/>
        <v>#N/A</v>
      </c>
      <c r="V33" s="721" t="s">
        <v>21</v>
      </c>
      <c r="W33" s="722" t="e">
        <f t="shared" si="14"/>
        <v>#N/A</v>
      </c>
      <c r="X33" s="723"/>
      <c r="Y33" s="3404"/>
      <c r="Z33" s="724" t="str">
        <f t="shared" si="18"/>
        <v>项目建筑规模</v>
      </c>
      <c r="AA33" s="1543" t="e">
        <f t="shared" si="15"/>
        <v>#N/A</v>
      </c>
      <c r="AB33" s="1543" t="e">
        <f t="shared" si="16"/>
        <v>#N/A</v>
      </c>
      <c r="AC33" s="1543" t="e">
        <f t="shared" si="17"/>
        <v>#N/A</v>
      </c>
    </row>
    <row r="34" spans="1:29" ht="15">
      <c r="A34" s="435"/>
      <c r="B34" s="385" t="s">
        <v>2397</v>
      </c>
      <c r="C34" s="2104"/>
      <c r="D34" s="398">
        <v>100</v>
      </c>
      <c r="E34" s="2105"/>
      <c r="F34" s="424">
        <f>SUMIF(105:105,E34,106:106)-SUMIF(105:105,C34,106:106)+100</f>
        <v>100</v>
      </c>
      <c r="G34" s="2104"/>
      <c r="H34" s="398">
        <f>SUMIF(105:105,G34,106:106)-SUMIF(105:105,C34,106:106)+100</f>
        <v>100</v>
      </c>
      <c r="I34" s="2105"/>
      <c r="J34" s="398">
        <f>SUMIF(105:105,I34,106:106)-SUMIF(105:105,C34,106:106)+100</f>
        <v>100</v>
      </c>
      <c r="K34" s="389"/>
      <c r="L34" s="2954"/>
      <c r="M34" s="2948"/>
      <c r="N34" s="2948"/>
      <c r="O34" s="2948"/>
      <c r="P34" s="3402"/>
      <c r="Q34" s="1542" t="str">
        <f t="shared" si="11"/>
        <v>建筑结构</v>
      </c>
      <c r="R34" s="718" t="s">
        <v>21</v>
      </c>
      <c r="S34" s="719">
        <f t="shared" si="12"/>
        <v>100</v>
      </c>
      <c r="T34" s="718" t="s">
        <v>21</v>
      </c>
      <c r="U34" s="719">
        <f t="shared" si="13"/>
        <v>100</v>
      </c>
      <c r="V34" s="718" t="s">
        <v>21</v>
      </c>
      <c r="W34" s="719">
        <f t="shared" si="14"/>
        <v>100</v>
      </c>
      <c r="X34" s="1545"/>
      <c r="Y34" s="3404"/>
      <c r="Z34" s="1546" t="str">
        <f t="shared" si="18"/>
        <v>建筑结构</v>
      </c>
      <c r="AA34" s="1543">
        <f t="shared" si="15"/>
        <v>1</v>
      </c>
      <c r="AB34" s="1543">
        <f t="shared" si="16"/>
        <v>1</v>
      </c>
      <c r="AC34" s="1543">
        <f t="shared" si="17"/>
        <v>1</v>
      </c>
    </row>
    <row r="35" spans="1:29" ht="15">
      <c r="A35" s="435"/>
      <c r="B35" s="385" t="s">
        <v>2398</v>
      </c>
      <c r="C35" s="2098"/>
      <c r="D35" s="398">
        <v>100</v>
      </c>
      <c r="E35" s="2099"/>
      <c r="F35" s="424">
        <f>SUMIF(107:107,E35,108:108)-SUMIF(107:107,C35,108:108)+100</f>
        <v>100</v>
      </c>
      <c r="G35" s="2098"/>
      <c r="H35" s="398">
        <f>SUMIF(107:107,G35,108:108)-SUMIF(107:107,C35,108:108)+100</f>
        <v>100</v>
      </c>
      <c r="I35" s="2099"/>
      <c r="J35" s="398">
        <f>SUMIF(107:107,I35,108:108)-SUMIF(107:107,C35,108:108)+100</f>
        <v>100</v>
      </c>
      <c r="K35" s="389"/>
      <c r="L35" s="2954"/>
      <c r="M35" s="2948"/>
      <c r="N35" s="2948"/>
      <c r="O35" s="2948"/>
      <c r="P35" s="3402"/>
      <c r="Q35" s="1542" t="str">
        <f t="shared" si="11"/>
        <v>建筑品质</v>
      </c>
      <c r="R35" s="718" t="s">
        <v>21</v>
      </c>
      <c r="S35" s="719">
        <f t="shared" si="12"/>
        <v>100</v>
      </c>
      <c r="T35" s="718" t="s">
        <v>21</v>
      </c>
      <c r="U35" s="719">
        <f t="shared" si="13"/>
        <v>100</v>
      </c>
      <c r="V35" s="718" t="s">
        <v>21</v>
      </c>
      <c r="W35" s="719">
        <f t="shared" si="14"/>
        <v>100</v>
      </c>
      <c r="X35" s="1545"/>
      <c r="Y35" s="3404"/>
      <c r="Z35" s="1546" t="str">
        <f t="shared" si="18"/>
        <v>建筑品质</v>
      </c>
      <c r="AA35" s="1543">
        <f t="shared" si="15"/>
        <v>1</v>
      </c>
      <c r="AB35" s="1543">
        <f t="shared" si="16"/>
        <v>1</v>
      </c>
      <c r="AC35" s="1543">
        <f t="shared" si="17"/>
        <v>1</v>
      </c>
    </row>
    <row r="36" spans="1:29" ht="15">
      <c r="A36" s="435"/>
      <c r="B36" s="385" t="s">
        <v>2399</v>
      </c>
      <c r="C36" s="2098"/>
      <c r="D36" s="398">
        <v>100</v>
      </c>
      <c r="E36" s="2099"/>
      <c r="F36" s="424">
        <f>SUMIF(109:109,E36,110:110)-SUMIF(109:109,C36,110:110)+100</f>
        <v>100</v>
      </c>
      <c r="G36" s="2098"/>
      <c r="H36" s="398">
        <f>SUMIF(109:109,G36,110:110)-SUMIF(109:109,C36,110:110)+100</f>
        <v>100</v>
      </c>
      <c r="I36" s="2099"/>
      <c r="J36" s="398">
        <f>SUMIF(109:109,I36,110:110)-SUMIF(109:109,C36,110:110)+100</f>
        <v>100</v>
      </c>
      <c r="K36" s="389"/>
      <c r="L36" s="2954"/>
      <c r="M36" s="2948"/>
      <c r="N36" s="2948"/>
      <c r="O36" s="2948"/>
      <c r="P36" s="3402"/>
      <c r="Q36" s="1542" t="str">
        <f t="shared" si="11"/>
        <v>公共部分装修</v>
      </c>
      <c r="R36" s="718" t="s">
        <v>21</v>
      </c>
      <c r="S36" s="719">
        <f t="shared" si="12"/>
        <v>100</v>
      </c>
      <c r="T36" s="718" t="s">
        <v>21</v>
      </c>
      <c r="U36" s="719">
        <f t="shared" si="13"/>
        <v>100</v>
      </c>
      <c r="V36" s="718" t="s">
        <v>21</v>
      </c>
      <c r="W36" s="719">
        <f t="shared" si="14"/>
        <v>100</v>
      </c>
      <c r="X36" s="1545"/>
      <c r="Y36" s="3404"/>
      <c r="Z36" s="1546" t="str">
        <f t="shared" si="18"/>
        <v>公共部分装修</v>
      </c>
      <c r="AA36" s="1543">
        <f t="shared" si="15"/>
        <v>1</v>
      </c>
      <c r="AB36" s="1543">
        <f t="shared" si="16"/>
        <v>1</v>
      </c>
      <c r="AC36" s="1543">
        <f t="shared" si="17"/>
        <v>1</v>
      </c>
    </row>
    <row r="37" spans="1:29" s="117" customFormat="1" ht="15">
      <c r="A37" s="436"/>
      <c r="B37" s="385" t="s">
        <v>2400</v>
      </c>
      <c r="C37" s="437"/>
      <c r="D37" s="136">
        <v>100</v>
      </c>
      <c r="E37" s="437"/>
      <c r="F37" s="388" t="e">
        <f>LOOKUP(E37,112:112,113:113)-LOOKUP(C37,112:112,113:113)+100</f>
        <v>#N/A</v>
      </c>
      <c r="G37" s="439"/>
      <c r="H37" s="136" t="e">
        <f>LOOKUP(G37,112:112,113:113)-LOOKUP(C37,112:112,113:113)+100</f>
        <v>#N/A</v>
      </c>
      <c r="I37" s="438"/>
      <c r="J37" s="136" t="e">
        <f>LOOKUP(I37,112:112,113:113)-LOOKUP(C37,112:112,113:113)+100</f>
        <v>#N/A</v>
      </c>
      <c r="K37" s="389"/>
      <c r="L37" s="2949"/>
      <c r="M37" s="2950"/>
      <c r="N37" s="2950"/>
      <c r="O37" s="2950"/>
      <c r="P37" s="3402"/>
      <c r="Q37" s="1533" t="str">
        <f t="shared" si="11"/>
        <v>成新度</v>
      </c>
      <c r="R37" s="714" t="s">
        <v>21</v>
      </c>
      <c r="S37" s="715" t="e">
        <f t="shared" si="12"/>
        <v>#N/A</v>
      </c>
      <c r="T37" s="714" t="s">
        <v>21</v>
      </c>
      <c r="U37" s="715" t="e">
        <f t="shared" si="13"/>
        <v>#N/A</v>
      </c>
      <c r="V37" s="714" t="s">
        <v>21</v>
      </c>
      <c r="W37" s="715" t="e">
        <f t="shared" si="14"/>
        <v>#N/A</v>
      </c>
      <c r="X37" s="716"/>
      <c r="Y37" s="3404"/>
      <c r="Z37" s="55" t="str">
        <f t="shared" si="18"/>
        <v>成新度</v>
      </c>
      <c r="AA37" s="717" t="e">
        <f t="shared" si="15"/>
        <v>#N/A</v>
      </c>
      <c r="AB37" s="717" t="e">
        <f t="shared" si="16"/>
        <v>#N/A</v>
      </c>
      <c r="AC37" s="717" t="e">
        <f t="shared" si="17"/>
        <v>#N/A</v>
      </c>
    </row>
    <row r="38" spans="1:29" ht="15">
      <c r="A38" s="435"/>
      <c r="B38" s="385" t="s">
        <v>2401</v>
      </c>
      <c r="C38" s="2098"/>
      <c r="D38" s="398">
        <v>100</v>
      </c>
      <c r="E38" s="2099"/>
      <c r="F38" s="424">
        <f>SUMIF(114:114,E38,115:115)-SUMIF(114:114,C38,115:115)+100</f>
        <v>100</v>
      </c>
      <c r="G38" s="2098"/>
      <c r="H38" s="398">
        <f>SUMIF(114:114,G38,115:115)-SUMIF(114:114,C38,115:115)+100</f>
        <v>100</v>
      </c>
      <c r="I38" s="2099"/>
      <c r="J38" s="398">
        <f>SUMIF(114:114,I38,115:115)-SUMIF(114:114,C38,115:115)+100</f>
        <v>100</v>
      </c>
      <c r="K38" s="389"/>
      <c r="L38" s="2954"/>
      <c r="M38" s="2948"/>
      <c r="N38" s="2948"/>
      <c r="O38" s="2948"/>
      <c r="P38" s="3402" t="s">
        <v>2395</v>
      </c>
      <c r="Q38" s="1542" t="str">
        <f t="shared" si="11"/>
        <v>物业管理</v>
      </c>
      <c r="R38" s="718" t="s">
        <v>21</v>
      </c>
      <c r="S38" s="719">
        <f t="shared" si="12"/>
        <v>100</v>
      </c>
      <c r="T38" s="718" t="s">
        <v>21</v>
      </c>
      <c r="U38" s="719">
        <f t="shared" si="13"/>
        <v>100</v>
      </c>
      <c r="V38" s="718" t="s">
        <v>21</v>
      </c>
      <c r="W38" s="719">
        <f t="shared" si="14"/>
        <v>100</v>
      </c>
      <c r="X38" s="1545"/>
      <c r="Y38" s="3404" t="s">
        <v>2395</v>
      </c>
      <c r="Z38" s="1546" t="str">
        <f t="shared" si="18"/>
        <v>物业管理</v>
      </c>
      <c r="AA38" s="1543">
        <f t="shared" si="15"/>
        <v>1</v>
      </c>
      <c r="AB38" s="1543">
        <f t="shared" si="16"/>
        <v>1</v>
      </c>
      <c r="AC38" s="1543">
        <f t="shared" si="17"/>
        <v>1</v>
      </c>
    </row>
    <row r="39" spans="1:29" ht="15">
      <c r="A39" s="435"/>
      <c r="B39" s="385" t="s">
        <v>2402</v>
      </c>
      <c r="C39" s="2098"/>
      <c r="D39" s="398">
        <v>100</v>
      </c>
      <c r="E39" s="2099"/>
      <c r="F39" s="424">
        <f>SUMIF(116:116,E39,117:117)-SUMIF(116:116,C39,117:117)+100</f>
        <v>100</v>
      </c>
      <c r="G39" s="2098"/>
      <c r="H39" s="398">
        <f>SUMIF(116:116,G39,117:117)-SUMIF(116:116,C39,117:117)+100</f>
        <v>100</v>
      </c>
      <c r="I39" s="2099"/>
      <c r="J39" s="398">
        <f>SUMIF(116:116,I39,117:117)-SUMIF(116:116,C39,117:117)+100</f>
        <v>100</v>
      </c>
      <c r="K39" s="389"/>
      <c r="L39" s="2954"/>
      <c r="M39" s="2948"/>
      <c r="N39" s="2948"/>
      <c r="O39" s="2948"/>
      <c r="P39" s="3402"/>
      <c r="Q39" s="1542" t="str">
        <f t="shared" si="11"/>
        <v>市政基础设施</v>
      </c>
      <c r="R39" s="718" t="s">
        <v>21</v>
      </c>
      <c r="S39" s="719">
        <f t="shared" si="12"/>
        <v>100</v>
      </c>
      <c r="T39" s="718" t="s">
        <v>21</v>
      </c>
      <c r="U39" s="719">
        <f t="shared" si="13"/>
        <v>100</v>
      </c>
      <c r="V39" s="718" t="s">
        <v>21</v>
      </c>
      <c r="W39" s="719">
        <f t="shared" si="14"/>
        <v>100</v>
      </c>
      <c r="X39" s="1545"/>
      <c r="Y39" s="3404"/>
      <c r="Z39" s="1546" t="str">
        <f t="shared" si="18"/>
        <v>市政基础设施</v>
      </c>
      <c r="AA39" s="1543">
        <f t="shared" si="15"/>
        <v>1</v>
      </c>
      <c r="AB39" s="1543">
        <f t="shared" si="16"/>
        <v>1</v>
      </c>
      <c r="AC39" s="1543">
        <f t="shared" si="17"/>
        <v>1</v>
      </c>
    </row>
    <row r="40" spans="1:29" ht="15">
      <c r="A40" s="435"/>
      <c r="B40" s="385" t="s">
        <v>2403</v>
      </c>
      <c r="C40" s="2098"/>
      <c r="D40" s="398">
        <v>100</v>
      </c>
      <c r="E40" s="2099"/>
      <c r="F40" s="424">
        <f>SUMIF(118:118,E40,119:119)-SUMIF(118:118,C40,119:119)+100</f>
        <v>100</v>
      </c>
      <c r="G40" s="2098"/>
      <c r="H40" s="398">
        <f>SUMIF(118:118,G40,119:119)-SUMIF(118:118,C40,119:119)+100</f>
        <v>100</v>
      </c>
      <c r="I40" s="2099"/>
      <c r="J40" s="398">
        <f>SUMIF(118:118,I40,119:119)-SUMIF(118:118,C40,119:119)+100</f>
        <v>100</v>
      </c>
      <c r="K40" s="389"/>
      <c r="L40" s="2954"/>
      <c r="M40" s="2948"/>
      <c r="N40" s="2948"/>
      <c r="O40" s="2948"/>
      <c r="P40" s="3402"/>
      <c r="Q40" s="1542" t="str">
        <f t="shared" si="11"/>
        <v>房型</v>
      </c>
      <c r="R40" s="718" t="s">
        <v>21</v>
      </c>
      <c r="S40" s="719">
        <f t="shared" si="12"/>
        <v>100</v>
      </c>
      <c r="T40" s="718" t="s">
        <v>21</v>
      </c>
      <c r="U40" s="719">
        <f t="shared" si="13"/>
        <v>100</v>
      </c>
      <c r="V40" s="718" t="s">
        <v>21</v>
      </c>
      <c r="W40" s="719">
        <f t="shared" si="14"/>
        <v>100</v>
      </c>
      <c r="X40" s="1545"/>
      <c r="Y40" s="3404"/>
      <c r="Z40" s="1546" t="str">
        <f t="shared" si="18"/>
        <v>房型</v>
      </c>
      <c r="AA40" s="1543">
        <f t="shared" si="15"/>
        <v>1</v>
      </c>
      <c r="AB40" s="1543">
        <f t="shared" si="16"/>
        <v>1</v>
      </c>
      <c r="AC40" s="1543">
        <f t="shared" si="17"/>
        <v>1</v>
      </c>
    </row>
    <row r="41" spans="1:29" s="434" customFormat="1" ht="28.8">
      <c r="A41" s="431"/>
      <c r="B41" s="385" t="s">
        <v>2404</v>
      </c>
      <c r="C41" s="432"/>
      <c r="D41" s="136">
        <v>100</v>
      </c>
      <c r="E41" s="393"/>
      <c r="F41" s="388">
        <f>SUMIF(120:120,E41,121:121)-SUMIF(120:120,C41,121:121)+100</f>
        <v>100</v>
      </c>
      <c r="G41" s="392"/>
      <c r="H41" s="136">
        <f>SUMIF(120:120,G41,121:121)-SUMIF(120:120,C41,121:121)+100</f>
        <v>100</v>
      </c>
      <c r="I41" s="440"/>
      <c r="J41" s="398">
        <f>SUMIF(120:120,I41,121:121)-SUMIF(120:120,C41,121:121)+100</f>
        <v>100</v>
      </c>
      <c r="K41" s="2086"/>
      <c r="L41" s="2953"/>
      <c r="M41" s="2955"/>
      <c r="N41" s="2955"/>
      <c r="O41" s="2955"/>
      <c r="P41" s="3402"/>
      <c r="Q41" s="720" t="str">
        <f t="shared" si="11"/>
        <v>单套/主力户型建筑面积</v>
      </c>
      <c r="R41" s="721" t="s">
        <v>21</v>
      </c>
      <c r="S41" s="722">
        <f t="shared" si="12"/>
        <v>100</v>
      </c>
      <c r="T41" s="721" t="s">
        <v>21</v>
      </c>
      <c r="U41" s="722">
        <f t="shared" si="13"/>
        <v>100</v>
      </c>
      <c r="V41" s="721" t="s">
        <v>21</v>
      </c>
      <c r="W41" s="722">
        <f t="shared" si="14"/>
        <v>100</v>
      </c>
      <c r="X41" s="723"/>
      <c r="Y41" s="3404"/>
      <c r="Z41" s="724" t="str">
        <f t="shared" si="18"/>
        <v>单套/主力户型建筑面积</v>
      </c>
      <c r="AA41" s="1543">
        <f t="shared" si="15"/>
        <v>1</v>
      </c>
      <c r="AB41" s="1543">
        <f t="shared" si="16"/>
        <v>1</v>
      </c>
      <c r="AC41" s="1543">
        <f t="shared" si="17"/>
        <v>1</v>
      </c>
    </row>
    <row r="42" spans="1:29" ht="15">
      <c r="A42" s="435"/>
      <c r="B42" s="385" t="s">
        <v>2405</v>
      </c>
      <c r="C42" s="2098"/>
      <c r="D42" s="398">
        <v>100</v>
      </c>
      <c r="E42" s="2099"/>
      <c r="F42" s="424">
        <f>SUMIF(122:122,E42,123:123)-SUMIF(122:122,C42,123:123)+100</f>
        <v>100</v>
      </c>
      <c r="G42" s="2098"/>
      <c r="H42" s="398">
        <f>SUMIF(122:122,G42,123:123)-SUMIF(122:122,C42,123:123)+100</f>
        <v>100</v>
      </c>
      <c r="I42" s="2099"/>
      <c r="J42" s="398">
        <f>SUMIF(122:122,I42,123:123)-SUMIF(122:122,C42,123:123)+100</f>
        <v>100</v>
      </c>
      <c r="K42" s="389"/>
      <c r="L42" s="2954"/>
      <c r="M42" s="2948"/>
      <c r="N42" s="2948"/>
      <c r="O42" s="2948"/>
      <c r="P42" s="3402"/>
      <c r="Q42" s="1542" t="str">
        <f t="shared" si="11"/>
        <v>内部装修</v>
      </c>
      <c r="R42" s="718" t="s">
        <v>21</v>
      </c>
      <c r="S42" s="719">
        <f t="shared" si="12"/>
        <v>100</v>
      </c>
      <c r="T42" s="718" t="s">
        <v>21</v>
      </c>
      <c r="U42" s="719">
        <f t="shared" si="13"/>
        <v>100</v>
      </c>
      <c r="V42" s="718" t="s">
        <v>21</v>
      </c>
      <c r="W42" s="719">
        <f t="shared" si="14"/>
        <v>100</v>
      </c>
      <c r="X42" s="1545"/>
      <c r="Y42" s="3404"/>
      <c r="Z42" s="1546" t="str">
        <f t="shared" si="18"/>
        <v>内部装修</v>
      </c>
      <c r="AA42" s="1543">
        <f t="shared" si="15"/>
        <v>1</v>
      </c>
      <c r="AB42" s="1543">
        <f t="shared" si="16"/>
        <v>1</v>
      </c>
      <c r="AC42" s="1543">
        <f t="shared" si="17"/>
        <v>1</v>
      </c>
    </row>
    <row r="43" spans="1:29" ht="28.8">
      <c r="A43" s="435"/>
      <c r="B43" s="385" t="s">
        <v>2406</v>
      </c>
      <c r="C43" s="2098"/>
      <c r="D43" s="398">
        <v>100</v>
      </c>
      <c r="E43" s="2099"/>
      <c r="F43" s="424">
        <f>SUMIF(124:124,E43,125:125)-SUMIF(124:124,C43,125:125)+100</f>
        <v>100</v>
      </c>
      <c r="G43" s="2098"/>
      <c r="H43" s="398">
        <f>SUMIF(124:124,G43,125:125)-SUMIF(124:124,C43,125:125)+100</f>
        <v>100</v>
      </c>
      <c r="I43" s="2099"/>
      <c r="J43" s="398">
        <f>SUMIF(124:124,I43,125:125)-SUMIF(124:124,C43,125:125)+100</f>
        <v>100</v>
      </c>
      <c r="K43" s="389"/>
      <c r="L43" s="2954"/>
      <c r="M43" s="2948"/>
      <c r="N43" s="2948"/>
      <c r="O43" s="2948"/>
      <c r="P43" s="3402"/>
      <c r="Q43" s="1542" t="str">
        <f t="shared" si="11"/>
        <v>内部装修维护情况</v>
      </c>
      <c r="R43" s="718" t="s">
        <v>21</v>
      </c>
      <c r="S43" s="719">
        <f t="shared" si="12"/>
        <v>100</v>
      </c>
      <c r="T43" s="718" t="s">
        <v>21</v>
      </c>
      <c r="U43" s="719">
        <f t="shared" si="13"/>
        <v>100</v>
      </c>
      <c r="V43" s="718" t="s">
        <v>21</v>
      </c>
      <c r="W43" s="719">
        <f t="shared" si="14"/>
        <v>100</v>
      </c>
      <c r="X43" s="1545"/>
      <c r="Y43" s="3404"/>
      <c r="Z43" s="1546" t="str">
        <f t="shared" si="18"/>
        <v>内部装修维护情况</v>
      </c>
      <c r="AA43" s="1543">
        <f t="shared" si="15"/>
        <v>1</v>
      </c>
      <c r="AB43" s="1543">
        <f t="shared" si="16"/>
        <v>1</v>
      </c>
      <c r="AC43" s="1543">
        <f t="shared" si="17"/>
        <v>1</v>
      </c>
    </row>
    <row r="44" spans="1:29" s="117" customFormat="1" ht="15">
      <c r="A44" s="436"/>
      <c r="B44" s="1299">
        <v>111</v>
      </c>
      <c r="C44" s="432"/>
      <c r="D44" s="136">
        <v>100</v>
      </c>
      <c r="E44" s="432"/>
      <c r="F44" s="388">
        <f>SUMIF(126:126,E44,127:127)-SUMIF(126:126,C44,127:127)+100</f>
        <v>100</v>
      </c>
      <c r="G44" s="432"/>
      <c r="H44" s="136">
        <f>SUMIF(126:126,G44,127:127)-SUMIF(126:126,C44,127:127)+100</f>
        <v>100</v>
      </c>
      <c r="I44" s="432"/>
      <c r="J44" s="136">
        <f>SUMIF(126:126,I44,127:127)-SUMIF(126:126,C44,127:127)+100</f>
        <v>100</v>
      </c>
      <c r="K44" s="2086"/>
      <c r="L44" s="2949"/>
      <c r="M44" s="2950"/>
      <c r="N44" s="2950"/>
      <c r="O44" s="2950"/>
      <c r="P44" s="3402"/>
      <c r="Q44" s="1533">
        <f t="shared" si="11"/>
        <v>111</v>
      </c>
      <c r="R44" s="714" t="s">
        <v>21</v>
      </c>
      <c r="S44" s="715">
        <f t="shared" si="12"/>
        <v>100</v>
      </c>
      <c r="T44" s="714" t="s">
        <v>21</v>
      </c>
      <c r="U44" s="715">
        <f t="shared" si="13"/>
        <v>100</v>
      </c>
      <c r="V44" s="714" t="s">
        <v>21</v>
      </c>
      <c r="W44" s="715">
        <f t="shared" si="14"/>
        <v>100</v>
      </c>
      <c r="X44" s="716"/>
      <c r="Y44" s="3404"/>
      <c r="Z44" s="55">
        <f t="shared" si="18"/>
        <v>111</v>
      </c>
      <c r="AA44" s="717">
        <f t="shared" si="15"/>
        <v>1</v>
      </c>
      <c r="AB44" s="717">
        <f t="shared" si="16"/>
        <v>1</v>
      </c>
      <c r="AC44" s="717">
        <f t="shared" si="17"/>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2086"/>
      <c r="L45" s="2954"/>
      <c r="M45" s="2948"/>
      <c r="N45" s="2948"/>
      <c r="O45" s="2948"/>
      <c r="P45" s="3402"/>
      <c r="Q45" s="1542">
        <f t="shared" si="11"/>
        <v>111</v>
      </c>
      <c r="R45" s="718" t="s">
        <v>21</v>
      </c>
      <c r="S45" s="719">
        <f t="shared" si="12"/>
        <v>100</v>
      </c>
      <c r="T45" s="718" t="s">
        <v>21</v>
      </c>
      <c r="U45" s="719">
        <f t="shared" si="13"/>
        <v>100</v>
      </c>
      <c r="V45" s="718" t="s">
        <v>21</v>
      </c>
      <c r="W45" s="719">
        <f t="shared" si="14"/>
        <v>100</v>
      </c>
      <c r="X45" s="1545"/>
      <c r="Y45" s="3404"/>
      <c r="Z45" s="1546">
        <f t="shared" si="18"/>
        <v>111</v>
      </c>
      <c r="AA45" s="1543">
        <f t="shared" si="15"/>
        <v>1</v>
      </c>
      <c r="AB45" s="1543">
        <f t="shared" si="16"/>
        <v>1</v>
      </c>
      <c r="AC45" s="1543">
        <f t="shared" si="17"/>
        <v>1</v>
      </c>
    </row>
    <row r="46" spans="1:29" ht="15.6" thickBot="1">
      <c r="A46" s="441"/>
      <c r="B46" s="2087">
        <v>111</v>
      </c>
      <c r="C46" s="400"/>
      <c r="D46" s="401">
        <v>100</v>
      </c>
      <c r="E46" s="400"/>
      <c r="F46" s="402">
        <f>SUMIF(130:130,E46,131:131)-SUMIF(130:130,C46,131:131)+100</f>
        <v>100</v>
      </c>
      <c r="G46" s="400"/>
      <c r="H46" s="401">
        <f>SUMIF(130:130,G46,131:131)-SUMIF(130:130,C46,131:131)+100</f>
        <v>100</v>
      </c>
      <c r="I46" s="400"/>
      <c r="J46" s="401">
        <f>SUMIF(130:130,I46,131:131)-SUMIF(130:130,C46,131:131)+100</f>
        <v>100</v>
      </c>
      <c r="K46" s="2086"/>
      <c r="L46" s="2954"/>
      <c r="M46" s="2948"/>
      <c r="N46" s="2948"/>
      <c r="O46" s="2948"/>
      <c r="P46" s="3403"/>
      <c r="Q46" s="1542">
        <f t="shared" si="11"/>
        <v>111</v>
      </c>
      <c r="R46" s="718" t="s">
        <v>20</v>
      </c>
      <c r="S46" s="719">
        <f t="shared" si="12"/>
        <v>100</v>
      </c>
      <c r="T46" s="718" t="s">
        <v>20</v>
      </c>
      <c r="U46" s="719">
        <f t="shared" si="13"/>
        <v>100</v>
      </c>
      <c r="V46" s="718" t="s">
        <v>20</v>
      </c>
      <c r="W46" s="719">
        <f t="shared" si="14"/>
        <v>100</v>
      </c>
      <c r="X46" s="1545"/>
      <c r="Y46" s="3405"/>
      <c r="Z46" s="1546">
        <f t="shared" si="18"/>
        <v>111</v>
      </c>
      <c r="AA46" s="1543">
        <f t="shared" si="15"/>
        <v>1</v>
      </c>
      <c r="AB46" s="1543">
        <f t="shared" si="16"/>
        <v>1</v>
      </c>
      <c r="AC46" s="1543">
        <f t="shared" si="17"/>
        <v>1</v>
      </c>
    </row>
    <row r="47" spans="1:29" ht="14.4">
      <c r="A47" s="442" t="s">
        <v>2407</v>
      </c>
      <c r="B47" s="443"/>
      <c r="C47" s="1320" t="s">
        <v>19</v>
      </c>
      <c r="D47" s="1321"/>
      <c r="E47" s="1322"/>
      <c r="F47" s="1323"/>
      <c r="G47" s="1324"/>
      <c r="H47" s="1325"/>
      <c r="I47" s="1322"/>
      <c r="J47" s="1325"/>
      <c r="K47" s="2106"/>
      <c r="L47" s="2956"/>
      <c r="M47" s="2957"/>
      <c r="N47" s="2948"/>
      <c r="O47" s="2957"/>
      <c r="P47" s="3397" t="str">
        <f>A47</f>
        <v>成交单价（元/平方米）</v>
      </c>
      <c r="Q47" s="3397"/>
      <c r="R47" s="3398">
        <f>E47</f>
        <v>0</v>
      </c>
      <c r="S47" s="3398"/>
      <c r="T47" s="3398">
        <f>G47</f>
        <v>0</v>
      </c>
      <c r="U47" s="3398"/>
      <c r="V47" s="3398">
        <f>I47</f>
        <v>0</v>
      </c>
      <c r="W47" s="3398"/>
      <c r="X47" s="703"/>
      <c r="Y47" s="725"/>
      <c r="Z47" s="703"/>
      <c r="AA47" s="703"/>
      <c r="AB47" s="703"/>
      <c r="AC47" s="703"/>
    </row>
    <row r="48" spans="1:29" ht="15" thickBot="1">
      <c r="A48" s="449" t="s">
        <v>2408</v>
      </c>
      <c r="B48" s="450"/>
      <c r="C48" s="1326" t="e">
        <f>R49</f>
        <v>#DIV/0!</v>
      </c>
      <c r="D48" s="2544" t="s">
        <v>2891</v>
      </c>
      <c r="E48" s="1327" t="e">
        <f>R48</f>
        <v>#DIV/0!</v>
      </c>
      <c r="F48" s="2545"/>
      <c r="G48" s="1326" t="e">
        <f>T48</f>
        <v>#DIV/0!</v>
      </c>
      <c r="H48" s="2545"/>
      <c r="I48" s="1327" t="e">
        <f>V48</f>
        <v>#DIV/0!</v>
      </c>
      <c r="J48" s="2545"/>
      <c r="K48" s="2546">
        <f>F48+H48+J48</f>
        <v>0</v>
      </c>
      <c r="L48" s="2956"/>
      <c r="M48" s="2957"/>
      <c r="N48" s="2957"/>
      <c r="O48" s="2957"/>
      <c r="P48" s="3397" t="str">
        <f>A48</f>
        <v>比较价值（元/平方米）</v>
      </c>
      <c r="Q48" s="3397"/>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703"/>
      <c r="Y48" s="703"/>
      <c r="Z48" s="703"/>
      <c r="AA48" s="703"/>
      <c r="AB48" s="703"/>
      <c r="AC48" s="703"/>
    </row>
    <row r="49" spans="1:29" ht="15" thickBot="1">
      <c r="A49" s="453" t="s">
        <v>2409</v>
      </c>
      <c r="B49" s="454"/>
      <c r="C49" s="1328" t="e">
        <f>R49</f>
        <v>#DIV/0!</v>
      </c>
      <c r="D49" s="1329"/>
      <c r="E49" s="1329"/>
      <c r="F49" s="1329"/>
      <c r="G49" s="1329"/>
      <c r="H49" s="1329"/>
      <c r="I49" s="1329"/>
      <c r="J49" s="1329"/>
      <c r="K49" s="2107"/>
      <c r="L49" s="2956"/>
      <c r="M49" s="2957"/>
      <c r="N49" s="2957"/>
      <c r="O49" s="2957"/>
      <c r="P49" s="3394" t="str">
        <f>A49</f>
        <v>估价对象XX用房的比较价值（楼面单价，元/平方米）</v>
      </c>
      <c r="Q49" s="3395"/>
      <c r="R49" s="3396" t="e">
        <f>IF(F1="售价",ROUND(IF(D48="简单平均",AVERAGE(R48:V48),R48*F48+T48*H48+V48*J48),0),ROUND(IF(D48="简单平均",AVERAGE(R48:V48),R48*F48+T48*H48+V48*J48),1))</f>
        <v>#DIV/0!</v>
      </c>
      <c r="S49" s="3396"/>
      <c r="T49" s="3396"/>
      <c r="U49" s="3396"/>
      <c r="V49" s="3396"/>
      <c r="W49" s="3396"/>
      <c r="X49" s="703"/>
      <c r="Y49" s="703"/>
      <c r="Z49" s="703"/>
      <c r="AA49" s="703"/>
      <c r="AB49" s="703"/>
      <c r="AC49" s="703"/>
    </row>
    <row r="50" spans="1:29">
      <c r="A50" s="2957"/>
      <c r="B50" s="2957"/>
      <c r="C50" s="2957"/>
      <c r="D50" s="2957"/>
      <c r="E50" s="2957"/>
      <c r="F50" s="2957"/>
      <c r="G50" s="2961"/>
      <c r="H50" s="2957"/>
      <c r="I50" s="2957"/>
      <c r="J50" s="2957"/>
      <c r="K50" s="2962"/>
      <c r="L50" s="2958"/>
      <c r="M50" s="2957"/>
      <c r="N50" s="2957"/>
      <c r="O50" s="2957"/>
    </row>
    <row r="51" spans="1:29">
      <c r="A51" s="2957"/>
      <c r="B51" s="2957"/>
      <c r="C51" s="2957"/>
      <c r="D51" s="2957"/>
      <c r="E51" s="2957"/>
      <c r="F51" s="2957"/>
      <c r="G51" s="2957"/>
      <c r="H51" s="2957"/>
      <c r="I51" s="2957"/>
      <c r="J51" s="2957"/>
      <c r="K51" s="2962"/>
      <c r="L51" s="2958"/>
      <c r="M51" s="2957"/>
      <c r="N51" s="2957"/>
      <c r="O51" s="2957"/>
    </row>
    <row r="52" spans="1:29" ht="13.5" customHeight="1">
      <c r="A52" s="2957"/>
      <c r="B52" s="2957"/>
      <c r="C52" s="458" t="s">
        <v>2410</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2"/>
      <c r="L52" s="2958"/>
      <c r="M52" s="2957"/>
      <c r="N52" s="2957"/>
      <c r="O52" s="2957"/>
    </row>
    <row r="53" spans="1:29" ht="13.5" customHeight="1">
      <c r="A53" s="2957"/>
      <c r="B53" s="2957"/>
      <c r="C53" s="458" t="s">
        <v>2411</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2"/>
      <c r="L53" s="2958"/>
      <c r="M53" s="2957"/>
      <c r="N53" s="2957"/>
      <c r="O53" s="2957"/>
    </row>
    <row r="54" spans="1:29" s="463" customFormat="1" ht="13.5" customHeight="1">
      <c r="A54" s="2960"/>
      <c r="B54" s="2960"/>
      <c r="C54" s="458" t="s">
        <v>2412</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5"/>
      <c r="L54" s="2959"/>
      <c r="M54" s="2960"/>
      <c r="N54" s="2960"/>
      <c r="O54" s="2960"/>
      <c r="P54" s="2109"/>
    </row>
    <row r="55" spans="1:29" s="463" customFormat="1">
      <c r="A55" s="2960"/>
      <c r="B55" s="2963"/>
      <c r="C55" s="2964"/>
      <c r="D55" s="2960"/>
      <c r="E55" s="2960"/>
      <c r="F55" s="2960"/>
      <c r="G55" s="2960"/>
      <c r="H55" s="2960"/>
      <c r="I55" s="2960"/>
      <c r="J55" s="2960"/>
      <c r="K55" s="2965"/>
      <c r="L55" s="2959"/>
      <c r="M55" s="2960"/>
      <c r="N55" s="2960"/>
      <c r="O55" s="2960"/>
      <c r="P55" s="2109"/>
    </row>
    <row r="56" spans="1:29">
      <c r="A56" s="2957"/>
      <c r="B56" s="2963"/>
      <c r="C56" s="2964"/>
      <c r="D56" s="2957"/>
      <c r="E56" s="2957"/>
      <c r="F56" s="2957"/>
      <c r="G56" s="2957"/>
      <c r="H56" s="2957"/>
      <c r="I56" s="2957"/>
      <c r="J56" s="2957"/>
      <c r="K56" s="2962"/>
      <c r="L56" s="2958"/>
      <c r="M56" s="2957"/>
      <c r="N56" s="2957"/>
      <c r="O56" s="2957"/>
    </row>
    <row r="57" spans="1:29" ht="22.2" thickBot="1">
      <c r="A57" s="707" t="s">
        <v>2413</v>
      </c>
      <c r="B57" s="703"/>
      <c r="C57" s="708"/>
      <c r="D57" s="708"/>
      <c r="E57" s="708"/>
      <c r="F57" s="709"/>
      <c r="G57" s="709"/>
      <c r="H57" s="708"/>
      <c r="I57" s="708"/>
      <c r="J57" s="708"/>
      <c r="K57" s="1076"/>
      <c r="L57" s="1077"/>
      <c r="M57" s="1075"/>
      <c r="N57" s="1075"/>
      <c r="O57" s="1075"/>
      <c r="P57" s="2110"/>
      <c r="Q57" s="465"/>
    </row>
    <row r="58" spans="1:29" s="469" customFormat="1" ht="14.4">
      <c r="A58" s="466" t="s">
        <v>2414</v>
      </c>
      <c r="B58" s="467"/>
      <c r="C58" s="1352" t="str">
        <f>YEAR(C7)&amp;"-"&amp;MONTH(C7)</f>
        <v>2020-8</v>
      </c>
      <c r="D58" s="1351">
        <f>EDATE(C58,-1)</f>
        <v>44013</v>
      </c>
      <c r="E58" s="1351">
        <f>EDATE(D58,-1)</f>
        <v>43983</v>
      </c>
      <c r="F58" s="1351">
        <f t="shared" ref="F58:O58" si="19">EDATE(E58,-1)</f>
        <v>43952</v>
      </c>
      <c r="G58" s="1351">
        <f t="shared" si="19"/>
        <v>43922</v>
      </c>
      <c r="H58" s="1351">
        <f t="shared" si="19"/>
        <v>43891</v>
      </c>
      <c r="I58" s="1351">
        <f t="shared" si="19"/>
        <v>43862</v>
      </c>
      <c r="J58" s="1351">
        <f t="shared" si="19"/>
        <v>43831</v>
      </c>
      <c r="K58" s="1351">
        <f t="shared" si="19"/>
        <v>43800</v>
      </c>
      <c r="L58" s="1351">
        <f t="shared" si="19"/>
        <v>43770</v>
      </c>
      <c r="M58" s="1351">
        <f t="shared" si="19"/>
        <v>43739</v>
      </c>
      <c r="N58" s="1351">
        <f t="shared" si="19"/>
        <v>43709</v>
      </c>
      <c r="O58" s="1351">
        <f t="shared" si="19"/>
        <v>43678</v>
      </c>
      <c r="P58" s="1347"/>
    </row>
    <row r="59" spans="1:29" s="117" customFormat="1">
      <c r="A59" s="470"/>
      <c r="B59" s="2111"/>
      <c r="C59" s="1349">
        <v>100</v>
      </c>
      <c r="D59" s="472"/>
      <c r="E59" s="473"/>
      <c r="F59" s="473"/>
      <c r="G59" s="473"/>
      <c r="H59" s="473"/>
      <c r="I59" s="473"/>
      <c r="J59" s="473"/>
      <c r="K59" s="473"/>
      <c r="L59" s="473"/>
      <c r="M59" s="474"/>
      <c r="N59" s="473"/>
      <c r="O59" s="474"/>
      <c r="P59" s="2112"/>
    </row>
    <row r="60" spans="1:29" s="117" customFormat="1" ht="15" thickBot="1">
      <c r="A60" s="476" t="s">
        <v>2415</v>
      </c>
      <c r="B60" s="477"/>
      <c r="C60" s="478"/>
      <c r="D60" s="479"/>
      <c r="E60" s="479"/>
      <c r="F60" s="479"/>
      <c r="G60" s="479"/>
      <c r="H60" s="479"/>
      <c r="I60" s="479"/>
      <c r="J60" s="479"/>
      <c r="K60" s="479"/>
      <c r="L60" s="479"/>
      <c r="M60" s="480"/>
      <c r="N60" s="479"/>
      <c r="O60" s="480"/>
      <c r="P60" s="2112"/>
      <c r="Q60" s="465"/>
    </row>
    <row r="61" spans="1:29" s="117" customFormat="1" ht="14.4">
      <c r="A61" s="482" t="s">
        <v>2416</v>
      </c>
      <c r="B61" s="471"/>
      <c r="C61" s="483" t="s">
        <v>2417</v>
      </c>
      <c r="D61" s="484"/>
      <c r="E61" s="484"/>
      <c r="F61" s="484"/>
      <c r="G61" s="484"/>
      <c r="H61" s="484"/>
      <c r="I61" s="484"/>
      <c r="J61" s="484"/>
      <c r="K61" s="484"/>
      <c r="L61" s="485"/>
      <c r="M61" s="486"/>
      <c r="N61" s="1067"/>
      <c r="O61" s="1067"/>
      <c r="P61" s="2113"/>
      <c r="Q61" s="465"/>
    </row>
    <row r="62" spans="1:29" s="117" customFormat="1" ht="14.4" thickBot="1">
      <c r="A62" s="482"/>
      <c r="B62" s="471"/>
      <c r="C62" s="472">
        <v>100</v>
      </c>
      <c r="D62" s="473"/>
      <c r="E62" s="473"/>
      <c r="F62" s="473"/>
      <c r="G62" s="473"/>
      <c r="H62" s="473"/>
      <c r="I62" s="473"/>
      <c r="J62" s="473"/>
      <c r="K62" s="473"/>
      <c r="L62" s="473"/>
      <c r="M62" s="475"/>
      <c r="N62" s="1067"/>
      <c r="O62" s="1067"/>
      <c r="P62" s="2112"/>
      <c r="Q62" s="465"/>
    </row>
    <row r="63" spans="1:29" ht="14.4">
      <c r="A63" s="488" t="s">
        <v>2418</v>
      </c>
      <c r="B63" s="489" t="s">
        <v>2384</v>
      </c>
      <c r="C63" s="490">
        <f>C9</f>
        <v>0</v>
      </c>
      <c r="D63" s="491"/>
      <c r="E63" s="491"/>
      <c r="F63" s="491"/>
      <c r="G63" s="491"/>
      <c r="H63" s="491"/>
      <c r="I63" s="491"/>
      <c r="J63" s="491"/>
      <c r="K63" s="492"/>
      <c r="L63" s="493"/>
      <c r="M63" s="494"/>
      <c r="N63" s="1068"/>
      <c r="O63" s="1068"/>
      <c r="P63" s="2114"/>
      <c r="Q63" s="465"/>
    </row>
    <row r="64" spans="1:29" ht="14.4" thickBot="1">
      <c r="A64" s="495"/>
      <c r="B64" s="496"/>
      <c r="C64" s="497">
        <v>100</v>
      </c>
      <c r="D64" s="497"/>
      <c r="E64" s="497"/>
      <c r="F64" s="497"/>
      <c r="G64" s="497"/>
      <c r="H64" s="497"/>
      <c r="I64" s="497"/>
      <c r="J64" s="497"/>
      <c r="K64" s="497"/>
      <c r="L64" s="497"/>
      <c r="M64" s="498"/>
      <c r="N64" s="1069"/>
      <c r="O64" s="1069"/>
      <c r="P64" s="2114"/>
      <c r="Q64" s="465"/>
    </row>
    <row r="65" spans="1:17" ht="29.4" thickTop="1">
      <c r="A65" s="495"/>
      <c r="B65" s="499" t="s">
        <v>2387</v>
      </c>
      <c r="C65" s="500" t="s">
        <v>2419</v>
      </c>
      <c r="D65" s="500" t="s">
        <v>2420</v>
      </c>
      <c r="E65" s="500" t="s">
        <v>2421</v>
      </c>
      <c r="F65" s="500" t="s">
        <v>2422</v>
      </c>
      <c r="G65" s="500" t="s">
        <v>2423</v>
      </c>
      <c r="H65" s="500" t="s">
        <v>2424</v>
      </c>
      <c r="I65" s="500" t="s">
        <v>2425</v>
      </c>
      <c r="J65" s="500"/>
      <c r="K65" s="501"/>
      <c r="L65" s="502"/>
      <c r="M65" s="503"/>
      <c r="N65" s="1068"/>
      <c r="O65" s="1068"/>
      <c r="P65" s="2114"/>
      <c r="Q65" s="465"/>
    </row>
    <row r="66" spans="1:17" ht="14.4" thickBot="1">
      <c r="A66" s="495"/>
      <c r="B66" s="504"/>
      <c r="C66" s="505">
        <v>100</v>
      </c>
      <c r="D66" s="505">
        <f t="shared" ref="D66:I66" si="20">C66-$K10</f>
        <v>100</v>
      </c>
      <c r="E66" s="505">
        <f t="shared" si="20"/>
        <v>100</v>
      </c>
      <c r="F66" s="505">
        <f t="shared" si="20"/>
        <v>100</v>
      </c>
      <c r="G66" s="505">
        <f t="shared" si="20"/>
        <v>100</v>
      </c>
      <c r="H66" s="505">
        <f t="shared" si="20"/>
        <v>100</v>
      </c>
      <c r="I66" s="505">
        <f t="shared" si="20"/>
        <v>100</v>
      </c>
      <c r="J66" s="505"/>
      <c r="K66" s="505"/>
      <c r="L66" s="505"/>
      <c r="M66" s="506"/>
      <c r="N66" s="1069"/>
      <c r="O66" s="1069"/>
      <c r="P66" s="2114"/>
      <c r="Q66" s="465"/>
    </row>
    <row r="67" spans="1:17" ht="15" thickTop="1">
      <c r="A67" s="495"/>
      <c r="B67" s="507" t="s">
        <v>2388</v>
      </c>
      <c r="C67" s="508" t="str">
        <f>C68&amp;"（含）"&amp;"-"&amp;D68</f>
        <v>（含）-</v>
      </c>
      <c r="D67" s="508" t="str">
        <f t="shared" ref="D67:L67" si="21">D68&amp;"（含）"&amp;"-"&amp;E68</f>
        <v>（含）-</v>
      </c>
      <c r="E67" s="508" t="str">
        <f t="shared" si="21"/>
        <v>（含）-</v>
      </c>
      <c r="F67" s="508" t="str">
        <f t="shared" si="21"/>
        <v>（含）-</v>
      </c>
      <c r="G67" s="508" t="str">
        <f t="shared" si="21"/>
        <v>（含）-</v>
      </c>
      <c r="H67" s="508" t="str">
        <f t="shared" si="21"/>
        <v>（含）-</v>
      </c>
      <c r="I67" s="508" t="str">
        <f t="shared" si="21"/>
        <v>（含）-</v>
      </c>
      <c r="J67" s="508" t="str">
        <f t="shared" si="21"/>
        <v>（含）-</v>
      </c>
      <c r="K67" s="508" t="str">
        <f>K68&amp;"（含）"&amp;"-"&amp;L68</f>
        <v>（含）-</v>
      </c>
      <c r="L67" s="508" t="str">
        <f t="shared" si="21"/>
        <v>（含）-</v>
      </c>
      <c r="M67" s="411" t="str">
        <f>M68&amp;"（含）"&amp;"-"&amp;P68</f>
        <v>（含）-</v>
      </c>
      <c r="N67" s="1069"/>
      <c r="O67" s="1069"/>
      <c r="P67" s="2114"/>
      <c r="Q67" s="465"/>
    </row>
    <row r="68" spans="1:17">
      <c r="A68" s="495"/>
      <c r="B68" s="509"/>
      <c r="C68" s="510"/>
      <c r="D68" s="510"/>
      <c r="E68" s="510"/>
      <c r="F68" s="510"/>
      <c r="G68" s="510"/>
      <c r="H68" s="510"/>
      <c r="I68" s="510"/>
      <c r="J68" s="510"/>
      <c r="K68" s="511"/>
      <c r="L68" s="512"/>
      <c r="M68" s="513"/>
      <c r="N68" s="1068"/>
      <c r="O68" s="1068"/>
      <c r="P68" s="2114"/>
      <c r="Q68" s="465"/>
    </row>
    <row r="69" spans="1:17" ht="14.4" thickBot="1">
      <c r="A69" s="495"/>
      <c r="B69" s="496"/>
      <c r="C69" s="505">
        <v>100</v>
      </c>
      <c r="D69" s="505">
        <f t="shared" ref="D69:M69" si="22">C69-$K11</f>
        <v>100</v>
      </c>
      <c r="E69" s="505">
        <f t="shared" si="22"/>
        <v>100</v>
      </c>
      <c r="F69" s="505">
        <f t="shared" si="22"/>
        <v>100</v>
      </c>
      <c r="G69" s="505">
        <f t="shared" si="22"/>
        <v>100</v>
      </c>
      <c r="H69" s="505">
        <f t="shared" si="22"/>
        <v>100</v>
      </c>
      <c r="I69" s="505">
        <f t="shared" si="22"/>
        <v>100</v>
      </c>
      <c r="J69" s="505">
        <f t="shared" si="22"/>
        <v>100</v>
      </c>
      <c r="K69" s="505">
        <f t="shared" si="22"/>
        <v>100</v>
      </c>
      <c r="L69" s="505">
        <f t="shared" si="22"/>
        <v>100</v>
      </c>
      <c r="M69" s="506">
        <f t="shared" si="22"/>
        <v>100</v>
      </c>
      <c r="N69" s="1069"/>
      <c r="O69" s="1069"/>
      <c r="P69" s="2114"/>
      <c r="Q69" s="465"/>
    </row>
    <row r="70" spans="1:17" s="434" customFormat="1" ht="14.4" thickTop="1">
      <c r="A70" s="514"/>
      <c r="B70" s="499">
        <f>B12</f>
        <v>111</v>
      </c>
      <c r="C70" s="515"/>
      <c r="D70" s="515"/>
      <c r="E70" s="515"/>
      <c r="F70" s="515"/>
      <c r="G70" s="515"/>
      <c r="H70" s="516"/>
      <c r="I70" s="516"/>
      <c r="J70" s="516"/>
      <c r="K70" s="516"/>
      <c r="L70" s="517"/>
      <c r="M70" s="518"/>
      <c r="N70" s="1070"/>
      <c r="O70" s="1070"/>
      <c r="P70" s="2115"/>
      <c r="Q70" s="520"/>
    </row>
    <row r="71" spans="1:17" s="434" customFormat="1" ht="14.4" thickBot="1">
      <c r="A71" s="514"/>
      <c r="B71" s="504"/>
      <c r="C71" s="521"/>
      <c r="D71" s="497"/>
      <c r="E71" s="497"/>
      <c r="F71" s="497"/>
      <c r="G71" s="497"/>
      <c r="H71" s="497"/>
      <c r="I71" s="497"/>
      <c r="J71" s="497"/>
      <c r="K71" s="497"/>
      <c r="L71" s="497"/>
      <c r="M71" s="498"/>
      <c r="N71" s="1069"/>
      <c r="O71" s="1069"/>
      <c r="P71" s="2115"/>
      <c r="Q71" s="520"/>
    </row>
    <row r="72" spans="1:17" s="434" customFormat="1" ht="14.4" thickTop="1">
      <c r="A72" s="514"/>
      <c r="B72" s="499">
        <f>B13</f>
        <v>111</v>
      </c>
      <c r="C72" s="515"/>
      <c r="D72" s="515"/>
      <c r="E72" s="515"/>
      <c r="F72" s="515"/>
      <c r="G72" s="515"/>
      <c r="H72" s="516"/>
      <c r="I72" s="516"/>
      <c r="J72" s="516"/>
      <c r="K72" s="516"/>
      <c r="L72" s="517"/>
      <c r="M72" s="518"/>
      <c r="N72" s="1070"/>
      <c r="O72" s="1070"/>
      <c r="P72" s="2116"/>
      <c r="Q72" s="522"/>
    </row>
    <row r="73" spans="1:17" s="434" customFormat="1" ht="14.4" thickBot="1">
      <c r="A73" s="514"/>
      <c r="B73" s="504"/>
      <c r="C73" s="521"/>
      <c r="D73" s="521"/>
      <c r="E73" s="521"/>
      <c r="F73" s="521"/>
      <c r="G73" s="521"/>
      <c r="H73" s="523"/>
      <c r="I73" s="523"/>
      <c r="J73" s="523"/>
      <c r="K73" s="523"/>
      <c r="L73" s="523"/>
      <c r="M73" s="524"/>
      <c r="N73" s="1070"/>
      <c r="O73" s="1070"/>
      <c r="P73" s="2115"/>
      <c r="Q73" s="520"/>
    </row>
    <row r="74" spans="1:17" s="434" customFormat="1" ht="14.4" thickTop="1">
      <c r="A74" s="514"/>
      <c r="B74" s="507">
        <f>B14</f>
        <v>111</v>
      </c>
      <c r="C74" s="515"/>
      <c r="D74" s="515"/>
      <c r="E74" s="515"/>
      <c r="F74" s="515"/>
      <c r="G74" s="484"/>
      <c r="H74" s="525"/>
      <c r="I74" s="525"/>
      <c r="J74" s="525"/>
      <c r="K74" s="525"/>
      <c r="L74" s="526"/>
      <c r="M74" s="527"/>
      <c r="N74" s="1070"/>
      <c r="O74" s="1070"/>
      <c r="P74" s="2117"/>
      <c r="Q74" s="520"/>
    </row>
    <row r="75" spans="1:17" s="434" customFormat="1" ht="14.4" thickBot="1">
      <c r="A75" s="529"/>
      <c r="B75" s="530"/>
      <c r="C75" s="531"/>
      <c r="D75" s="531"/>
      <c r="E75" s="531"/>
      <c r="F75" s="531"/>
      <c r="G75" s="531"/>
      <c r="H75" s="532"/>
      <c r="I75" s="532"/>
      <c r="J75" s="532"/>
      <c r="K75" s="532"/>
      <c r="L75" s="532"/>
      <c r="M75" s="533"/>
      <c r="N75" s="1070"/>
      <c r="O75" s="1070"/>
      <c r="P75" s="2115"/>
      <c r="Q75" s="520"/>
    </row>
    <row r="76" spans="1:17" ht="14.4">
      <c r="A76" s="488" t="s">
        <v>2389</v>
      </c>
      <c r="B76" s="489" t="s">
        <v>2426</v>
      </c>
      <c r="C76" s="534" t="s">
        <v>2427</v>
      </c>
      <c r="D76" s="534" t="s">
        <v>2428</v>
      </c>
      <c r="E76" s="534" t="s">
        <v>2429</v>
      </c>
      <c r="F76" s="534" t="s">
        <v>2430</v>
      </c>
      <c r="G76" s="534" t="s">
        <v>2431</v>
      </c>
      <c r="H76" s="490"/>
      <c r="I76" s="490"/>
      <c r="J76" s="490"/>
      <c r="K76" s="535"/>
      <c r="L76" s="536"/>
      <c r="M76" s="537"/>
      <c r="N76" s="1068"/>
      <c r="O76" s="1068"/>
      <c r="P76" s="2118"/>
      <c r="Q76" s="465"/>
    </row>
    <row r="77" spans="1:17" ht="14.4" thickBot="1">
      <c r="A77" s="495"/>
      <c r="B77" s="504"/>
      <c r="C77" s="505">
        <v>100</v>
      </c>
      <c r="D77" s="505">
        <f>C77-$K15</f>
        <v>100</v>
      </c>
      <c r="E77" s="505">
        <f>D77-$K15</f>
        <v>100</v>
      </c>
      <c r="F77" s="505">
        <f>E77-$K15</f>
        <v>100</v>
      </c>
      <c r="G77" s="505">
        <f>F77-$K15</f>
        <v>100</v>
      </c>
      <c r="H77" s="505"/>
      <c r="I77" s="505"/>
      <c r="J77" s="505"/>
      <c r="K77" s="505"/>
      <c r="L77" s="505"/>
      <c r="M77" s="506"/>
      <c r="N77" s="1069"/>
      <c r="O77" s="1069"/>
      <c r="P77" s="2114"/>
      <c r="Q77" s="465"/>
    </row>
    <row r="78" spans="1:17" ht="15" thickTop="1">
      <c r="A78" s="495"/>
      <c r="B78" s="499" t="s">
        <v>2432</v>
      </c>
      <c r="C78" s="539" t="s">
        <v>2427</v>
      </c>
      <c r="D78" s="539" t="s">
        <v>2428</v>
      </c>
      <c r="E78" s="539" t="s">
        <v>2429</v>
      </c>
      <c r="F78" s="539" t="s">
        <v>2430</v>
      </c>
      <c r="G78" s="539" t="s">
        <v>2431</v>
      </c>
      <c r="H78" s="500"/>
      <c r="I78" s="500"/>
      <c r="J78" s="500"/>
      <c r="K78" s="501"/>
      <c r="L78" s="502"/>
      <c r="M78" s="503"/>
      <c r="N78" s="1068"/>
      <c r="O78" s="1068"/>
      <c r="P78" s="2114"/>
      <c r="Q78" s="465"/>
    </row>
    <row r="79" spans="1:17" ht="14.4" thickBot="1">
      <c r="A79" s="495"/>
      <c r="B79" s="504"/>
      <c r="C79" s="505">
        <v>100</v>
      </c>
      <c r="D79" s="505">
        <f>C79-$K17</f>
        <v>100</v>
      </c>
      <c r="E79" s="505">
        <f>D79-$K17</f>
        <v>100</v>
      </c>
      <c r="F79" s="505">
        <f>E79-$K17</f>
        <v>100</v>
      </c>
      <c r="G79" s="505">
        <f>F79-$K17</f>
        <v>100</v>
      </c>
      <c r="H79" s="505"/>
      <c r="I79" s="505"/>
      <c r="J79" s="505"/>
      <c r="K79" s="505"/>
      <c r="L79" s="505"/>
      <c r="M79" s="506"/>
      <c r="N79" s="1069"/>
      <c r="O79" s="1069"/>
      <c r="P79" s="2114"/>
      <c r="Q79" s="465"/>
    </row>
    <row r="80" spans="1:17" ht="15" thickTop="1">
      <c r="A80" s="495"/>
      <c r="B80" s="499" t="s">
        <v>2433</v>
      </c>
      <c r="C80" s="539" t="s">
        <v>2427</v>
      </c>
      <c r="D80" s="539" t="s">
        <v>2428</v>
      </c>
      <c r="E80" s="539" t="s">
        <v>2429</v>
      </c>
      <c r="F80" s="539" t="s">
        <v>2430</v>
      </c>
      <c r="G80" s="539" t="s">
        <v>2431</v>
      </c>
      <c r="H80" s="500"/>
      <c r="I80" s="500"/>
      <c r="J80" s="500"/>
      <c r="K80" s="501"/>
      <c r="L80" s="502"/>
      <c r="M80" s="503"/>
      <c r="N80" s="1068"/>
      <c r="O80" s="1068"/>
      <c r="P80" s="2114"/>
      <c r="Q80" s="465"/>
    </row>
    <row r="81" spans="1:17" ht="14.4" thickBot="1">
      <c r="A81" s="495"/>
      <c r="B81" s="504"/>
      <c r="C81" s="505">
        <v>100</v>
      </c>
      <c r="D81" s="505">
        <f>C81-$K19</f>
        <v>100</v>
      </c>
      <c r="E81" s="505">
        <f>D81-$K19</f>
        <v>100</v>
      </c>
      <c r="F81" s="505">
        <f>E81-$K19</f>
        <v>100</v>
      </c>
      <c r="G81" s="505">
        <f>F81-$K19</f>
        <v>100</v>
      </c>
      <c r="H81" s="505"/>
      <c r="I81" s="505"/>
      <c r="J81" s="505"/>
      <c r="K81" s="505"/>
      <c r="L81" s="505"/>
      <c r="M81" s="506"/>
      <c r="N81" s="1069"/>
      <c r="O81" s="1069"/>
      <c r="P81" s="2114"/>
      <c r="Q81" s="465"/>
    </row>
    <row r="82" spans="1:17" ht="15" thickTop="1">
      <c r="A82" s="495"/>
      <c r="B82" s="507" t="s">
        <v>1948</v>
      </c>
      <c r="C82" s="500" t="s">
        <v>2434</v>
      </c>
      <c r="D82" s="500" t="s">
        <v>2435</v>
      </c>
      <c r="E82" s="500" t="s">
        <v>2436</v>
      </c>
      <c r="F82" s="500" t="s">
        <v>2437</v>
      </c>
      <c r="G82" s="500" t="s">
        <v>2438</v>
      </c>
      <c r="H82" s="500"/>
      <c r="I82" s="500"/>
      <c r="J82" s="500"/>
      <c r="K82" s="500"/>
      <c r="L82" s="500"/>
      <c r="M82" s="1295"/>
      <c r="N82" s="1069"/>
      <c r="O82" s="1069"/>
      <c r="P82" s="2114"/>
      <c r="Q82" s="465"/>
    </row>
    <row r="83" spans="1:17" ht="14.4" thickBot="1">
      <c r="A83" s="495"/>
      <c r="B83" s="507"/>
      <c r="C83" s="620">
        <v>100</v>
      </c>
      <c r="D83" s="620">
        <f>C83-$K21</f>
        <v>100</v>
      </c>
      <c r="E83" s="620">
        <f t="shared" ref="E83:G83" si="23">D83-$K21</f>
        <v>100</v>
      </c>
      <c r="F83" s="620">
        <f t="shared" si="23"/>
        <v>100</v>
      </c>
      <c r="G83" s="620">
        <f t="shared" si="23"/>
        <v>100</v>
      </c>
      <c r="H83" s="620"/>
      <c r="I83" s="620"/>
      <c r="J83" s="620"/>
      <c r="K83" s="620"/>
      <c r="L83" s="620"/>
      <c r="M83" s="413"/>
      <c r="N83" s="1069"/>
      <c r="O83" s="1069"/>
      <c r="P83" s="2114"/>
      <c r="Q83" s="465"/>
    </row>
    <row r="84" spans="1:17" ht="15" thickTop="1">
      <c r="A84" s="495"/>
      <c r="B84" s="499" t="s">
        <v>2439</v>
      </c>
      <c r="C84" s="539" t="s">
        <v>2427</v>
      </c>
      <c r="D84" s="539" t="s">
        <v>2428</v>
      </c>
      <c r="E84" s="539" t="s">
        <v>2429</v>
      </c>
      <c r="F84" s="539" t="s">
        <v>2430</v>
      </c>
      <c r="G84" s="539" t="s">
        <v>2431</v>
      </c>
      <c r="H84" s="500"/>
      <c r="I84" s="500"/>
      <c r="J84" s="500"/>
      <c r="K84" s="501"/>
      <c r="L84" s="502"/>
      <c r="M84" s="503"/>
      <c r="N84" s="1068"/>
      <c r="O84" s="1068"/>
      <c r="P84" s="2114"/>
      <c r="Q84" s="465"/>
    </row>
    <row r="85" spans="1:17" ht="14.4" thickBot="1">
      <c r="A85" s="495"/>
      <c r="B85" s="504"/>
      <c r="C85" s="505">
        <v>100</v>
      </c>
      <c r="D85" s="505">
        <f>C85-$K23</f>
        <v>100</v>
      </c>
      <c r="E85" s="505">
        <f>D85-$K23</f>
        <v>100</v>
      </c>
      <c r="F85" s="505">
        <f>E85-$K23</f>
        <v>100</v>
      </c>
      <c r="G85" s="505">
        <f>F85-$K23</f>
        <v>100</v>
      </c>
      <c r="H85" s="505"/>
      <c r="I85" s="505"/>
      <c r="J85" s="505"/>
      <c r="K85" s="505"/>
      <c r="L85" s="505"/>
      <c r="M85" s="506"/>
      <c r="N85" s="1069"/>
      <c r="O85" s="1069"/>
      <c r="P85" s="2114"/>
      <c r="Q85" s="465"/>
    </row>
    <row r="86" spans="1:17" s="117" customFormat="1" ht="15" thickTop="1">
      <c r="A86" s="540"/>
      <c r="B86" s="499" t="s">
        <v>2440</v>
      </c>
      <c r="C86" s="515"/>
      <c r="D86" s="515"/>
      <c r="E86" s="515"/>
      <c r="F86" s="515"/>
      <c r="G86" s="515"/>
      <c r="H86" s="515"/>
      <c r="I86" s="515"/>
      <c r="J86" s="515"/>
      <c r="K86" s="515"/>
      <c r="L86" s="541"/>
      <c r="M86" s="542"/>
      <c r="N86" s="1067"/>
      <c r="O86" s="1067"/>
      <c r="P86" s="2114"/>
      <c r="Q86" s="465"/>
    </row>
    <row r="87" spans="1:17" s="117" customFormat="1" ht="14.4" thickBot="1">
      <c r="A87" s="540"/>
      <c r="B87" s="504"/>
      <c r="C87" s="543">
        <v>100</v>
      </c>
      <c r="D87" s="505">
        <f t="shared" ref="D87:M87" si="24">$C$87-($C$86-D86)*$K$25</f>
        <v>100</v>
      </c>
      <c r="E87" s="505">
        <f t="shared" si="24"/>
        <v>100</v>
      </c>
      <c r="F87" s="505">
        <f t="shared" si="24"/>
        <v>100</v>
      </c>
      <c r="G87" s="505">
        <f t="shared" si="24"/>
        <v>100</v>
      </c>
      <c r="H87" s="505">
        <f t="shared" si="24"/>
        <v>100</v>
      </c>
      <c r="I87" s="505">
        <f t="shared" si="24"/>
        <v>100</v>
      </c>
      <c r="J87" s="505">
        <f t="shared" si="24"/>
        <v>100</v>
      </c>
      <c r="K87" s="505">
        <f t="shared" si="24"/>
        <v>100</v>
      </c>
      <c r="L87" s="505">
        <f t="shared" si="24"/>
        <v>100</v>
      </c>
      <c r="M87" s="505">
        <f t="shared" si="24"/>
        <v>100</v>
      </c>
      <c r="N87" s="1069"/>
      <c r="O87" s="1069"/>
      <c r="P87" s="2114"/>
      <c r="Q87" s="465"/>
    </row>
    <row r="88" spans="1:17" s="117" customFormat="1" ht="15" thickTop="1">
      <c r="A88" s="540"/>
      <c r="B88" s="499" t="s">
        <v>2441</v>
      </c>
      <c r="C88" s="515"/>
      <c r="D88" s="515"/>
      <c r="E88" s="515"/>
      <c r="F88" s="2119"/>
      <c r="G88" s="515"/>
      <c r="H88" s="515"/>
      <c r="I88" s="515"/>
      <c r="J88" s="515"/>
      <c r="K88" s="515"/>
      <c r="L88" s="515"/>
      <c r="M88" s="542"/>
      <c r="N88" s="1067"/>
      <c r="O88" s="1067"/>
      <c r="P88" s="2114"/>
      <c r="Q88" s="465"/>
    </row>
    <row r="89" spans="1:17" s="117" customFormat="1" ht="14.4" thickBot="1">
      <c r="A89" s="540"/>
      <c r="B89" s="504"/>
      <c r="C89" s="543">
        <v>100</v>
      </c>
      <c r="D89" s="505">
        <f t="shared" ref="D89:M89" si="25">C89-$K26</f>
        <v>100</v>
      </c>
      <c r="E89" s="505">
        <f t="shared" si="25"/>
        <v>100</v>
      </c>
      <c r="F89" s="505">
        <f t="shared" si="25"/>
        <v>100</v>
      </c>
      <c r="G89" s="505">
        <f t="shared" si="25"/>
        <v>100</v>
      </c>
      <c r="H89" s="505">
        <f t="shared" si="25"/>
        <v>100</v>
      </c>
      <c r="I89" s="505">
        <f t="shared" si="25"/>
        <v>100</v>
      </c>
      <c r="J89" s="505">
        <f t="shared" si="25"/>
        <v>100</v>
      </c>
      <c r="K89" s="505">
        <f t="shared" si="25"/>
        <v>100</v>
      </c>
      <c r="L89" s="505">
        <f t="shared" si="25"/>
        <v>100</v>
      </c>
      <c r="M89" s="505">
        <f t="shared" si="25"/>
        <v>100</v>
      </c>
      <c r="N89" s="1069"/>
      <c r="O89" s="1069"/>
      <c r="P89" s="2114"/>
      <c r="Q89" s="465"/>
    </row>
    <row r="90" spans="1:17" s="434" customFormat="1" ht="14.4" thickTop="1">
      <c r="A90" s="514"/>
      <c r="B90" s="499">
        <f>B27</f>
        <v>111</v>
      </c>
      <c r="C90" s="515"/>
      <c r="D90" s="515"/>
      <c r="E90" s="515"/>
      <c r="F90" s="515"/>
      <c r="G90" s="515"/>
      <c r="H90" s="516"/>
      <c r="I90" s="516"/>
      <c r="J90" s="516"/>
      <c r="K90" s="516"/>
      <c r="L90" s="517"/>
      <c r="M90" s="518"/>
      <c r="N90" s="1070"/>
      <c r="O90" s="1070"/>
      <c r="P90" s="2115"/>
      <c r="Q90" s="520"/>
    </row>
    <row r="91" spans="1:17" s="434" customFormat="1" ht="14.4" thickBot="1">
      <c r="A91" s="514"/>
      <c r="B91" s="504"/>
      <c r="C91" s="521"/>
      <c r="D91" s="521"/>
      <c r="E91" s="521"/>
      <c r="F91" s="521"/>
      <c r="G91" s="521"/>
      <c r="H91" s="523"/>
      <c r="I91" s="523"/>
      <c r="J91" s="523"/>
      <c r="K91" s="523"/>
      <c r="L91" s="523"/>
      <c r="M91" s="524"/>
      <c r="N91" s="1070"/>
      <c r="O91" s="1070"/>
      <c r="P91" s="2115"/>
      <c r="Q91" s="520"/>
    </row>
    <row r="92" spans="1:17" ht="14.4" thickTop="1">
      <c r="A92" s="495"/>
      <c r="B92" s="499">
        <f>B28</f>
        <v>111</v>
      </c>
      <c r="C92" s="515"/>
      <c r="D92" s="515"/>
      <c r="E92" s="515"/>
      <c r="F92" s="515"/>
      <c r="G92" s="544"/>
      <c r="H92" s="544"/>
      <c r="I92" s="544"/>
      <c r="J92" s="544"/>
      <c r="K92" s="545"/>
      <c r="L92" s="546"/>
      <c r="M92" s="547"/>
      <c r="N92" s="1068"/>
      <c r="O92" s="1068"/>
      <c r="P92" s="2114"/>
      <c r="Q92" s="465"/>
    </row>
    <row r="93" spans="1:17" ht="14.4" thickBot="1">
      <c r="A93" s="495"/>
      <c r="B93" s="504"/>
      <c r="C93" s="521"/>
      <c r="D93" s="497"/>
      <c r="E93" s="497"/>
      <c r="F93" s="497"/>
      <c r="G93" s="497"/>
      <c r="H93" s="497"/>
      <c r="I93" s="497"/>
      <c r="J93" s="497"/>
      <c r="K93" s="497"/>
      <c r="L93" s="497"/>
      <c r="M93" s="498"/>
      <c r="N93" s="1069"/>
      <c r="O93" s="1069"/>
      <c r="P93" s="2114"/>
      <c r="Q93" s="465"/>
    </row>
    <row r="94" spans="1:17" ht="14.4" thickTop="1">
      <c r="A94" s="495"/>
      <c r="B94" s="499">
        <f>B29</f>
        <v>111</v>
      </c>
      <c r="C94" s="515"/>
      <c r="D94" s="515"/>
      <c r="E94" s="515"/>
      <c r="F94" s="515"/>
      <c r="G94" s="544"/>
      <c r="H94" s="544"/>
      <c r="I94" s="544"/>
      <c r="J94" s="544"/>
      <c r="K94" s="545"/>
      <c r="L94" s="546"/>
      <c r="M94" s="547"/>
      <c r="N94" s="1068"/>
      <c r="O94" s="1068"/>
      <c r="P94" s="2114"/>
      <c r="Q94" s="465"/>
    </row>
    <row r="95" spans="1:17" ht="14.4" thickBot="1">
      <c r="A95" s="495"/>
      <c r="B95" s="504"/>
      <c r="C95" s="521"/>
      <c r="D95" s="521"/>
      <c r="E95" s="521"/>
      <c r="F95" s="521"/>
      <c r="G95" s="497"/>
      <c r="H95" s="497"/>
      <c r="I95" s="497"/>
      <c r="J95" s="497"/>
      <c r="K95" s="497"/>
      <c r="L95" s="497"/>
      <c r="M95" s="498"/>
      <c r="N95" s="1069"/>
      <c r="O95" s="1069"/>
      <c r="P95" s="2114"/>
      <c r="Q95" s="465"/>
    </row>
    <row r="96" spans="1:17" ht="14.4" thickTop="1">
      <c r="A96" s="495"/>
      <c r="B96" s="499">
        <f>B30</f>
        <v>111</v>
      </c>
      <c r="C96" s="515"/>
      <c r="D96" s="515"/>
      <c r="E96" s="515"/>
      <c r="F96" s="515"/>
      <c r="G96" s="544"/>
      <c r="H96" s="544"/>
      <c r="I96" s="544"/>
      <c r="J96" s="544"/>
      <c r="K96" s="545"/>
      <c r="L96" s="546"/>
      <c r="M96" s="547"/>
      <c r="N96" s="1068"/>
      <c r="O96" s="1068"/>
      <c r="P96" s="2114"/>
      <c r="Q96" s="465"/>
    </row>
    <row r="97" spans="1:17" ht="14.4" thickBot="1">
      <c r="A97" s="495"/>
      <c r="B97" s="504"/>
      <c r="C97" s="531"/>
      <c r="D97" s="531"/>
      <c r="E97" s="531"/>
      <c r="F97" s="531"/>
      <c r="G97" s="497"/>
      <c r="H97" s="497"/>
      <c r="I97" s="497"/>
      <c r="J97" s="497"/>
      <c r="K97" s="497"/>
      <c r="L97" s="497"/>
      <c r="M97" s="498"/>
      <c r="N97" s="1069"/>
      <c r="O97" s="1069"/>
      <c r="P97" s="2114"/>
      <c r="Q97" s="465"/>
    </row>
    <row r="98" spans="1:17" ht="14.4" thickTop="1">
      <c r="A98" s="495"/>
      <c r="B98" s="507">
        <f>B31</f>
        <v>111</v>
      </c>
      <c r="C98" s="548"/>
      <c r="D98" s="548"/>
      <c r="E98" s="548"/>
      <c r="F98" s="548"/>
      <c r="G98" s="548"/>
      <c r="H98" s="548"/>
      <c r="I98" s="548"/>
      <c r="J98" s="548"/>
      <c r="K98" s="549"/>
      <c r="L98" s="550"/>
      <c r="M98" s="551"/>
      <c r="N98" s="1068"/>
      <c r="O98" s="1068"/>
      <c r="P98" s="2114"/>
      <c r="Q98" s="465"/>
    </row>
    <row r="99" spans="1:17" ht="14.4" thickBot="1">
      <c r="A99" s="2120"/>
      <c r="B99" s="530"/>
      <c r="C99" s="552"/>
      <c r="D99" s="552"/>
      <c r="E99" s="552"/>
      <c r="F99" s="552"/>
      <c r="G99" s="552"/>
      <c r="H99" s="552"/>
      <c r="I99" s="552"/>
      <c r="J99" s="552"/>
      <c r="K99" s="552"/>
      <c r="L99" s="552"/>
      <c r="M99" s="553"/>
      <c r="N99" s="1069"/>
      <c r="O99" s="1069"/>
      <c r="P99" s="2114"/>
      <c r="Q99" s="465"/>
    </row>
    <row r="100" spans="1:17" ht="14.4">
      <c r="A100" s="488" t="s">
        <v>2393</v>
      </c>
      <c r="B100" s="489" t="s">
        <v>2442</v>
      </c>
      <c r="C100" s="491"/>
      <c r="D100" s="491"/>
      <c r="E100" s="491"/>
      <c r="F100" s="491"/>
      <c r="G100" s="491"/>
      <c r="H100" s="491"/>
      <c r="I100" s="491"/>
      <c r="J100" s="491"/>
      <c r="K100" s="492"/>
      <c r="L100" s="493"/>
      <c r="M100" s="494"/>
      <c r="N100" s="1068"/>
      <c r="O100" s="1068"/>
      <c r="P100" s="2114"/>
      <c r="Q100" s="465"/>
    </row>
    <row r="101" spans="1:17" ht="14.4" thickBot="1">
      <c r="A101" s="495"/>
      <c r="B101" s="504"/>
      <c r="C101" s="505">
        <v>100</v>
      </c>
      <c r="D101" s="505">
        <f t="shared" ref="D101:M101" si="26">C101-$K32</f>
        <v>100</v>
      </c>
      <c r="E101" s="505">
        <f t="shared" si="26"/>
        <v>100</v>
      </c>
      <c r="F101" s="505">
        <f t="shared" si="26"/>
        <v>100</v>
      </c>
      <c r="G101" s="505">
        <f t="shared" si="26"/>
        <v>100</v>
      </c>
      <c r="H101" s="505">
        <f t="shared" si="26"/>
        <v>100</v>
      </c>
      <c r="I101" s="505">
        <f t="shared" si="26"/>
        <v>100</v>
      </c>
      <c r="J101" s="505">
        <f t="shared" si="26"/>
        <v>100</v>
      </c>
      <c r="K101" s="505">
        <f t="shared" si="26"/>
        <v>100</v>
      </c>
      <c r="L101" s="505">
        <f t="shared" si="26"/>
        <v>100</v>
      </c>
      <c r="M101" s="505">
        <f t="shared" si="26"/>
        <v>100</v>
      </c>
      <c r="N101" s="1069"/>
      <c r="O101" s="1069"/>
      <c r="P101" s="2114"/>
      <c r="Q101" s="465"/>
    </row>
    <row r="102" spans="1:17" ht="15" thickTop="1">
      <c r="A102" s="495"/>
      <c r="B102" s="499" t="s">
        <v>2443</v>
      </c>
      <c r="C102" s="539" t="str">
        <f>C103&amp;"(含)"&amp;"-"&amp;D103</f>
        <v>(含)-</v>
      </c>
      <c r="D102" s="539" t="str">
        <f t="shared" ref="D102:L102" si="27">D103&amp;"(含)"&amp;"-"&amp;E103</f>
        <v>(含)-</v>
      </c>
      <c r="E102" s="539" t="str">
        <f t="shared" si="27"/>
        <v>(含)-</v>
      </c>
      <c r="F102" s="539" t="str">
        <f t="shared" si="27"/>
        <v>(含)-</v>
      </c>
      <c r="G102" s="539" t="str">
        <f t="shared" si="27"/>
        <v>(含)-</v>
      </c>
      <c r="H102" s="539" t="str">
        <f t="shared" si="27"/>
        <v>(含)-</v>
      </c>
      <c r="I102" s="539" t="str">
        <f t="shared" si="27"/>
        <v>(含)-</v>
      </c>
      <c r="J102" s="539" t="str">
        <f t="shared" si="27"/>
        <v>(含)-</v>
      </c>
      <c r="K102" s="539" t="str">
        <f>K103&amp;"(含)"&amp;"-"&amp;L103</f>
        <v>(含)-</v>
      </c>
      <c r="L102" s="539" t="str">
        <f t="shared" si="27"/>
        <v>(含)-</v>
      </c>
      <c r="M102" s="539" t="str">
        <f>M103&amp;"(含)"&amp;"-"&amp;P103</f>
        <v>(含)-</v>
      </c>
      <c r="N102" s="1067"/>
      <c r="O102" s="1067"/>
      <c r="P102" s="2114"/>
      <c r="Q102" s="465"/>
    </row>
    <row r="103" spans="1:17" s="434" customFormat="1">
      <c r="A103" s="554"/>
      <c r="B103" s="555"/>
      <c r="C103" s="556"/>
      <c r="D103" s="556"/>
      <c r="E103" s="556"/>
      <c r="F103" s="556"/>
      <c r="G103" s="556"/>
      <c r="H103" s="556"/>
      <c r="I103" s="556"/>
      <c r="J103" s="557"/>
      <c r="K103" s="557"/>
      <c r="L103" s="558"/>
      <c r="M103" s="559"/>
      <c r="N103" s="1070"/>
      <c r="O103" s="1070"/>
      <c r="P103" s="2115"/>
      <c r="Q103" s="520"/>
    </row>
    <row r="104" spans="1:17" s="434" customFormat="1" ht="14.4" thickBot="1">
      <c r="A104" s="514"/>
      <c r="B104" s="504"/>
      <c r="C104" s="521"/>
      <c r="D104" s="497"/>
      <c r="E104" s="497"/>
      <c r="F104" s="497"/>
      <c r="G104" s="497"/>
      <c r="H104" s="497"/>
      <c r="I104" s="497"/>
      <c r="J104" s="497"/>
      <c r="K104" s="497"/>
      <c r="L104" s="497"/>
      <c r="M104" s="497"/>
      <c r="N104" s="1069"/>
      <c r="O104" s="1069"/>
      <c r="P104" s="2115"/>
      <c r="Q104" s="520"/>
    </row>
    <row r="105" spans="1:17" ht="15" thickTop="1">
      <c r="A105" s="560"/>
      <c r="B105" s="499" t="s">
        <v>2444</v>
      </c>
      <c r="C105" s="515"/>
      <c r="D105" s="515"/>
      <c r="E105" s="544"/>
      <c r="F105" s="544"/>
      <c r="G105" s="544"/>
      <c r="H105" s="544"/>
      <c r="I105" s="544"/>
      <c r="J105" s="544"/>
      <c r="K105" s="545"/>
      <c r="L105" s="546"/>
      <c r="M105" s="547"/>
      <c r="N105" s="1068"/>
      <c r="O105" s="1068"/>
      <c r="P105" s="2114"/>
      <c r="Q105" s="465"/>
    </row>
    <row r="106" spans="1:17" ht="14.4" thickBot="1">
      <c r="A106" s="495"/>
      <c r="B106" s="504"/>
      <c r="C106" s="505">
        <v>100</v>
      </c>
      <c r="D106" s="505">
        <f t="shared" ref="D106:M106" si="28">C106-$K34</f>
        <v>100</v>
      </c>
      <c r="E106" s="505">
        <f t="shared" si="28"/>
        <v>100</v>
      </c>
      <c r="F106" s="505">
        <f t="shared" si="28"/>
        <v>100</v>
      </c>
      <c r="G106" s="505">
        <f t="shared" si="28"/>
        <v>100</v>
      </c>
      <c r="H106" s="505">
        <f t="shared" si="28"/>
        <v>100</v>
      </c>
      <c r="I106" s="505">
        <f t="shared" si="28"/>
        <v>100</v>
      </c>
      <c r="J106" s="505">
        <f t="shared" si="28"/>
        <v>100</v>
      </c>
      <c r="K106" s="505">
        <f t="shared" si="28"/>
        <v>100</v>
      </c>
      <c r="L106" s="505">
        <f t="shared" si="28"/>
        <v>100</v>
      </c>
      <c r="M106" s="505">
        <f t="shared" si="28"/>
        <v>100</v>
      </c>
      <c r="N106" s="1069"/>
      <c r="O106" s="1069"/>
      <c r="P106" s="2114"/>
      <c r="Q106" s="465"/>
    </row>
    <row r="107" spans="1:17" ht="15" thickTop="1">
      <c r="A107" s="560"/>
      <c r="B107" s="499" t="s">
        <v>2445</v>
      </c>
      <c r="C107" s="544"/>
      <c r="D107" s="544"/>
      <c r="E107" s="544"/>
      <c r="F107" s="544"/>
      <c r="G107" s="544"/>
      <c r="H107" s="544"/>
      <c r="I107" s="544"/>
      <c r="J107" s="544"/>
      <c r="K107" s="545"/>
      <c r="L107" s="546"/>
      <c r="M107" s="547"/>
      <c r="N107" s="1068"/>
      <c r="O107" s="1068"/>
      <c r="P107" s="2114"/>
      <c r="Q107" s="465"/>
    </row>
    <row r="108" spans="1:17" ht="14.4" thickBot="1">
      <c r="A108" s="495"/>
      <c r="B108" s="504"/>
      <c r="C108" s="505">
        <v>100</v>
      </c>
      <c r="D108" s="505">
        <f t="shared" ref="D108:M108" si="29">C108-$K35</f>
        <v>100</v>
      </c>
      <c r="E108" s="505">
        <f t="shared" si="29"/>
        <v>100</v>
      </c>
      <c r="F108" s="505">
        <f t="shared" si="29"/>
        <v>100</v>
      </c>
      <c r="G108" s="505">
        <f t="shared" si="29"/>
        <v>100</v>
      </c>
      <c r="H108" s="505">
        <f t="shared" si="29"/>
        <v>100</v>
      </c>
      <c r="I108" s="505">
        <f t="shared" si="29"/>
        <v>100</v>
      </c>
      <c r="J108" s="505">
        <f t="shared" si="29"/>
        <v>100</v>
      </c>
      <c r="K108" s="505">
        <f t="shared" si="29"/>
        <v>100</v>
      </c>
      <c r="L108" s="505">
        <f t="shared" si="29"/>
        <v>100</v>
      </c>
      <c r="M108" s="505">
        <f t="shared" si="29"/>
        <v>100</v>
      </c>
      <c r="N108" s="1069"/>
      <c r="O108" s="1069"/>
      <c r="P108" s="2114"/>
      <c r="Q108" s="465"/>
    </row>
    <row r="109" spans="1:17" ht="15" thickTop="1">
      <c r="A109" s="560"/>
      <c r="B109" s="499" t="s">
        <v>2446</v>
      </c>
      <c r="C109" s="515"/>
      <c r="D109" s="515"/>
      <c r="E109" s="515"/>
      <c r="F109" s="544"/>
      <c r="G109" s="544"/>
      <c r="H109" s="544"/>
      <c r="I109" s="544"/>
      <c r="J109" s="544"/>
      <c r="K109" s="545"/>
      <c r="L109" s="546"/>
      <c r="M109" s="547"/>
      <c r="N109" s="1068"/>
      <c r="O109" s="1068"/>
      <c r="P109" s="2114"/>
      <c r="Q109" s="465"/>
    </row>
    <row r="110" spans="1:17" ht="14.4" thickBot="1">
      <c r="A110" s="495"/>
      <c r="B110" s="504"/>
      <c r="C110" s="505">
        <v>100</v>
      </c>
      <c r="D110" s="505">
        <f t="shared" ref="D110:M110" si="30">C110-$K36</f>
        <v>100</v>
      </c>
      <c r="E110" s="505">
        <f t="shared" si="30"/>
        <v>100</v>
      </c>
      <c r="F110" s="505">
        <f t="shared" si="30"/>
        <v>100</v>
      </c>
      <c r="G110" s="505">
        <f t="shared" si="30"/>
        <v>100</v>
      </c>
      <c r="H110" s="505">
        <f t="shared" si="30"/>
        <v>100</v>
      </c>
      <c r="I110" s="505">
        <f t="shared" si="30"/>
        <v>100</v>
      </c>
      <c r="J110" s="505">
        <f t="shared" si="30"/>
        <v>100</v>
      </c>
      <c r="K110" s="505">
        <f t="shared" si="30"/>
        <v>100</v>
      </c>
      <c r="L110" s="505">
        <f t="shared" si="30"/>
        <v>100</v>
      </c>
      <c r="M110" s="505">
        <f t="shared" si="30"/>
        <v>100</v>
      </c>
      <c r="N110" s="1069"/>
      <c r="O110" s="1069"/>
      <c r="P110" s="2114"/>
      <c r="Q110" s="465"/>
    </row>
    <row r="111" spans="1:17" s="434" customFormat="1" ht="15" thickTop="1">
      <c r="A111" s="554"/>
      <c r="B111" s="499" t="s">
        <v>1876</v>
      </c>
      <c r="C111" s="539" t="str">
        <f>C112&amp;"(含)"&amp;"-"&amp;D112</f>
        <v>0.5(含)-0.6</v>
      </c>
      <c r="D111" s="539" t="str">
        <f>D112&amp;"(含)"&amp;"-"&amp;E112</f>
        <v>0.6(含)-0.7</v>
      </c>
      <c r="E111" s="539" t="str">
        <f>E112&amp;"(含)"&amp;"-"&amp;F112</f>
        <v>0.7(含)-0.8</v>
      </c>
      <c r="F111" s="539" t="str">
        <f>F112&amp;"(含)"&amp;"-"&amp;G112</f>
        <v>0.8(含)-0.9</v>
      </c>
      <c r="G111" s="539" t="str">
        <f>G112&amp;"(含)"&amp;"-"&amp;ROUND(H112,0)&amp;"(含)"</f>
        <v>0.9(含)-1(含)</v>
      </c>
      <c r="H111" s="539" t="str">
        <f>ROUND(H112,0)&amp;"(含)"&amp;"-"&amp;I112</f>
        <v>1(含)-</v>
      </c>
      <c r="I111" s="539"/>
      <c r="J111" s="561"/>
      <c r="K111" s="561"/>
      <c r="L111" s="562"/>
      <c r="M111" s="563"/>
      <c r="N111" s="1070"/>
      <c r="O111" s="1070"/>
      <c r="P111" s="2115"/>
      <c r="Q111" s="520"/>
    </row>
    <row r="112" spans="1:17" s="434" customFormat="1">
      <c r="A112" s="554"/>
      <c r="B112" s="507"/>
      <c r="C112" s="564">
        <v>0.5</v>
      </c>
      <c r="D112" s="564">
        <v>0.6</v>
      </c>
      <c r="E112" s="564">
        <v>0.7</v>
      </c>
      <c r="F112" s="564">
        <v>0.8</v>
      </c>
      <c r="G112" s="564">
        <v>0.9</v>
      </c>
      <c r="H112" s="564">
        <v>1.0001</v>
      </c>
      <c r="I112" s="564"/>
      <c r="J112" s="565"/>
      <c r="K112" s="565"/>
      <c r="L112" s="566"/>
      <c r="M112" s="567"/>
      <c r="N112" s="1070"/>
      <c r="O112" s="1070"/>
      <c r="P112" s="2115"/>
      <c r="Q112" s="520"/>
    </row>
    <row r="113" spans="1:17" s="434" customFormat="1" ht="14.4" thickBot="1">
      <c r="A113" s="514"/>
      <c r="B113" s="504"/>
      <c r="C113" s="543">
        <v>100</v>
      </c>
      <c r="D113" s="505">
        <f>C113+$K37</f>
        <v>100</v>
      </c>
      <c r="E113" s="505">
        <f>D113+$K37</f>
        <v>100</v>
      </c>
      <c r="F113" s="505">
        <f>E113+$K37</f>
        <v>100</v>
      </c>
      <c r="G113" s="505">
        <f>F113+$K37</f>
        <v>100</v>
      </c>
      <c r="H113" s="505">
        <f>G113+$K37</f>
        <v>100</v>
      </c>
      <c r="I113" s="543"/>
      <c r="J113" s="568"/>
      <c r="K113" s="568"/>
      <c r="L113" s="568"/>
      <c r="M113" s="569"/>
      <c r="N113" s="1070"/>
      <c r="O113" s="1070"/>
      <c r="P113" s="2115"/>
      <c r="Q113" s="520"/>
    </row>
    <row r="114" spans="1:17" ht="15" thickTop="1">
      <c r="A114" s="560"/>
      <c r="B114" s="499" t="s">
        <v>2447</v>
      </c>
      <c r="C114" s="515"/>
      <c r="D114" s="515"/>
      <c r="E114" s="544"/>
      <c r="F114" s="544"/>
      <c r="G114" s="544"/>
      <c r="H114" s="544"/>
      <c r="I114" s="544"/>
      <c r="J114" s="544"/>
      <c r="K114" s="545"/>
      <c r="L114" s="546"/>
      <c r="M114" s="547"/>
      <c r="N114" s="1068"/>
      <c r="O114" s="1068"/>
      <c r="P114" s="2114"/>
      <c r="Q114" s="465"/>
    </row>
    <row r="115" spans="1:17" ht="14.4" thickBot="1">
      <c r="A115" s="495"/>
      <c r="B115" s="504"/>
      <c r="C115" s="505">
        <v>100</v>
      </c>
      <c r="D115" s="505">
        <f t="shared" ref="D115:M115" si="31">C115-$K38</f>
        <v>100</v>
      </c>
      <c r="E115" s="505">
        <f t="shared" si="31"/>
        <v>100</v>
      </c>
      <c r="F115" s="505">
        <f t="shared" si="31"/>
        <v>100</v>
      </c>
      <c r="G115" s="505">
        <f t="shared" si="31"/>
        <v>100</v>
      </c>
      <c r="H115" s="505">
        <f t="shared" si="31"/>
        <v>100</v>
      </c>
      <c r="I115" s="505">
        <f t="shared" si="31"/>
        <v>100</v>
      </c>
      <c r="J115" s="505">
        <f t="shared" si="31"/>
        <v>100</v>
      </c>
      <c r="K115" s="505">
        <f t="shared" si="31"/>
        <v>100</v>
      </c>
      <c r="L115" s="505">
        <f t="shared" si="31"/>
        <v>100</v>
      </c>
      <c r="M115" s="505">
        <f t="shared" si="31"/>
        <v>100</v>
      </c>
      <c r="N115" s="1069"/>
      <c r="O115" s="1069"/>
      <c r="P115" s="2114"/>
      <c r="Q115" s="465"/>
    </row>
    <row r="116" spans="1:17" ht="15" thickTop="1">
      <c r="A116" s="560"/>
      <c r="B116" s="499" t="s">
        <v>2448</v>
      </c>
      <c r="C116" s="515"/>
      <c r="D116" s="515"/>
      <c r="E116" s="515"/>
      <c r="F116" s="515"/>
      <c r="G116" s="515"/>
      <c r="H116" s="544"/>
      <c r="I116" s="544"/>
      <c r="J116" s="544"/>
      <c r="K116" s="545"/>
      <c r="L116" s="546"/>
      <c r="M116" s="547"/>
      <c r="N116" s="1068"/>
      <c r="O116" s="1068"/>
      <c r="P116" s="2114"/>
      <c r="Q116" s="465"/>
    </row>
    <row r="117" spans="1:17" ht="14.4" thickBot="1">
      <c r="A117" s="495"/>
      <c r="B117" s="504"/>
      <c r="C117" s="505">
        <v>100</v>
      </c>
      <c r="D117" s="505">
        <f>C117-$K39</f>
        <v>100</v>
      </c>
      <c r="E117" s="505">
        <f>D117-$K39</f>
        <v>100</v>
      </c>
      <c r="F117" s="505">
        <f>E117-$K39</f>
        <v>100</v>
      </c>
      <c r="G117" s="505">
        <f>F117-$K39</f>
        <v>100</v>
      </c>
      <c r="H117" s="505"/>
      <c r="I117" s="505"/>
      <c r="J117" s="505"/>
      <c r="K117" s="505"/>
      <c r="L117" s="505"/>
      <c r="M117" s="506"/>
      <c r="N117" s="1069"/>
      <c r="O117" s="1069"/>
      <c r="P117" s="2114"/>
      <c r="Q117" s="465"/>
    </row>
    <row r="118" spans="1:17" ht="15" thickTop="1">
      <c r="A118" s="560"/>
      <c r="B118" s="499" t="s">
        <v>2449</v>
      </c>
      <c r="C118" s="544"/>
      <c r="D118" s="544"/>
      <c r="E118" s="544"/>
      <c r="F118" s="544"/>
      <c r="G118" s="544"/>
      <c r="H118" s="544"/>
      <c r="I118" s="544"/>
      <c r="J118" s="544"/>
      <c r="K118" s="545"/>
      <c r="L118" s="546"/>
      <c r="M118" s="547"/>
      <c r="N118" s="1068"/>
      <c r="O118" s="1068"/>
      <c r="P118" s="2114"/>
      <c r="Q118" s="465"/>
    </row>
    <row r="119" spans="1:17" ht="14.4" thickBot="1">
      <c r="A119" s="495"/>
      <c r="B119" s="504"/>
      <c r="C119" s="505">
        <v>100</v>
      </c>
      <c r="D119" s="505">
        <f t="shared" ref="D119:M119" si="32">C119-$K40</f>
        <v>100</v>
      </c>
      <c r="E119" s="505">
        <f t="shared" si="32"/>
        <v>100</v>
      </c>
      <c r="F119" s="505">
        <f t="shared" si="32"/>
        <v>100</v>
      </c>
      <c r="G119" s="505">
        <f t="shared" si="32"/>
        <v>100</v>
      </c>
      <c r="H119" s="505">
        <f t="shared" si="32"/>
        <v>100</v>
      </c>
      <c r="I119" s="505">
        <f t="shared" si="32"/>
        <v>100</v>
      </c>
      <c r="J119" s="505">
        <f t="shared" si="32"/>
        <v>100</v>
      </c>
      <c r="K119" s="505">
        <f t="shared" si="32"/>
        <v>100</v>
      </c>
      <c r="L119" s="505">
        <f t="shared" si="32"/>
        <v>100</v>
      </c>
      <c r="M119" s="505">
        <f t="shared" si="32"/>
        <v>100</v>
      </c>
      <c r="N119" s="1069"/>
      <c r="O119" s="1069"/>
      <c r="P119" s="2114"/>
      <c r="Q119" s="465"/>
    </row>
    <row r="120" spans="1:17" s="434" customFormat="1" ht="29.4" thickTop="1">
      <c r="A120" s="554"/>
      <c r="B120" s="499" t="s">
        <v>2404</v>
      </c>
      <c r="C120" s="515"/>
      <c r="D120" s="515"/>
      <c r="E120" s="515"/>
      <c r="F120" s="515"/>
      <c r="G120" s="515"/>
      <c r="H120" s="515"/>
      <c r="I120" s="515"/>
      <c r="J120" s="515"/>
      <c r="K120" s="515"/>
      <c r="L120" s="541"/>
      <c r="M120" s="542"/>
      <c r="N120" s="1070"/>
      <c r="O120" s="1070"/>
      <c r="P120" s="2115"/>
      <c r="Q120" s="520"/>
    </row>
    <row r="121" spans="1:17" s="434" customFormat="1" ht="14.4" thickBot="1">
      <c r="A121" s="514"/>
      <c r="B121" s="496"/>
      <c r="C121" s="521"/>
      <c r="D121" s="497"/>
      <c r="E121" s="497"/>
      <c r="F121" s="497"/>
      <c r="G121" s="497"/>
      <c r="H121" s="497"/>
      <c r="I121" s="497"/>
      <c r="J121" s="497"/>
      <c r="K121" s="497"/>
      <c r="L121" s="497"/>
      <c r="M121" s="497"/>
      <c r="N121" s="1070"/>
      <c r="O121" s="1070"/>
      <c r="P121" s="2115"/>
      <c r="Q121" s="520"/>
    </row>
    <row r="122" spans="1:17" ht="15" thickTop="1">
      <c r="A122" s="560"/>
      <c r="B122" s="499" t="s">
        <v>2450</v>
      </c>
      <c r="C122" s="515"/>
      <c r="D122" s="515"/>
      <c r="E122" s="515"/>
      <c r="F122" s="544"/>
      <c r="G122" s="544"/>
      <c r="H122" s="544"/>
      <c r="I122" s="544"/>
      <c r="J122" s="544"/>
      <c r="K122" s="545"/>
      <c r="L122" s="546"/>
      <c r="M122" s="547"/>
      <c r="N122" s="1068"/>
      <c r="O122" s="1068"/>
      <c r="P122" s="2114"/>
      <c r="Q122" s="465"/>
    </row>
    <row r="123" spans="1:17" ht="14.4" thickBot="1">
      <c r="A123" s="495"/>
      <c r="B123" s="504"/>
      <c r="C123" s="505">
        <v>100</v>
      </c>
      <c r="D123" s="505">
        <f t="shared" ref="D123:M123" si="33">C123-$K42</f>
        <v>100</v>
      </c>
      <c r="E123" s="505">
        <f t="shared" si="33"/>
        <v>100</v>
      </c>
      <c r="F123" s="505">
        <f t="shared" si="33"/>
        <v>100</v>
      </c>
      <c r="G123" s="505">
        <f t="shared" si="33"/>
        <v>100</v>
      </c>
      <c r="H123" s="505">
        <f t="shared" si="33"/>
        <v>100</v>
      </c>
      <c r="I123" s="505">
        <f t="shared" si="33"/>
        <v>100</v>
      </c>
      <c r="J123" s="505">
        <f t="shared" si="33"/>
        <v>100</v>
      </c>
      <c r="K123" s="505">
        <f t="shared" si="33"/>
        <v>100</v>
      </c>
      <c r="L123" s="505">
        <f t="shared" si="33"/>
        <v>100</v>
      </c>
      <c r="M123" s="505">
        <f t="shared" si="33"/>
        <v>100</v>
      </c>
      <c r="N123" s="1069"/>
      <c r="O123" s="1069"/>
      <c r="P123" s="2114"/>
      <c r="Q123" s="465"/>
    </row>
    <row r="124" spans="1:17" ht="29.4" thickTop="1">
      <c r="A124" s="560"/>
      <c r="B124" s="499" t="s">
        <v>2451</v>
      </c>
      <c r="C124" s="539" t="s">
        <v>2427</v>
      </c>
      <c r="D124" s="539" t="s">
        <v>2428</v>
      </c>
      <c r="E124" s="539" t="s">
        <v>2429</v>
      </c>
      <c r="F124" s="539" t="s">
        <v>2430</v>
      </c>
      <c r="G124" s="539" t="s">
        <v>2431</v>
      </c>
      <c r="H124" s="500"/>
      <c r="I124" s="500"/>
      <c r="J124" s="500"/>
      <c r="K124" s="501"/>
      <c r="L124" s="502"/>
      <c r="M124" s="503"/>
      <c r="N124" s="1068"/>
      <c r="O124" s="1068"/>
      <c r="P124" s="2115"/>
      <c r="Q124" s="465"/>
    </row>
    <row r="125" spans="1:17" ht="14.4" thickBot="1">
      <c r="A125" s="495"/>
      <c r="B125" s="504"/>
      <c r="C125" s="505">
        <v>100</v>
      </c>
      <c r="D125" s="505">
        <f>C125-$K43</f>
        <v>100</v>
      </c>
      <c r="E125" s="505">
        <f>D125-$K43</f>
        <v>100</v>
      </c>
      <c r="F125" s="505">
        <f>E125-$K43</f>
        <v>100</v>
      </c>
      <c r="G125" s="505">
        <f>F125-$K43</f>
        <v>100</v>
      </c>
      <c r="H125" s="505"/>
      <c r="I125" s="505"/>
      <c r="J125" s="505"/>
      <c r="K125" s="505"/>
      <c r="L125" s="505"/>
      <c r="M125" s="506"/>
      <c r="N125" s="1069"/>
      <c r="O125" s="1069"/>
      <c r="P125" s="2114"/>
      <c r="Q125" s="465"/>
    </row>
    <row r="126" spans="1:17" s="434" customFormat="1" ht="14.4" thickTop="1">
      <c r="A126" s="554"/>
      <c r="B126" s="499">
        <f>B44</f>
        <v>111</v>
      </c>
      <c r="C126" s="515"/>
      <c r="D126" s="515"/>
      <c r="E126" s="515"/>
      <c r="F126" s="515"/>
      <c r="G126" s="515"/>
      <c r="H126" s="516"/>
      <c r="I126" s="516"/>
      <c r="J126" s="516"/>
      <c r="K126" s="516"/>
      <c r="L126" s="517"/>
      <c r="M126" s="518"/>
      <c r="N126" s="1070"/>
      <c r="O126" s="1070"/>
      <c r="P126" s="2115"/>
      <c r="Q126" s="520"/>
    </row>
    <row r="127" spans="1:17" s="434" customFormat="1" ht="14.4" thickBot="1">
      <c r="A127" s="514"/>
      <c r="B127" s="504"/>
      <c r="C127" s="521"/>
      <c r="D127" s="497"/>
      <c r="E127" s="497"/>
      <c r="F127" s="497"/>
      <c r="G127" s="521"/>
      <c r="H127" s="523"/>
      <c r="I127" s="523"/>
      <c r="J127" s="523"/>
      <c r="K127" s="523"/>
      <c r="L127" s="523"/>
      <c r="M127" s="524"/>
      <c r="N127" s="1070"/>
      <c r="O127" s="1070"/>
      <c r="P127" s="2115"/>
      <c r="Q127" s="520"/>
    </row>
    <row r="128" spans="1:17" ht="14.4" thickTop="1">
      <c r="A128" s="560"/>
      <c r="B128" s="499">
        <f>B45</f>
        <v>111</v>
      </c>
      <c r="C128" s="515"/>
      <c r="D128" s="515"/>
      <c r="E128" s="515"/>
      <c r="F128" s="515"/>
      <c r="G128" s="544"/>
      <c r="H128" s="544"/>
      <c r="I128" s="544"/>
      <c r="J128" s="544"/>
      <c r="K128" s="545"/>
      <c r="L128" s="546"/>
      <c r="M128" s="547"/>
      <c r="N128" s="1068"/>
      <c r="O128" s="1068"/>
      <c r="P128" s="2114"/>
      <c r="Q128" s="465"/>
    </row>
    <row r="129" spans="1:17" ht="14.4" thickBot="1">
      <c r="A129" s="495"/>
      <c r="B129" s="504"/>
      <c r="C129" s="521"/>
      <c r="D129" s="521"/>
      <c r="E129" s="521"/>
      <c r="F129" s="521"/>
      <c r="G129" s="497"/>
      <c r="H129" s="497"/>
      <c r="I129" s="497"/>
      <c r="J129" s="497"/>
      <c r="K129" s="497"/>
      <c r="L129" s="497"/>
      <c r="M129" s="498"/>
      <c r="N129" s="1069"/>
      <c r="O129" s="1069"/>
      <c r="P129" s="2114"/>
      <c r="Q129" s="465"/>
    </row>
    <row r="130" spans="1:17" ht="14.4" thickTop="1">
      <c r="A130" s="560"/>
      <c r="B130" s="507">
        <f>B46</f>
        <v>111</v>
      </c>
      <c r="C130" s="515"/>
      <c r="D130" s="515"/>
      <c r="E130" s="515"/>
      <c r="F130" s="515"/>
      <c r="G130" s="548"/>
      <c r="H130" s="548"/>
      <c r="I130" s="548"/>
      <c r="J130" s="548"/>
      <c r="K130" s="484"/>
      <c r="L130" s="485"/>
      <c r="M130" s="551"/>
      <c r="N130" s="1068"/>
      <c r="O130" s="1068"/>
      <c r="P130" s="2114"/>
      <c r="Q130" s="465"/>
    </row>
    <row r="131" spans="1:17" ht="14.4" thickBot="1">
      <c r="A131" s="2120"/>
      <c r="B131" s="530"/>
      <c r="C131" s="531"/>
      <c r="D131" s="531"/>
      <c r="E131" s="531"/>
      <c r="F131" s="531"/>
      <c r="G131" s="552"/>
      <c r="H131" s="552"/>
      <c r="I131" s="552"/>
      <c r="J131" s="552"/>
      <c r="K131" s="552"/>
      <c r="L131" s="552"/>
      <c r="M131" s="553"/>
      <c r="N131" s="1069"/>
      <c r="O131" s="1069"/>
      <c r="P131" s="2114"/>
      <c r="Q131" s="465"/>
    </row>
    <row r="136" spans="1:17" ht="15" thickBot="1">
      <c r="B136" s="2121" t="s">
        <v>2452</v>
      </c>
    </row>
    <row r="137" spans="1:17" ht="15">
      <c r="B137" s="2122" t="s">
        <v>2453</v>
      </c>
      <c r="C137" s="2123"/>
      <c r="D137" s="2123"/>
      <c r="E137" s="2123"/>
      <c r="F137" s="2123"/>
      <c r="G137" s="2124"/>
      <c r="H137" s="2125"/>
      <c r="I137" s="2126" t="s">
        <v>2454</v>
      </c>
      <c r="J137" s="2123"/>
      <c r="K137" s="2127"/>
    </row>
    <row r="138" spans="1:17" ht="15">
      <c r="B138" s="2128"/>
      <c r="C138" s="146" t="s">
        <v>2455</v>
      </c>
      <c r="D138" s="146" t="s">
        <v>2456</v>
      </c>
      <c r="E138" s="2129" t="s">
        <v>2457</v>
      </c>
      <c r="F138" s="2130" t="s">
        <v>2458</v>
      </c>
      <c r="G138" s="146" t="s">
        <v>2456</v>
      </c>
      <c r="H138" s="147" t="s">
        <v>2457</v>
      </c>
      <c r="I138" s="2131"/>
      <c r="J138" s="146" t="s">
        <v>2459</v>
      </c>
      <c r="K138" s="147" t="s">
        <v>2460</v>
      </c>
    </row>
    <row r="139" spans="1:17" ht="15">
      <c r="B139" s="1002">
        <v>6</v>
      </c>
      <c r="C139" s="1003">
        <v>96</v>
      </c>
      <c r="D139" s="2132" t="s">
        <v>2461</v>
      </c>
      <c r="E139" s="1004">
        <v>100</v>
      </c>
      <c r="F139" s="1005">
        <v>102.5</v>
      </c>
      <c r="G139" s="2132" t="s">
        <v>2461</v>
      </c>
      <c r="H139" s="1006">
        <v>105</v>
      </c>
      <c r="I139" s="2133" t="s">
        <v>2462</v>
      </c>
      <c r="J139" s="1003">
        <v>20</v>
      </c>
      <c r="K139" s="1007">
        <f>C145/(J139-2)</f>
        <v>4.0555555555555553E-3</v>
      </c>
    </row>
    <row r="140" spans="1:17" ht="15">
      <c r="B140" s="1008">
        <v>5</v>
      </c>
      <c r="C140" s="1009">
        <v>100</v>
      </c>
      <c r="D140" s="1009"/>
      <c r="E140" s="1010"/>
      <c r="F140" s="1011">
        <v>102</v>
      </c>
      <c r="G140" s="1009"/>
      <c r="H140" s="1012"/>
      <c r="I140" s="2134" t="s">
        <v>2463</v>
      </c>
      <c r="J140" s="281">
        <f>ROUNDUP((J139-1)/2,0)</f>
        <v>10</v>
      </c>
      <c r="K140" s="1013">
        <v>100</v>
      </c>
    </row>
    <row r="141" spans="1:17" ht="15">
      <c r="B141" s="1008">
        <v>4</v>
      </c>
      <c r="C141" s="1009">
        <v>102</v>
      </c>
      <c r="D141" s="1009"/>
      <c r="E141" s="1010"/>
      <c r="F141" s="1011">
        <v>101.5</v>
      </c>
      <c r="G141" s="1009"/>
      <c r="H141" s="1012"/>
      <c r="I141" s="2134" t="s">
        <v>2464</v>
      </c>
      <c r="J141" s="281">
        <v>1</v>
      </c>
      <c r="K141" s="1014">
        <f>ROUND(100+(J141-J140)*K139*100,1)</f>
        <v>96.4</v>
      </c>
    </row>
    <row r="142" spans="1:17" ht="15">
      <c r="B142" s="1008">
        <v>3</v>
      </c>
      <c r="C142" s="1009">
        <v>103</v>
      </c>
      <c r="D142" s="1009"/>
      <c r="E142" s="1010"/>
      <c r="F142" s="1011">
        <v>101</v>
      </c>
      <c r="G142" s="1009"/>
      <c r="H142" s="1012"/>
      <c r="I142" s="2134" t="s">
        <v>2465</v>
      </c>
      <c r="J142" s="281">
        <f>J139</f>
        <v>20</v>
      </c>
      <c r="K142" s="1015">
        <v>95</v>
      </c>
    </row>
    <row r="143" spans="1:17" ht="15">
      <c r="B143" s="1008">
        <v>2</v>
      </c>
      <c r="C143" s="1009">
        <v>100</v>
      </c>
      <c r="D143" s="1009"/>
      <c r="E143" s="1010"/>
      <c r="F143" s="1011">
        <v>100.5</v>
      </c>
      <c r="G143" s="1009"/>
      <c r="H143" s="1012"/>
      <c r="I143" s="2134" t="s">
        <v>2466</v>
      </c>
      <c r="J143" s="1009">
        <v>15</v>
      </c>
      <c r="K143" s="1014">
        <f>ROUND(100+(J143-J140)*K139*100,1)</f>
        <v>102</v>
      </c>
    </row>
    <row r="144" spans="1:17" ht="15">
      <c r="B144" s="1008">
        <v>1</v>
      </c>
      <c r="C144" s="1009">
        <v>98</v>
      </c>
      <c r="D144" s="2135" t="s">
        <v>2467</v>
      </c>
      <c r="E144" s="1010">
        <v>102</v>
      </c>
      <c r="F144" s="1016">
        <v>100</v>
      </c>
      <c r="G144" s="2135" t="s">
        <v>2467</v>
      </c>
      <c r="H144" s="1012">
        <v>105</v>
      </c>
      <c r="I144" s="2134" t="s">
        <v>2466</v>
      </c>
      <c r="J144" s="1009">
        <v>18</v>
      </c>
      <c r="K144" s="1014">
        <f>ROUND(100+(J144-J140)*K139*100,1)</f>
        <v>103.2</v>
      </c>
    </row>
    <row r="145" spans="2:11" ht="16.2" thickBot="1">
      <c r="B145" s="2136" t="s">
        <v>2468</v>
      </c>
      <c r="C145" s="1017">
        <f>ROUND(MAX(C139:C144)/MIN(C139:C144)-1,3)</f>
        <v>7.2999999999999995E-2</v>
      </c>
      <c r="D145" s="1018"/>
      <c r="E145" s="1018"/>
      <c r="F145" s="2137" t="s">
        <v>2469</v>
      </c>
      <c r="G145" s="2138"/>
      <c r="H145" s="2139"/>
      <c r="I145" s="2140" t="s">
        <v>2466</v>
      </c>
      <c r="J145" s="1019">
        <v>8</v>
      </c>
      <c r="K145" s="1020">
        <f>ROUND(100+(J145-J140)*K139*100,1)</f>
        <v>99.2</v>
      </c>
    </row>
    <row r="147" spans="2:11" ht="14.4">
      <c r="B147" s="2121" t="s">
        <v>2470</v>
      </c>
    </row>
    <row r="148" spans="2:11" ht="14.4">
      <c r="B148" s="2121" t="s">
        <v>2471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1" priority="18" stopIfTrue="1" operator="containsText" text="超过">
      <formula>NOT(ISERROR(SEARCH("超过",F52)))</formula>
    </cfRule>
  </conditionalFormatting>
  <conditionalFormatting sqref="J54">
    <cfRule type="containsText" dxfId="140" priority="17" stopIfTrue="1" operator="containsText" text="超过">
      <formula>NOT(ISERROR(SEARCH("超过",J54)))</formula>
    </cfRule>
  </conditionalFormatting>
  <conditionalFormatting sqref="H54">
    <cfRule type="containsText" dxfId="139" priority="16" stopIfTrue="1" operator="containsText" text="超过">
      <formula>NOT(ISERROR(SEARCH("超过",H54)))</formula>
    </cfRule>
  </conditionalFormatting>
  <conditionalFormatting sqref="F54">
    <cfRule type="containsText" dxfId="138" priority="15" stopIfTrue="1" operator="containsText" text="超过">
      <formula>NOT(ISERROR(SEARCH("超过",F54)))</formula>
    </cfRule>
  </conditionalFormatting>
  <conditionalFormatting sqref="F53 H53 J53">
    <cfRule type="containsText" dxfId="137" priority="14" stopIfTrue="1" operator="containsText" text="超过">
      <formula>NOT(ISERROR(SEARCH("超过",F53)))</formula>
    </cfRule>
  </conditionalFormatting>
  <conditionalFormatting sqref="E52">
    <cfRule type="expression" dxfId="136" priority="13" stopIfTrue="1">
      <formula>$F$52="超过30%"</formula>
    </cfRule>
  </conditionalFormatting>
  <conditionalFormatting sqref="G54">
    <cfRule type="expression" dxfId="135" priority="11" stopIfTrue="1">
      <formula>$H$54="超过30%"</formula>
    </cfRule>
  </conditionalFormatting>
  <conditionalFormatting sqref="E53">
    <cfRule type="expression" dxfId="134" priority="10" stopIfTrue="1">
      <formula>$F$53="超过20%"</formula>
    </cfRule>
  </conditionalFormatting>
  <conditionalFormatting sqref="E54">
    <cfRule type="expression" dxfId="133" priority="9" stopIfTrue="1">
      <formula>$F$54="超过30%"</formula>
    </cfRule>
  </conditionalFormatting>
  <conditionalFormatting sqref="G52">
    <cfRule type="expression" dxfId="132" priority="8" stopIfTrue="1">
      <formula>$H$52="超过30%"</formula>
    </cfRule>
  </conditionalFormatting>
  <conditionalFormatting sqref="G53">
    <cfRule type="expression" dxfId="131" priority="7" stopIfTrue="1">
      <formula>$H$53="超过20%"</formula>
    </cfRule>
  </conditionalFormatting>
  <conditionalFormatting sqref="I52">
    <cfRule type="expression" dxfId="130" priority="6" stopIfTrue="1">
      <formula>$J$52="超过30%"</formula>
    </cfRule>
  </conditionalFormatting>
  <conditionalFormatting sqref="I53">
    <cfRule type="expression" dxfId="129" priority="5" stopIfTrue="1">
      <formula>$J$53="超过20%"</formula>
    </cfRule>
  </conditionalFormatting>
  <conditionalFormatting sqref="I54">
    <cfRule type="expression" dxfId="128" priority="4" stopIfTrue="1">
      <formula>$J$54="超过30%"</formula>
    </cfRule>
  </conditionalFormatting>
  <conditionalFormatting sqref="F48">
    <cfRule type="expression" dxfId="127" priority="3">
      <formula>$D$48="简单平均"</formula>
    </cfRule>
  </conditionalFormatting>
  <conditionalFormatting sqref="H48">
    <cfRule type="expression" dxfId="126" priority="2">
      <formula>$D$48="简单平均"</formula>
    </cfRule>
  </conditionalFormatting>
  <conditionalFormatting sqref="J48">
    <cfRule type="expression" dxfId="125"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48" sqref="D48"/>
    </sheetView>
  </sheetViews>
  <sheetFormatPr defaultColWidth="9" defaultRowHeight="13.8"/>
  <cols>
    <col min="1" max="1" width="10.44140625" style="367" customWidth="1"/>
    <col min="2" max="2" width="15.77734375" style="367" customWidth="1"/>
    <col min="3" max="3" width="15.109375" style="367" customWidth="1"/>
    <col min="4" max="4" width="12.21875" style="367" customWidth="1"/>
    <col min="5" max="5" width="14.33203125" style="367" customWidth="1"/>
    <col min="6" max="6" width="12.21875" style="367" customWidth="1"/>
    <col min="7" max="7" width="14.44140625" style="367" customWidth="1"/>
    <col min="8" max="8" width="12.21875" style="367" customWidth="1"/>
    <col min="9" max="9" width="14.44140625" style="367" customWidth="1"/>
    <col min="10" max="10" width="12.21875" style="367" customWidth="1"/>
    <col min="11" max="11" width="12.21875" style="456" customWidth="1"/>
    <col min="12" max="12" width="12.21875" style="457" customWidth="1"/>
    <col min="13" max="15" width="12.21875" style="367" customWidth="1"/>
    <col min="16" max="16" width="4.77734375" style="2108" customWidth="1"/>
    <col min="17" max="17" width="19.44140625" style="367" customWidth="1"/>
    <col min="18" max="22" width="6.109375" style="367" customWidth="1"/>
    <col min="23" max="23" width="5.77734375" style="367" customWidth="1"/>
    <col min="24" max="24" width="4.21875" style="367" customWidth="1"/>
    <col min="25" max="25" width="3.44140625" style="367" customWidth="1"/>
    <col min="26" max="26" width="19.77734375" style="367" customWidth="1"/>
    <col min="27" max="28" width="9.33203125" style="367" customWidth="1"/>
    <col min="29" max="16384" width="9" style="367"/>
  </cols>
  <sheetData>
    <row r="1" spans="1:29" s="1405" customFormat="1" ht="28.5" customHeight="1" thickBot="1">
      <c r="A1" s="1394" t="s">
        <v>2358</v>
      </c>
      <c r="B1" s="2070" t="s">
        <v>2472</v>
      </c>
      <c r="C1" s="1410" t="s">
        <v>2360</v>
      </c>
      <c r="D1" s="1397"/>
      <c r="E1" s="2549"/>
      <c r="F1" s="2071"/>
      <c r="G1" s="1407" t="s">
        <v>2473</v>
      </c>
      <c r="H1" s="1406"/>
      <c r="I1" s="1406"/>
      <c r="J1" s="1406"/>
      <c r="K1" s="1408"/>
      <c r="L1" s="1409"/>
      <c r="M1" s="1410"/>
      <c r="N1" s="1410"/>
      <c r="O1" s="1410"/>
      <c r="P1" s="2141"/>
      <c r="Q1" s="2142"/>
      <c r="R1" s="2142"/>
      <c r="S1" s="2142"/>
      <c r="T1" s="2142"/>
      <c r="U1" s="2142"/>
      <c r="V1" s="2142"/>
      <c r="W1" s="2142"/>
      <c r="X1" s="2142"/>
      <c r="Y1" s="2142"/>
      <c r="Z1" s="2142"/>
      <c r="AA1" s="2142"/>
      <c r="AB1" s="2142"/>
      <c r="AC1" s="2143"/>
    </row>
    <row r="2" spans="1:29" s="362" customFormat="1" ht="28.5" customHeight="1" thickTop="1">
      <c r="A2" s="1393" t="s">
        <v>2157</v>
      </c>
      <c r="B2" s="1330" t="e">
        <f ca="1">IF(C2="——",ROUND(C49*D3/10000,0),ROUND(C49*D3/10000,0)-D2)</f>
        <v>#DIV/0!</v>
      </c>
      <c r="C2" s="2073"/>
      <c r="D2" s="1279" t="e">
        <f ca="1">SUMIF(INDIRECT("'"&amp;F2&amp;"'"&amp;"!A:A"),"承租人权益价值",INDIRECT("'"&amp;F2&amp;"'"&amp;"!c:c"))</f>
        <v>#REF!</v>
      </c>
      <c r="E2" s="2074" t="s">
        <v>2158</v>
      </c>
      <c r="F2" s="2075"/>
      <c r="G2" s="1043"/>
      <c r="H2" s="1043"/>
      <c r="I2" s="1043"/>
      <c r="J2" s="1043"/>
      <c r="K2" s="1043"/>
      <c r="L2" s="2966"/>
      <c r="M2" s="2967"/>
      <c r="N2" s="2967"/>
      <c r="O2" s="2967"/>
      <c r="P2" s="2144"/>
      <c r="Q2" s="1047"/>
      <c r="R2" s="1047"/>
      <c r="S2" s="1047"/>
      <c r="T2" s="1047"/>
      <c r="U2" s="1047"/>
      <c r="V2" s="1047"/>
      <c r="W2" s="1047"/>
      <c r="X2" s="1047"/>
      <c r="Y2" s="1047"/>
      <c r="Z2" s="1047"/>
      <c r="AA2" s="1047"/>
      <c r="AB2" s="1047"/>
      <c r="AC2" s="2145"/>
    </row>
    <row r="3" spans="1:29" s="362" customFormat="1" ht="28.5" customHeight="1" thickBot="1">
      <c r="A3" s="213" t="s">
        <v>2159</v>
      </c>
      <c r="B3" s="570" t="e">
        <f ca="1">IF(C2="——",C49,ROUND(B2*10000/D3,0))</f>
        <v>#DIV/0!</v>
      </c>
      <c r="C3" s="364" t="s">
        <v>2474</v>
      </c>
      <c r="D3" s="363">
        <f>IF(D1="",'数据-汇总表'!E3,SUMIF('数据-汇总表'!$C19:$C33,D1,'数据-汇总表'!$E19:$E33))</f>
        <v>8640.14</v>
      </c>
      <c r="E3" s="2146"/>
      <c r="F3" s="1044"/>
      <c r="G3" s="1043"/>
      <c r="H3" s="1043"/>
      <c r="I3" s="1043"/>
      <c r="J3" s="1043"/>
      <c r="K3" s="1045"/>
      <c r="L3" s="2966"/>
      <c r="M3" s="2967"/>
      <c r="N3" s="2967"/>
      <c r="O3" s="2967"/>
      <c r="P3" s="2144"/>
      <c r="Q3" s="1047"/>
      <c r="R3" s="1047"/>
      <c r="S3" s="1047"/>
      <c r="T3" s="1047"/>
      <c r="U3" s="1047"/>
      <c r="V3" s="1047"/>
      <c r="W3" s="1047"/>
      <c r="X3" s="1047"/>
      <c r="Y3" s="1047"/>
      <c r="Z3" s="1047"/>
      <c r="AA3" s="1047"/>
      <c r="AB3" s="1047"/>
      <c r="AC3" s="2146"/>
    </row>
    <row r="4" spans="1:29" ht="14.4">
      <c r="A4" s="365" t="s">
        <v>2475</v>
      </c>
      <c r="B4" s="366"/>
      <c r="C4" s="3380" t="s">
        <v>2476</v>
      </c>
      <c r="D4" s="3381"/>
      <c r="E4" s="3382" t="s">
        <v>2477</v>
      </c>
      <c r="F4" s="3383"/>
      <c r="G4" s="3380" t="s">
        <v>2478</v>
      </c>
      <c r="H4" s="3381"/>
      <c r="I4" s="3380" t="s">
        <v>2479</v>
      </c>
      <c r="J4" s="3381"/>
      <c r="K4" s="571" t="s">
        <v>2480</v>
      </c>
      <c r="L4" s="2947"/>
      <c r="M4" s="2948"/>
      <c r="N4" s="2948"/>
      <c r="O4" s="2948"/>
      <c r="P4" s="3384" t="s">
        <v>2481</v>
      </c>
      <c r="Q4" s="3385"/>
      <c r="R4" s="3367" t="s">
        <v>2477</v>
      </c>
      <c r="S4" s="3368"/>
      <c r="T4" s="3367" t="s">
        <v>2478</v>
      </c>
      <c r="U4" s="3368"/>
      <c r="V4" s="3392" t="s">
        <v>2479</v>
      </c>
      <c r="W4" s="3392"/>
      <c r="X4" s="1545"/>
      <c r="Y4" s="3367" t="s">
        <v>2481</v>
      </c>
      <c r="Z4" s="3368"/>
      <c r="AA4" s="3362" t="s">
        <v>2477</v>
      </c>
      <c r="AB4" s="3392" t="s">
        <v>2478</v>
      </c>
      <c r="AC4" s="3362" t="s">
        <v>2479</v>
      </c>
    </row>
    <row r="5" spans="1:29">
      <c r="A5" s="368"/>
      <c r="B5" s="369"/>
      <c r="C5" s="3373" t="s">
        <v>2372</v>
      </c>
      <c r="D5" s="3374"/>
      <c r="E5" s="3371" t="s">
        <v>2373</v>
      </c>
      <c r="F5" s="3372"/>
      <c r="G5" s="3373" t="s">
        <v>2374</v>
      </c>
      <c r="H5" s="3374"/>
      <c r="I5" s="3373" t="s">
        <v>2375</v>
      </c>
      <c r="J5" s="3374"/>
      <c r="K5" s="571"/>
      <c r="L5" s="2947"/>
      <c r="M5" s="2948"/>
      <c r="N5" s="2948"/>
      <c r="O5" s="2948"/>
      <c r="P5" s="3386"/>
      <c r="Q5" s="3387"/>
      <c r="R5" s="3369"/>
      <c r="S5" s="3370"/>
      <c r="T5" s="3369"/>
      <c r="U5" s="3370"/>
      <c r="V5" s="3392"/>
      <c r="W5" s="3392"/>
      <c r="X5" s="1545"/>
      <c r="Y5" s="3369"/>
      <c r="Z5" s="3370"/>
      <c r="AA5" s="3363"/>
      <c r="AB5" s="3392"/>
      <c r="AC5" s="3363"/>
    </row>
    <row r="6" spans="1:29" ht="15" thickBot="1">
      <c r="A6" s="370"/>
      <c r="B6" s="371"/>
      <c r="C6" s="3375" t="s">
        <v>2376</v>
      </c>
      <c r="D6" s="3376"/>
      <c r="E6" s="3377" t="s">
        <v>2376</v>
      </c>
      <c r="F6" s="3378"/>
      <c r="G6" s="3375" t="s">
        <v>2376</v>
      </c>
      <c r="H6" s="3376"/>
      <c r="I6" s="3375" t="s">
        <v>2376</v>
      </c>
      <c r="J6" s="3376"/>
      <c r="K6" s="571" t="s">
        <v>2377</v>
      </c>
      <c r="L6" s="2947"/>
      <c r="M6" s="2948"/>
      <c r="N6" s="2948"/>
      <c r="O6" s="2948"/>
      <c r="P6" s="3388"/>
      <c r="Q6" s="3389"/>
      <c r="R6" s="3369"/>
      <c r="S6" s="3370"/>
      <c r="T6" s="3390"/>
      <c r="U6" s="3391"/>
      <c r="V6" s="3392"/>
      <c r="W6" s="3392"/>
      <c r="X6" s="1545"/>
      <c r="Y6" s="3390"/>
      <c r="Z6" s="3391"/>
      <c r="AA6" s="3364"/>
      <c r="AB6" s="3392"/>
      <c r="AC6" s="3364"/>
    </row>
    <row r="7" spans="1:29" s="117" customFormat="1" ht="15" thickBot="1">
      <c r="A7" s="372" t="s">
        <v>2378</v>
      </c>
      <c r="B7" s="373"/>
      <c r="C7" s="374">
        <f>'数据-取费表'!B2</f>
        <v>44063</v>
      </c>
      <c r="D7" s="375">
        <v>100</v>
      </c>
      <c r="E7" s="376"/>
      <c r="F7" s="377">
        <f>SUMIF(58:58,YEAR(E7)&amp;"-"&amp;MONTH(E7),59:59)</f>
        <v>0</v>
      </c>
      <c r="G7" s="376"/>
      <c r="H7" s="375">
        <f>SUMIF(58:58,YEAR(G7)&amp;"-"&amp;MONTH(G7),59:59)</f>
        <v>0</v>
      </c>
      <c r="I7" s="376"/>
      <c r="J7" s="375">
        <f>SUMIF(58:58,YEAR(I7)&amp;"-"&amp;MONTH(I7),59:59)</f>
        <v>0</v>
      </c>
      <c r="K7" s="572"/>
      <c r="L7" s="2949"/>
      <c r="M7" s="2950"/>
      <c r="N7" s="2950"/>
      <c r="O7" s="2950"/>
      <c r="P7" s="3365" t="s">
        <v>2379</v>
      </c>
      <c r="Q7" s="3393"/>
      <c r="R7" s="714" t="s">
        <v>17</v>
      </c>
      <c r="S7" s="715">
        <f t="shared" ref="S7:S15" si="0">F7</f>
        <v>0</v>
      </c>
      <c r="T7" s="714" t="s">
        <v>17</v>
      </c>
      <c r="U7" s="715">
        <f t="shared" ref="U7:U15" si="1">H7</f>
        <v>0</v>
      </c>
      <c r="V7" s="714" t="s">
        <v>17</v>
      </c>
      <c r="W7" s="715">
        <f t="shared" ref="W7:W15" si="2">J7</f>
        <v>0</v>
      </c>
      <c r="X7" s="716"/>
      <c r="Y7" s="3365" t="s">
        <v>2379</v>
      </c>
      <c r="Z7" s="3366"/>
      <c r="AA7" s="717" t="e">
        <f>D7/F7</f>
        <v>#DIV/0!</v>
      </c>
      <c r="AB7" s="717" t="e">
        <f>D7/H7</f>
        <v>#DIV/0!</v>
      </c>
      <c r="AC7" s="717" t="e">
        <f>D7/J7</f>
        <v>#DIV/0!</v>
      </c>
    </row>
    <row r="8" spans="1:29" s="117" customFormat="1" ht="15" thickBot="1">
      <c r="A8" s="372" t="s">
        <v>2380</v>
      </c>
      <c r="B8" s="373"/>
      <c r="C8" s="378" t="s">
        <v>2482</v>
      </c>
      <c r="D8" s="375">
        <v>100</v>
      </c>
      <c r="E8" s="378"/>
      <c r="F8" s="377">
        <f>SUMIF(61:61,E8,62:62)-SUMIF(61:61,C8,62:62)+100</f>
        <v>0</v>
      </c>
      <c r="G8" s="378"/>
      <c r="H8" s="375">
        <f>SUMIF(61:61,G8,62:62)-SUMIF(61:61,C8,62:62)+100</f>
        <v>0</v>
      </c>
      <c r="I8" s="378"/>
      <c r="J8" s="375">
        <f>SUMIF(61:61,I8,62:62)-SUMIF(61:61,C8,62:62)+100</f>
        <v>0</v>
      </c>
      <c r="K8" s="572"/>
      <c r="L8" s="2949"/>
      <c r="M8" s="2950"/>
      <c r="N8" s="2950"/>
      <c r="O8" s="2950"/>
      <c r="P8" s="3365" t="s">
        <v>2382</v>
      </c>
      <c r="Q8" s="3366"/>
      <c r="R8" s="714" t="s">
        <v>17</v>
      </c>
      <c r="S8" s="715">
        <f t="shared" si="0"/>
        <v>0</v>
      </c>
      <c r="T8" s="714" t="s">
        <v>17</v>
      </c>
      <c r="U8" s="715">
        <f t="shared" si="1"/>
        <v>0</v>
      </c>
      <c r="V8" s="714" t="s">
        <v>17</v>
      </c>
      <c r="W8" s="715">
        <f t="shared" si="2"/>
        <v>0</v>
      </c>
      <c r="X8" s="716"/>
      <c r="Y8" s="3365" t="s">
        <v>2382</v>
      </c>
      <c r="Z8" s="3366"/>
      <c r="AA8" s="717" t="e">
        <f t="shared" ref="AA8:AA46" si="3">D8/F8</f>
        <v>#DIV/0!</v>
      </c>
      <c r="AB8" s="717" t="e">
        <f t="shared" ref="AB8:AB46" si="4">D8/H8</f>
        <v>#DIV/0!</v>
      </c>
      <c r="AC8" s="717" t="e">
        <f t="shared" ref="AC8:AC46" si="5">D8/J8</f>
        <v>#DIV/0!</v>
      </c>
    </row>
    <row r="9" spans="1:29" s="117" customFormat="1" ht="14.4">
      <c r="A9" s="379" t="s">
        <v>2383</v>
      </c>
      <c r="B9" s="71" t="s">
        <v>2384</v>
      </c>
      <c r="C9" s="380"/>
      <c r="D9" s="135">
        <v>100</v>
      </c>
      <c r="E9" s="381"/>
      <c r="F9" s="382">
        <f>SUMIF(63:63,E9,64:64)-SUMIF(63:63,C9,64:64)+100</f>
        <v>100</v>
      </c>
      <c r="G9" s="381"/>
      <c r="H9" s="135">
        <f>SUMIF(63:63,G9,64:64)-SUMIF(63:63,C9,64:64)+100</f>
        <v>100</v>
      </c>
      <c r="I9" s="381"/>
      <c r="J9" s="135">
        <f>SUMIF(63:63,I9,64:64)-SUMIF(63:63,C9,64:64)+100</f>
        <v>100</v>
      </c>
      <c r="K9" s="572"/>
      <c r="L9" s="2949"/>
      <c r="M9" s="2950"/>
      <c r="N9" s="2950"/>
      <c r="O9" s="2950"/>
      <c r="P9" s="3379" t="s">
        <v>2385</v>
      </c>
      <c r="Q9" s="1533" t="str">
        <f t="shared" ref="Q9:Q15" si="6">B9</f>
        <v>用途</v>
      </c>
      <c r="R9" s="714" t="s">
        <v>17</v>
      </c>
      <c r="S9" s="715">
        <f t="shared" si="0"/>
        <v>100</v>
      </c>
      <c r="T9" s="714" t="s">
        <v>17</v>
      </c>
      <c r="U9" s="715">
        <f t="shared" si="1"/>
        <v>100</v>
      </c>
      <c r="V9" s="714" t="s">
        <v>17</v>
      </c>
      <c r="W9" s="715">
        <f t="shared" si="2"/>
        <v>100</v>
      </c>
      <c r="X9" s="716"/>
      <c r="Y9" s="3282" t="s">
        <v>2386</v>
      </c>
      <c r="Z9" s="55" t="str">
        <f t="shared" ref="Z9:Z15" si="7">Q9</f>
        <v>用途</v>
      </c>
      <c r="AA9" s="717">
        <f t="shared" si="3"/>
        <v>1</v>
      </c>
      <c r="AB9" s="717">
        <f t="shared" si="4"/>
        <v>1</v>
      </c>
      <c r="AC9" s="717">
        <f t="shared" si="5"/>
        <v>1</v>
      </c>
    </row>
    <row r="10" spans="1:29" s="390" customFormat="1" ht="28.8">
      <c r="A10" s="384"/>
      <c r="B10" s="385" t="s">
        <v>2387</v>
      </c>
      <c r="C10" s="386"/>
      <c r="D10" s="136">
        <v>100</v>
      </c>
      <c r="E10" s="387"/>
      <c r="F10" s="388">
        <f>SUMIF(65:65,E10,66:66)-SUMIF(65:65,C10,66:66)+100</f>
        <v>100</v>
      </c>
      <c r="G10" s="386"/>
      <c r="H10" s="136">
        <f>SUMIF(65:65,G10,66:66)-SUMIF(65:65,C10,66:66)+100</f>
        <v>100</v>
      </c>
      <c r="I10" s="386"/>
      <c r="J10" s="136">
        <f>SUMIF(65:65,I10,66:66)-SUMIF(65:65,C10,66:66)+100</f>
        <v>100</v>
      </c>
      <c r="K10" s="573"/>
      <c r="L10" s="2951"/>
      <c r="M10" s="2952"/>
      <c r="N10" s="2952"/>
      <c r="O10" s="2952"/>
      <c r="P10" s="3379"/>
      <c r="Q10" s="1533" t="str">
        <f t="shared" si="6"/>
        <v>土地使用年限（年）</v>
      </c>
      <c r="R10" s="714" t="s">
        <v>17</v>
      </c>
      <c r="S10" s="715">
        <f t="shared" si="0"/>
        <v>100</v>
      </c>
      <c r="T10" s="714" t="s">
        <v>17</v>
      </c>
      <c r="U10" s="715">
        <f t="shared" si="1"/>
        <v>100</v>
      </c>
      <c r="V10" s="714" t="s">
        <v>17</v>
      </c>
      <c r="W10" s="715">
        <f t="shared" si="2"/>
        <v>100</v>
      </c>
      <c r="X10" s="716"/>
      <c r="Y10" s="3282"/>
      <c r="Z10" s="55" t="str">
        <f t="shared" si="7"/>
        <v>土地使用年限（年）</v>
      </c>
      <c r="AA10" s="717">
        <f t="shared" si="3"/>
        <v>1</v>
      </c>
      <c r="AB10" s="717">
        <f t="shared" si="4"/>
        <v>1</v>
      </c>
      <c r="AC10" s="717">
        <f t="shared" si="5"/>
        <v>1</v>
      </c>
    </row>
    <row r="11" spans="1:29" ht="15">
      <c r="A11" s="391"/>
      <c r="B11" s="385" t="s">
        <v>2388</v>
      </c>
      <c r="C11" s="392"/>
      <c r="D11" s="136">
        <v>100</v>
      </c>
      <c r="E11" s="393"/>
      <c r="F11" s="388" t="e">
        <f>LOOKUP(E11,68:68,69:69)-LOOKUP(C11,68:68,69:69)+100</f>
        <v>#N/A</v>
      </c>
      <c r="G11" s="392"/>
      <c r="H11" s="136" t="e">
        <f>LOOKUP(G11,68:68,69:69)-LOOKUP(C11,68:68,69:69)+100</f>
        <v>#N/A</v>
      </c>
      <c r="I11" s="392"/>
      <c r="J11" s="136" t="e">
        <f>LOOKUP(I11,68:68,69:69)-LOOKUP(C11,68:68,69:69)+100</f>
        <v>#N/A</v>
      </c>
      <c r="K11" s="573"/>
      <c r="L11" s="2953"/>
      <c r="M11" s="2948"/>
      <c r="N11" s="2948"/>
      <c r="O11" s="2948"/>
      <c r="P11" s="3379"/>
      <c r="Q11" s="1533" t="str">
        <f t="shared" si="6"/>
        <v>容积率</v>
      </c>
      <c r="R11" s="714" t="s">
        <v>17</v>
      </c>
      <c r="S11" s="715" t="e">
        <f t="shared" si="0"/>
        <v>#N/A</v>
      </c>
      <c r="T11" s="714" t="s">
        <v>17</v>
      </c>
      <c r="U11" s="715" t="e">
        <f t="shared" si="1"/>
        <v>#N/A</v>
      </c>
      <c r="V11" s="714" t="s">
        <v>17</v>
      </c>
      <c r="W11" s="715" t="e">
        <f t="shared" si="2"/>
        <v>#N/A</v>
      </c>
      <c r="X11" s="716"/>
      <c r="Y11" s="3282"/>
      <c r="Z11" s="55" t="str">
        <f t="shared" si="7"/>
        <v>容积率</v>
      </c>
      <c r="AA11" s="717" t="e">
        <f t="shared" si="3"/>
        <v>#N/A</v>
      </c>
      <c r="AB11" s="717" t="e">
        <f t="shared" si="4"/>
        <v>#N/A</v>
      </c>
      <c r="AC11" s="717" t="e">
        <f t="shared" si="5"/>
        <v>#N/A</v>
      </c>
    </row>
    <row r="12" spans="1:29" s="117" customFormat="1" ht="15">
      <c r="A12" s="394"/>
      <c r="B12" s="2085">
        <v>111</v>
      </c>
      <c r="C12" s="395"/>
      <c r="D12" s="396">
        <v>100</v>
      </c>
      <c r="E12" s="397"/>
      <c r="F12" s="388">
        <f>SUMIF(70:70,E12,71:71)-SUMIF(70:70,C12,71:71)+100</f>
        <v>100</v>
      </c>
      <c r="G12" s="397"/>
      <c r="H12" s="136">
        <f>SUMIF(70:70,G12,71:71)-SUMIF(70:70,C12,71:71)+100</f>
        <v>100</v>
      </c>
      <c r="I12" s="397"/>
      <c r="J12" s="136">
        <f>SUMIF(70:70,I12,71:71)-SUMIF(70:70,C12,71:71)+100</f>
        <v>100</v>
      </c>
      <c r="K12" s="574"/>
      <c r="L12" s="2949"/>
      <c r="M12" s="2950"/>
      <c r="N12" s="2950"/>
      <c r="O12" s="2950"/>
      <c r="P12" s="3379"/>
      <c r="Q12" s="1533">
        <f t="shared" si="6"/>
        <v>111</v>
      </c>
      <c r="R12" s="714" t="s">
        <v>17</v>
      </c>
      <c r="S12" s="715">
        <f t="shared" si="0"/>
        <v>100</v>
      </c>
      <c r="T12" s="714" t="s">
        <v>17</v>
      </c>
      <c r="U12" s="715">
        <f t="shared" si="1"/>
        <v>100</v>
      </c>
      <c r="V12" s="714" t="s">
        <v>17</v>
      </c>
      <c r="W12" s="715">
        <f t="shared" si="2"/>
        <v>100</v>
      </c>
      <c r="X12" s="716"/>
      <c r="Y12" s="3282"/>
      <c r="Z12" s="55">
        <f t="shared" si="7"/>
        <v>111</v>
      </c>
      <c r="AA12" s="717">
        <f>D12/F12</f>
        <v>1</v>
      </c>
      <c r="AB12" s="717">
        <f>D12/H12</f>
        <v>1</v>
      </c>
      <c r="AC12" s="717">
        <f>D12/J12</f>
        <v>1</v>
      </c>
    </row>
    <row r="13" spans="1:29" ht="15">
      <c r="A13" s="391"/>
      <c r="B13" s="2085">
        <v>111</v>
      </c>
      <c r="C13" s="397"/>
      <c r="D13" s="398">
        <v>100</v>
      </c>
      <c r="E13" s="397"/>
      <c r="F13" s="388">
        <f>SUMIF(72:72,E13,73:73)-SUMIF(72:72,C13,73:73)+100</f>
        <v>100</v>
      </c>
      <c r="G13" s="397"/>
      <c r="H13" s="398">
        <f>SUMIF(72:72,G13,73:73)-SUMIF(72:72,C13,73:73)+100</f>
        <v>100</v>
      </c>
      <c r="I13" s="397"/>
      <c r="J13" s="398">
        <f>SUMIF(72:72,I13,73:73)-SUMIF(72:72,C13,73:73)+100</f>
        <v>100</v>
      </c>
      <c r="K13" s="574"/>
      <c r="L13" s="2954"/>
      <c r="M13" s="2948"/>
      <c r="N13" s="2948"/>
      <c r="O13" s="2948"/>
      <c r="P13" s="3379"/>
      <c r="Q13" s="1533">
        <f t="shared" si="6"/>
        <v>111</v>
      </c>
      <c r="R13" s="714" t="s">
        <v>17</v>
      </c>
      <c r="S13" s="715">
        <f t="shared" si="0"/>
        <v>100</v>
      </c>
      <c r="T13" s="714" t="s">
        <v>17</v>
      </c>
      <c r="U13" s="715">
        <f t="shared" si="1"/>
        <v>100</v>
      </c>
      <c r="V13" s="714" t="s">
        <v>17</v>
      </c>
      <c r="W13" s="715">
        <f t="shared" si="2"/>
        <v>100</v>
      </c>
      <c r="X13" s="716"/>
      <c r="Y13" s="3282"/>
      <c r="Z13" s="55">
        <f t="shared" si="7"/>
        <v>111</v>
      </c>
      <c r="AA13" s="717">
        <f t="shared" si="3"/>
        <v>1</v>
      </c>
      <c r="AB13" s="717">
        <f t="shared" si="4"/>
        <v>1</v>
      </c>
      <c r="AC13" s="717">
        <f t="shared" si="5"/>
        <v>1</v>
      </c>
    </row>
    <row r="14" spans="1:29" ht="15.6" thickBot="1">
      <c r="A14" s="399"/>
      <c r="B14" s="2087">
        <v>111</v>
      </c>
      <c r="C14" s="400"/>
      <c r="D14" s="401">
        <v>100</v>
      </c>
      <c r="E14" s="397"/>
      <c r="F14" s="402">
        <f>SUMIF(74:74,E14,75:75)-SUMIF(74:74,C14,75:75)+100</f>
        <v>100</v>
      </c>
      <c r="G14" s="397"/>
      <c r="H14" s="401">
        <f>SUMIF(74:74,G14,75:75)-SUMIF(74:74,C14,75:75)+100</f>
        <v>100</v>
      </c>
      <c r="I14" s="397"/>
      <c r="J14" s="401">
        <f>SUMIF(74:74,I14,75:75)-SUMIF(74:74,C14,75:75)+100</f>
        <v>100</v>
      </c>
      <c r="K14" s="574"/>
      <c r="L14" s="2954"/>
      <c r="M14" s="2948"/>
      <c r="N14" s="2948"/>
      <c r="O14" s="2948"/>
      <c r="P14" s="3379"/>
      <c r="Q14" s="1533">
        <f t="shared" si="6"/>
        <v>111</v>
      </c>
      <c r="R14" s="714" t="s">
        <v>17</v>
      </c>
      <c r="S14" s="715">
        <f t="shared" si="0"/>
        <v>100</v>
      </c>
      <c r="T14" s="714" t="s">
        <v>17</v>
      </c>
      <c r="U14" s="715">
        <f t="shared" si="1"/>
        <v>100</v>
      </c>
      <c r="V14" s="714" t="s">
        <v>17</v>
      </c>
      <c r="W14" s="715">
        <f t="shared" si="2"/>
        <v>100</v>
      </c>
      <c r="X14" s="716"/>
      <c r="Y14" s="3282"/>
      <c r="Z14" s="55">
        <f t="shared" si="7"/>
        <v>111</v>
      </c>
      <c r="AA14" s="717">
        <f t="shared" si="3"/>
        <v>1</v>
      </c>
      <c r="AB14" s="717">
        <f t="shared" si="4"/>
        <v>1</v>
      </c>
      <c r="AC14" s="717">
        <f t="shared" si="5"/>
        <v>1</v>
      </c>
    </row>
    <row r="15" spans="1:29" ht="69">
      <c r="A15" s="403" t="s">
        <v>2389</v>
      </c>
      <c r="B15" s="69" t="s">
        <v>2483</v>
      </c>
      <c r="C15" s="2088" t="str">
        <f>估价对象房地状况!C4</f>
        <v>估价对象位于XX商圈，周边商业氛围成熟，人流量大，商业繁华度好</v>
      </c>
      <c r="D15" s="404">
        <v>100</v>
      </c>
      <c r="E15" s="405"/>
      <c r="F15" s="406">
        <f>SUMIF(76:76,E16,77:77)-SUMIF(76:76,C16,77:77)+100</f>
        <v>100</v>
      </c>
      <c r="G15" s="407"/>
      <c r="H15" s="404">
        <f>SUMIF(76:76,G16,77:77)-SUMIF(76:76,C16,77:77)+100</f>
        <v>100</v>
      </c>
      <c r="I15" s="405"/>
      <c r="J15" s="404">
        <f>SUMIF(76:76,I16,77:77)-SUMIF(76:76,C16,77:77)+100</f>
        <v>100</v>
      </c>
      <c r="K15" s="575"/>
      <c r="L15" s="2954"/>
      <c r="M15" s="2948"/>
      <c r="N15" s="2948"/>
      <c r="O15" s="2948"/>
      <c r="P15" s="3406" t="s">
        <v>2390</v>
      </c>
      <c r="Q15" s="1542" t="str">
        <f t="shared" si="6"/>
        <v>商业繁华度</v>
      </c>
      <c r="R15" s="718" t="s">
        <v>17</v>
      </c>
      <c r="S15" s="719">
        <f t="shared" si="0"/>
        <v>100</v>
      </c>
      <c r="T15" s="718" t="s">
        <v>17</v>
      </c>
      <c r="U15" s="719">
        <f t="shared" si="1"/>
        <v>100</v>
      </c>
      <c r="V15" s="718" t="s">
        <v>17</v>
      </c>
      <c r="W15" s="719">
        <f t="shared" si="2"/>
        <v>100</v>
      </c>
      <c r="X15" s="1545"/>
      <c r="Y15" s="3399" t="s">
        <v>2390</v>
      </c>
      <c r="Z15" s="1546" t="str">
        <f t="shared" si="7"/>
        <v>商业繁华度</v>
      </c>
      <c r="AA15" s="1543">
        <f t="shared" si="3"/>
        <v>1</v>
      </c>
      <c r="AB15" s="1543">
        <f t="shared" si="4"/>
        <v>1</v>
      </c>
      <c r="AC15" s="1543">
        <f t="shared" si="5"/>
        <v>1</v>
      </c>
    </row>
    <row r="16" spans="1:29" ht="15">
      <c r="A16" s="391"/>
      <c r="B16" s="409"/>
      <c r="C16" s="410"/>
      <c r="D16" s="411"/>
      <c r="E16" s="410"/>
      <c r="F16" s="412"/>
      <c r="G16" s="410"/>
      <c r="H16" s="413"/>
      <c r="I16" s="410"/>
      <c r="J16" s="411"/>
      <c r="K16" s="576"/>
      <c r="L16" s="2954"/>
      <c r="M16" s="2948"/>
      <c r="N16" s="2948"/>
      <c r="O16" s="2948"/>
      <c r="P16" s="3407"/>
      <c r="Q16" s="1542"/>
      <c r="R16" s="718"/>
      <c r="S16" s="719"/>
      <c r="T16" s="718"/>
      <c r="U16" s="719"/>
      <c r="V16" s="718"/>
      <c r="W16" s="719"/>
      <c r="X16" s="1545"/>
      <c r="Y16" s="3400"/>
      <c r="Z16" s="1546"/>
      <c r="AA16" s="1543">
        <v>1</v>
      </c>
      <c r="AB16" s="1543">
        <v>1</v>
      </c>
      <c r="AC16" s="1543">
        <v>1</v>
      </c>
    </row>
    <row r="17" spans="1:29" ht="82.8">
      <c r="A17" s="391"/>
      <c r="B17" s="414" t="s">
        <v>1947</v>
      </c>
      <c r="C17" s="2092" t="str">
        <f>估价对象房地状况!C6</f>
        <v>估价对象周边道路状况、公共交通通达情况、停车便捷程度，综合评价交通便捷度较好</v>
      </c>
      <c r="D17" s="413">
        <v>100</v>
      </c>
      <c r="E17" s="415"/>
      <c r="F17" s="416">
        <f>SUMIF(78:78,E18,79:79)-SUMIF(78:78,C18,79:79)+100</f>
        <v>100</v>
      </c>
      <c r="G17" s="417"/>
      <c r="H17" s="418">
        <f>SUMIF(78:78,G18,79:79)-SUMIF(78:78,C18,79:79)+100</f>
        <v>100</v>
      </c>
      <c r="I17" s="415"/>
      <c r="J17" s="418">
        <f>SUMIF(78:78,I18,79:79)-SUMIF(78:78,C18,79:79)+100</f>
        <v>100</v>
      </c>
      <c r="K17" s="575"/>
      <c r="L17" s="2954"/>
      <c r="M17" s="2948"/>
      <c r="N17" s="2948"/>
      <c r="O17" s="2948"/>
      <c r="P17" s="3407"/>
      <c r="Q17" s="1542" t="str">
        <f>B17</f>
        <v>交通便捷度</v>
      </c>
      <c r="R17" s="718" t="s">
        <v>17</v>
      </c>
      <c r="S17" s="719">
        <f>F17</f>
        <v>100</v>
      </c>
      <c r="T17" s="718" t="s">
        <v>17</v>
      </c>
      <c r="U17" s="719">
        <f>H17</f>
        <v>100</v>
      </c>
      <c r="V17" s="718" t="s">
        <v>17</v>
      </c>
      <c r="W17" s="719">
        <f>J17</f>
        <v>100</v>
      </c>
      <c r="X17" s="1545"/>
      <c r="Y17" s="3400"/>
      <c r="Z17" s="1546" t="str">
        <f>Q17</f>
        <v>交通便捷度</v>
      </c>
      <c r="AA17" s="1543">
        <f t="shared" si="3"/>
        <v>1</v>
      </c>
      <c r="AB17" s="1543">
        <f t="shared" si="4"/>
        <v>1</v>
      </c>
      <c r="AC17" s="1543">
        <f t="shared" si="5"/>
        <v>1</v>
      </c>
    </row>
    <row r="18" spans="1:29" ht="15">
      <c r="A18" s="391"/>
      <c r="B18" s="419"/>
      <c r="C18" s="2093"/>
      <c r="D18" s="413"/>
      <c r="E18" s="2095"/>
      <c r="F18" s="416"/>
      <c r="G18" s="2094"/>
      <c r="H18" s="411"/>
      <c r="I18" s="2095"/>
      <c r="J18" s="411"/>
      <c r="K18" s="576"/>
      <c r="L18" s="2954"/>
      <c r="M18" s="2948"/>
      <c r="N18" s="2948"/>
      <c r="O18" s="2948"/>
      <c r="P18" s="3407"/>
      <c r="Q18" s="1542"/>
      <c r="R18" s="718"/>
      <c r="S18" s="719"/>
      <c r="T18" s="718"/>
      <c r="U18" s="719"/>
      <c r="V18" s="718"/>
      <c r="W18" s="719"/>
      <c r="X18" s="1545"/>
      <c r="Y18" s="3400"/>
      <c r="Z18" s="1546"/>
      <c r="AA18" s="1543">
        <v>1</v>
      </c>
      <c r="AB18" s="1543">
        <v>1</v>
      </c>
      <c r="AC18" s="1543">
        <v>1</v>
      </c>
    </row>
    <row r="19" spans="1:29" ht="41.4">
      <c r="A19" s="391"/>
      <c r="B19" s="414" t="s">
        <v>2484</v>
      </c>
      <c r="C19" s="2092" t="str">
        <f>估价对象房地状况!C7</f>
        <v>估价对象所在区域公共配套设施齐备情况</v>
      </c>
      <c r="D19" s="418">
        <v>100</v>
      </c>
      <c r="E19" s="420"/>
      <c r="F19" s="421">
        <f>SUMIF(80:80,E20,81:81)-SUMIF(80:80,C20,81:81)+100</f>
        <v>100</v>
      </c>
      <c r="G19" s="422"/>
      <c r="H19" s="413">
        <f>SUMIF(80:80,G20,81:81)-SUMIF(80:80,C20,81:81)+100</f>
        <v>100</v>
      </c>
      <c r="I19" s="420"/>
      <c r="J19" s="413">
        <f>SUMIF(80:80,I20,81:81)-SUMIF(80:80,C20,81:81)+100</f>
        <v>100</v>
      </c>
      <c r="K19" s="575"/>
      <c r="L19" s="2954"/>
      <c r="M19" s="2948"/>
      <c r="N19" s="2948"/>
      <c r="O19" s="2948"/>
      <c r="P19" s="3407"/>
      <c r="Q19" s="1542" t="str">
        <f>B19</f>
        <v>公共配套设施</v>
      </c>
      <c r="R19" s="718" t="s">
        <v>17</v>
      </c>
      <c r="S19" s="719">
        <f>F19</f>
        <v>100</v>
      </c>
      <c r="T19" s="718" t="s">
        <v>17</v>
      </c>
      <c r="U19" s="719">
        <f>H19</f>
        <v>100</v>
      </c>
      <c r="V19" s="718" t="s">
        <v>17</v>
      </c>
      <c r="W19" s="719">
        <f>J19</f>
        <v>100</v>
      </c>
      <c r="X19" s="1545"/>
      <c r="Y19" s="3400"/>
      <c r="Z19" s="1546" t="str">
        <f>Q19</f>
        <v>公共配套设施</v>
      </c>
      <c r="AA19" s="1543">
        <f t="shared" si="3"/>
        <v>1</v>
      </c>
      <c r="AB19" s="1543">
        <f t="shared" si="4"/>
        <v>1</v>
      </c>
      <c r="AC19" s="1543">
        <f t="shared" si="5"/>
        <v>1</v>
      </c>
    </row>
    <row r="20" spans="1:29" ht="15">
      <c r="A20" s="391"/>
      <c r="B20" s="419"/>
      <c r="C20" s="410"/>
      <c r="D20" s="411"/>
      <c r="E20" s="2090"/>
      <c r="F20" s="412"/>
      <c r="G20" s="2089"/>
      <c r="H20" s="411"/>
      <c r="I20" s="2090"/>
      <c r="J20" s="411"/>
      <c r="K20" s="576"/>
      <c r="L20" s="2954"/>
      <c r="M20" s="2948"/>
      <c r="N20" s="2948"/>
      <c r="O20" s="2948"/>
      <c r="P20" s="3407"/>
      <c r="Q20" s="1542"/>
      <c r="R20" s="718"/>
      <c r="S20" s="719"/>
      <c r="T20" s="718"/>
      <c r="U20" s="719"/>
      <c r="V20" s="718"/>
      <c r="W20" s="719"/>
      <c r="X20" s="1545"/>
      <c r="Y20" s="3400"/>
      <c r="Z20" s="1546"/>
      <c r="AA20" s="1543">
        <v>1</v>
      </c>
      <c r="AB20" s="1543">
        <v>1</v>
      </c>
      <c r="AC20" s="1543">
        <v>1</v>
      </c>
    </row>
    <row r="21" spans="1:29" ht="27.6">
      <c r="A21" s="391"/>
      <c r="B21" s="1297" t="s">
        <v>2485</v>
      </c>
      <c r="C21" s="2092" t="str">
        <f>估价对象房地状况!C8</f>
        <v>估价对象所在区域基础设施水平</v>
      </c>
      <c r="D21" s="418">
        <v>100</v>
      </c>
      <c r="E21" s="420"/>
      <c r="F21" s="421">
        <f>SUMIF(82:82,E22,83:83)-SUMIF(82:82,C22,83:83)+100</f>
        <v>100</v>
      </c>
      <c r="G21" s="422"/>
      <c r="H21" s="413">
        <f>SUMIF(82:82,G22,83:83)-SUMIF(82:82,C22,83:83)+100</f>
        <v>100</v>
      </c>
      <c r="I21" s="420"/>
      <c r="J21" s="413">
        <f>SUMIF(82:82,I22,83:83)-SUMIF(82:82,C22,83:83)+100</f>
        <v>100</v>
      </c>
      <c r="K21" s="575"/>
      <c r="L21" s="2954"/>
      <c r="M21" s="2948"/>
      <c r="N21" s="2948"/>
      <c r="O21" s="2948"/>
      <c r="P21" s="3407"/>
      <c r="Q21" s="1542" t="str">
        <f>B21</f>
        <v>基础设施水平</v>
      </c>
      <c r="R21" s="718" t="s">
        <v>17</v>
      </c>
      <c r="S21" s="719">
        <f>F21</f>
        <v>100</v>
      </c>
      <c r="T21" s="718" t="s">
        <v>17</v>
      </c>
      <c r="U21" s="719">
        <f>H21</f>
        <v>100</v>
      </c>
      <c r="V21" s="718" t="s">
        <v>17</v>
      </c>
      <c r="W21" s="719">
        <f>J21</f>
        <v>100</v>
      </c>
      <c r="X21" s="1545"/>
      <c r="Y21" s="3400"/>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2"/>
      <c r="G22" s="410"/>
      <c r="H22" s="411"/>
      <c r="I22" s="410"/>
      <c r="J22" s="411"/>
      <c r="K22" s="1296"/>
      <c r="L22" s="2954"/>
      <c r="M22" s="2948"/>
      <c r="N22" s="2948"/>
      <c r="O22" s="2948"/>
      <c r="P22" s="3407"/>
      <c r="Q22" s="1542"/>
      <c r="R22" s="718"/>
      <c r="S22" s="719"/>
      <c r="T22" s="718"/>
      <c r="U22" s="719"/>
      <c r="V22" s="718"/>
      <c r="W22" s="719"/>
      <c r="X22" s="1545"/>
      <c r="Y22" s="3400"/>
      <c r="Z22" s="1546"/>
      <c r="AA22" s="1543">
        <v>1</v>
      </c>
      <c r="AB22" s="1543">
        <v>1</v>
      </c>
      <c r="AC22" s="1543">
        <v>1</v>
      </c>
    </row>
    <row r="23" spans="1:29" ht="55.2">
      <c r="A23" s="391"/>
      <c r="B23" s="414" t="s">
        <v>1949</v>
      </c>
      <c r="C23" s="2147" t="str">
        <f>估价对象房地状况!C9</f>
        <v>区域自然环境：；人文环境；综合评价环境状况一般</v>
      </c>
      <c r="D23" s="413">
        <v>100</v>
      </c>
      <c r="E23" s="415"/>
      <c r="F23" s="416">
        <f>SUMIF(84:84,E24,85:85)-SUMIF(84:84,C24,85:85)+100</f>
        <v>100</v>
      </c>
      <c r="G23" s="417"/>
      <c r="H23" s="413">
        <f>SUMIF(84:84,G24,85:85)-SUMIF(84:84,C24,85:85)+100</f>
        <v>100</v>
      </c>
      <c r="I23" s="415"/>
      <c r="J23" s="413">
        <f>SUMIF(84:84,I24,85:85)-SUMIF(84:84,C24,85:85)+100</f>
        <v>100</v>
      </c>
      <c r="K23" s="575"/>
      <c r="L23" s="2954"/>
      <c r="M23" s="2948"/>
      <c r="N23" s="2948"/>
      <c r="O23" s="2948"/>
      <c r="P23" s="3407"/>
      <c r="Q23" s="1542" t="str">
        <f>B23</f>
        <v>自然及人文环境</v>
      </c>
      <c r="R23" s="718" t="s">
        <v>17</v>
      </c>
      <c r="S23" s="719">
        <f>F23</f>
        <v>100</v>
      </c>
      <c r="T23" s="718" t="s">
        <v>17</v>
      </c>
      <c r="U23" s="719">
        <f>H23</f>
        <v>100</v>
      </c>
      <c r="V23" s="718" t="s">
        <v>17</v>
      </c>
      <c r="W23" s="719">
        <f>J23</f>
        <v>100</v>
      </c>
      <c r="X23" s="1545"/>
      <c r="Y23" s="3400"/>
      <c r="Z23" s="1546" t="str">
        <f>Q23</f>
        <v>自然及人文环境</v>
      </c>
      <c r="AA23" s="1543">
        <f t="shared" si="3"/>
        <v>1</v>
      </c>
      <c r="AB23" s="1543">
        <f t="shared" si="4"/>
        <v>1</v>
      </c>
      <c r="AC23" s="1543">
        <f t="shared" si="5"/>
        <v>1</v>
      </c>
    </row>
    <row r="24" spans="1:29" ht="15">
      <c r="A24" s="391"/>
      <c r="B24" s="419"/>
      <c r="C24" s="410"/>
      <c r="D24" s="411"/>
      <c r="E24" s="2090"/>
      <c r="F24" s="412"/>
      <c r="G24" s="2089"/>
      <c r="H24" s="411"/>
      <c r="I24" s="2090"/>
      <c r="J24" s="411"/>
      <c r="K24" s="576"/>
      <c r="L24" s="2954"/>
      <c r="M24" s="2948"/>
      <c r="N24" s="2948"/>
      <c r="O24" s="2948"/>
      <c r="P24" s="3407"/>
      <c r="Q24" s="1542"/>
      <c r="R24" s="718"/>
      <c r="S24" s="719"/>
      <c r="T24" s="718"/>
      <c r="U24" s="719"/>
      <c r="V24" s="718"/>
      <c r="W24" s="719"/>
      <c r="X24" s="1545"/>
      <c r="Y24" s="3400"/>
      <c r="Z24" s="1546"/>
      <c r="AA24" s="1543">
        <v>1</v>
      </c>
      <c r="AB24" s="1543">
        <v>1</v>
      </c>
      <c r="AC24" s="1543">
        <v>1</v>
      </c>
    </row>
    <row r="25" spans="1:29" ht="15">
      <c r="A25" s="391"/>
      <c r="B25" s="385" t="s">
        <v>2486</v>
      </c>
      <c r="C25" s="577"/>
      <c r="D25" s="398">
        <v>100</v>
      </c>
      <c r="E25" s="577"/>
      <c r="F25" s="424">
        <f>SUMIF(86:86,E25,87:87)-SUMIF(86:86,C25,87:87)+100</f>
        <v>100</v>
      </c>
      <c r="G25" s="577"/>
      <c r="H25" s="398">
        <f>SUMIF(86:86,G25,87:87)-SUMIF(86:86,C25,87:87)+100</f>
        <v>100</v>
      </c>
      <c r="I25" s="577"/>
      <c r="J25" s="398">
        <f>SUMIF(86:86,I25,87:87)-SUMIF(86:86,C25,87:87)+100</f>
        <v>100</v>
      </c>
      <c r="K25" s="573"/>
      <c r="L25" s="2954"/>
      <c r="M25" s="2948"/>
      <c r="N25" s="2948"/>
      <c r="O25" s="2948"/>
      <c r="P25" s="3407"/>
      <c r="Q25" s="1542" t="str">
        <f t="shared" ref="Q25:Q46" si="11">B25</f>
        <v>临街状况</v>
      </c>
      <c r="R25" s="718" t="s">
        <v>17</v>
      </c>
      <c r="S25" s="719">
        <f>F25</f>
        <v>100</v>
      </c>
      <c r="T25" s="718" t="s">
        <v>17</v>
      </c>
      <c r="U25" s="719">
        <f>H25</f>
        <v>100</v>
      </c>
      <c r="V25" s="718" t="s">
        <v>17</v>
      </c>
      <c r="W25" s="719">
        <f>J25</f>
        <v>100</v>
      </c>
      <c r="X25" s="1545"/>
      <c r="Y25" s="3400"/>
      <c r="Z25" s="1546" t="str">
        <f>Q25</f>
        <v>临街状况</v>
      </c>
      <c r="AA25" s="1543">
        <f t="shared" si="3"/>
        <v>1</v>
      </c>
      <c r="AB25" s="1543">
        <f t="shared" si="4"/>
        <v>1</v>
      </c>
      <c r="AC25" s="1543">
        <f t="shared" si="5"/>
        <v>1</v>
      </c>
    </row>
    <row r="26" spans="1:29" ht="15">
      <c r="A26" s="391"/>
      <c r="B26" s="1299" t="s">
        <v>2487</v>
      </c>
      <c r="C26" s="397"/>
      <c r="D26" s="398">
        <v>100</v>
      </c>
      <c r="E26" s="397"/>
      <c r="F26" s="424">
        <f>SUMIF(88:88,E26,89:89)-SUMIF(88:88,C26,89:89)+100</f>
        <v>100</v>
      </c>
      <c r="G26" s="397"/>
      <c r="H26" s="398">
        <f>SUMIF(88:88,G26,89:89)-SUMIF(88:88,C26,89:89)+100</f>
        <v>100</v>
      </c>
      <c r="I26" s="397"/>
      <c r="J26" s="398">
        <f>SUMIF(88:88,I26,89:89)-SUMIF(88:88,C26,89:89)+100</f>
        <v>100</v>
      </c>
      <c r="K26" s="574"/>
      <c r="L26" s="2954"/>
      <c r="M26" s="2948"/>
      <c r="N26" s="2948"/>
      <c r="O26" s="2948"/>
      <c r="P26" s="3407"/>
      <c r="Q26" s="1542" t="str">
        <f t="shared" si="11"/>
        <v>平面位置/可视性</v>
      </c>
      <c r="R26" s="718" t="s">
        <v>17</v>
      </c>
      <c r="S26" s="719">
        <f>F26</f>
        <v>100</v>
      </c>
      <c r="T26" s="718" t="s">
        <v>17</v>
      </c>
      <c r="U26" s="719">
        <f>H26</f>
        <v>100</v>
      </c>
      <c r="V26" s="718" t="s">
        <v>17</v>
      </c>
      <c r="W26" s="719">
        <f>J26</f>
        <v>100</v>
      </c>
      <c r="X26" s="1545"/>
      <c r="Y26" s="3400"/>
      <c r="Z26" s="1546" t="str">
        <f>Q26</f>
        <v>平面位置/可视性</v>
      </c>
      <c r="AA26" s="1543">
        <f t="shared" si="3"/>
        <v>1</v>
      </c>
      <c r="AB26" s="1543">
        <f t="shared" si="4"/>
        <v>1</v>
      </c>
      <c r="AC26" s="1543">
        <f t="shared" si="5"/>
        <v>1</v>
      </c>
    </row>
    <row r="27" spans="1:29" s="117" customFormat="1" ht="15">
      <c r="A27" s="394"/>
      <c r="B27" s="414" t="s">
        <v>2488</v>
      </c>
      <c r="C27" s="2148"/>
      <c r="D27" s="425">
        <v>100</v>
      </c>
      <c r="E27" s="2148"/>
      <c r="F27" s="427">
        <f>SUMIF(90:90,E27,91:91)-SUMIF(90:90,C27,91:91)+100</f>
        <v>100</v>
      </c>
      <c r="G27" s="2148"/>
      <c r="H27" s="425">
        <f>SUMIF(90:90,G27,91:91)-SUMIF(90:90,C27,91:91)+100</f>
        <v>100</v>
      </c>
      <c r="I27" s="2148"/>
      <c r="J27" s="425">
        <f>SUMIF(90:90,I27,91:91)-SUMIF(90:90,C27,91:91)+100</f>
        <v>100</v>
      </c>
      <c r="K27" s="573"/>
      <c r="L27" s="2949"/>
      <c r="M27" s="2950"/>
      <c r="N27" s="2950"/>
      <c r="O27" s="2950"/>
      <c r="P27" s="3407"/>
      <c r="Q27" s="1533" t="str">
        <f t="shared" si="11"/>
        <v>人流量</v>
      </c>
      <c r="R27" s="714" t="s">
        <v>17</v>
      </c>
      <c r="S27" s="715">
        <f>F27</f>
        <v>100</v>
      </c>
      <c r="T27" s="714" t="s">
        <v>17</v>
      </c>
      <c r="U27" s="715">
        <f>H27</f>
        <v>100</v>
      </c>
      <c r="V27" s="714" t="s">
        <v>17</v>
      </c>
      <c r="W27" s="715">
        <f>J27</f>
        <v>100</v>
      </c>
      <c r="X27" s="716"/>
      <c r="Y27" s="3400"/>
      <c r="Z27" s="55" t="str">
        <f>Q27</f>
        <v>人流量</v>
      </c>
      <c r="AA27" s="1543">
        <f>D27/F27</f>
        <v>1</v>
      </c>
      <c r="AB27" s="1543">
        <f>D27/H27</f>
        <v>1</v>
      </c>
      <c r="AC27" s="1543">
        <f>D27/J27</f>
        <v>1</v>
      </c>
    </row>
    <row r="28" spans="1:29" ht="15">
      <c r="A28" s="391"/>
      <c r="B28" s="385" t="s">
        <v>2489</v>
      </c>
      <c r="C28" s="577"/>
      <c r="D28" s="398">
        <v>100</v>
      </c>
      <c r="E28" s="577"/>
      <c r="F28" s="424">
        <f>SUMIF(92:92,E28,93:93)-SUMIF(92:92,C28,93:93)+100</f>
        <v>100</v>
      </c>
      <c r="G28" s="577"/>
      <c r="H28" s="398">
        <f>SUMIF(92:92,G28,93:93)-SUMIF(92:92,C28,93:93)+100</f>
        <v>100</v>
      </c>
      <c r="I28" s="577"/>
      <c r="J28" s="398">
        <f>SUMIF(92:92,I28,93:93)-SUMIF(92:92,C28,93:93)+100</f>
        <v>100</v>
      </c>
      <c r="K28" s="574"/>
      <c r="L28" s="2954"/>
      <c r="M28" s="2948"/>
      <c r="N28" s="2948"/>
      <c r="O28" s="2948"/>
      <c r="P28" s="3407"/>
      <c r="Q28" s="1542" t="str">
        <f t="shared" si="11"/>
        <v>楼层</v>
      </c>
      <c r="R28" s="718" t="s">
        <v>17</v>
      </c>
      <c r="S28" s="719">
        <f t="shared" ref="S28:S46" si="12">F28</f>
        <v>100</v>
      </c>
      <c r="T28" s="718" t="s">
        <v>17</v>
      </c>
      <c r="U28" s="719">
        <f t="shared" ref="U28:U46" si="13">H28</f>
        <v>100</v>
      </c>
      <c r="V28" s="718" t="s">
        <v>17</v>
      </c>
      <c r="W28" s="719">
        <f t="shared" ref="W28:W46" si="14">J28</f>
        <v>100</v>
      </c>
      <c r="X28" s="1545"/>
      <c r="Y28" s="3400"/>
      <c r="Z28" s="1546" t="str">
        <f t="shared" ref="Z28:Z46" si="15">Q28</f>
        <v>楼层</v>
      </c>
      <c r="AA28" s="1543">
        <f t="shared" si="3"/>
        <v>1</v>
      </c>
      <c r="AB28" s="1543">
        <f t="shared" si="4"/>
        <v>1</v>
      </c>
      <c r="AC28" s="1543">
        <f t="shared" si="5"/>
        <v>1</v>
      </c>
    </row>
    <row r="29" spans="1:29" ht="15">
      <c r="A29" s="391"/>
      <c r="B29" s="1299">
        <v>111</v>
      </c>
      <c r="C29" s="397"/>
      <c r="D29" s="398">
        <v>100</v>
      </c>
      <c r="E29" s="397"/>
      <c r="F29" s="424">
        <f>SUMIF(94:94,E29,95:95)-SUMIF(94:94,C29,95:95)+100</f>
        <v>100</v>
      </c>
      <c r="G29" s="397"/>
      <c r="H29" s="398">
        <f>SUMIF(94:94,G29,95:95)-SUMIF(94:94,C29,95:95)+100</f>
        <v>100</v>
      </c>
      <c r="I29" s="397"/>
      <c r="J29" s="398">
        <f>SUMIF(94:94,I29,95:95)-SUMIF(94:94,C29,95:95)+100</f>
        <v>100</v>
      </c>
      <c r="K29" s="574"/>
      <c r="L29" s="2954"/>
      <c r="M29" s="2948"/>
      <c r="N29" s="2948"/>
      <c r="O29" s="2948"/>
      <c r="P29" s="3407"/>
      <c r="Q29" s="1542">
        <f t="shared" si="11"/>
        <v>111</v>
      </c>
      <c r="R29" s="718" t="s">
        <v>17</v>
      </c>
      <c r="S29" s="719">
        <f t="shared" si="12"/>
        <v>100</v>
      </c>
      <c r="T29" s="718" t="s">
        <v>17</v>
      </c>
      <c r="U29" s="719">
        <f t="shared" si="13"/>
        <v>100</v>
      </c>
      <c r="V29" s="718" t="s">
        <v>17</v>
      </c>
      <c r="W29" s="719">
        <f t="shared" si="14"/>
        <v>100</v>
      </c>
      <c r="X29" s="1545"/>
      <c r="Y29" s="3400"/>
      <c r="Z29" s="1546">
        <f t="shared" si="15"/>
        <v>111</v>
      </c>
      <c r="AA29" s="1543">
        <f t="shared" si="3"/>
        <v>1</v>
      </c>
      <c r="AB29" s="1543">
        <f t="shared" si="4"/>
        <v>1</v>
      </c>
      <c r="AC29" s="1543">
        <f t="shared" si="5"/>
        <v>1</v>
      </c>
    </row>
    <row r="30" spans="1:29" ht="15">
      <c r="A30" s="391"/>
      <c r="B30" s="1299">
        <v>111</v>
      </c>
      <c r="C30" s="397"/>
      <c r="D30" s="398">
        <v>100</v>
      </c>
      <c r="E30" s="397"/>
      <c r="F30" s="424">
        <f>SUMIF(96:96,E30,97:97)-SUMIF(96:96,C30,97:97)+100</f>
        <v>100</v>
      </c>
      <c r="G30" s="397"/>
      <c r="H30" s="398">
        <f>SUMIF(96:96,G30,97:97)-SUMIF(96:96,C30,97:97)+100</f>
        <v>100</v>
      </c>
      <c r="I30" s="397"/>
      <c r="J30" s="398">
        <f>SUMIF(96:96,I30,97:97)-SUMIF(96:96,C30,97:97)+100</f>
        <v>100</v>
      </c>
      <c r="K30" s="574"/>
      <c r="L30" s="2954"/>
      <c r="M30" s="2948"/>
      <c r="N30" s="2948"/>
      <c r="O30" s="2948"/>
      <c r="P30" s="3407"/>
      <c r="Q30" s="1542">
        <f t="shared" si="11"/>
        <v>111</v>
      </c>
      <c r="R30" s="718" t="s">
        <v>17</v>
      </c>
      <c r="S30" s="719">
        <f t="shared" si="12"/>
        <v>100</v>
      </c>
      <c r="T30" s="718" t="s">
        <v>17</v>
      </c>
      <c r="U30" s="719">
        <f t="shared" si="13"/>
        <v>100</v>
      </c>
      <c r="V30" s="718" t="s">
        <v>17</v>
      </c>
      <c r="W30" s="719">
        <f t="shared" si="14"/>
        <v>100</v>
      </c>
      <c r="X30" s="1545"/>
      <c r="Y30" s="3400"/>
      <c r="Z30" s="1546">
        <f t="shared" si="15"/>
        <v>111</v>
      </c>
      <c r="AA30" s="1543">
        <f t="shared" si="3"/>
        <v>1</v>
      </c>
      <c r="AB30" s="1543">
        <f t="shared" si="4"/>
        <v>1</v>
      </c>
      <c r="AC30" s="1543">
        <f t="shared" si="5"/>
        <v>1</v>
      </c>
    </row>
    <row r="31" spans="1:29" ht="15.6" thickBot="1">
      <c r="A31" s="399"/>
      <c r="B31" s="1299">
        <v>111</v>
      </c>
      <c r="C31" s="400"/>
      <c r="D31" s="401">
        <v>100</v>
      </c>
      <c r="E31" s="397"/>
      <c r="F31" s="402">
        <f>SUMIF(98:98,E31,99:99)-SUMIF(98:98,C31,99:99)+100</f>
        <v>100</v>
      </c>
      <c r="G31" s="397"/>
      <c r="H31" s="401">
        <f>SUMIF(98:98,G31,99:99)-SUMIF(98:98,C31,99:99)+100</f>
        <v>100</v>
      </c>
      <c r="I31" s="397"/>
      <c r="J31" s="401">
        <f>SUMIF(98:98,I31,99:99)-SUMIF(98:98,C31,99:99)+100</f>
        <v>100</v>
      </c>
      <c r="K31" s="574"/>
      <c r="L31" s="2954"/>
      <c r="M31" s="2948"/>
      <c r="N31" s="2948"/>
      <c r="O31" s="2948"/>
      <c r="P31" s="3407"/>
      <c r="Q31" s="1542">
        <f t="shared" si="11"/>
        <v>111</v>
      </c>
      <c r="R31" s="718" t="s">
        <v>17</v>
      </c>
      <c r="S31" s="719">
        <f t="shared" si="12"/>
        <v>100</v>
      </c>
      <c r="T31" s="718" t="s">
        <v>17</v>
      </c>
      <c r="U31" s="719">
        <f t="shared" si="13"/>
        <v>100</v>
      </c>
      <c r="V31" s="718" t="s">
        <v>17</v>
      </c>
      <c r="W31" s="719">
        <f t="shared" si="14"/>
        <v>100</v>
      </c>
      <c r="X31" s="1545"/>
      <c r="Y31" s="3400"/>
      <c r="Z31" s="1546">
        <f t="shared" si="15"/>
        <v>111</v>
      </c>
      <c r="AA31" s="1543">
        <f t="shared" si="3"/>
        <v>1</v>
      </c>
      <c r="AB31" s="1543">
        <f t="shared" si="4"/>
        <v>1</v>
      </c>
      <c r="AC31" s="1543">
        <f t="shared" si="5"/>
        <v>1</v>
      </c>
    </row>
    <row r="32" spans="1:29" ht="15">
      <c r="A32" s="403" t="s">
        <v>2393</v>
      </c>
      <c r="B32" s="71" t="s">
        <v>2490</v>
      </c>
      <c r="C32" s="2102"/>
      <c r="D32" s="430">
        <v>100</v>
      </c>
      <c r="E32" s="2102"/>
      <c r="F32" s="424">
        <f>SUMIF(100:100,E32,101:101)-SUMIF(100:100,C32,101:101)+100</f>
        <v>100</v>
      </c>
      <c r="G32" s="2102"/>
      <c r="H32" s="398">
        <f>SUMIF(100:100,G32,101:101)-SUMIF(100:100,C32,101:101)+100</f>
        <v>100</v>
      </c>
      <c r="I32" s="2102"/>
      <c r="J32" s="430">
        <f>SUMIF(100:100,I32,101:101)-SUMIF(100:100,C32,101:101)+100</f>
        <v>100</v>
      </c>
      <c r="K32" s="573"/>
      <c r="L32" s="2954"/>
      <c r="M32" s="2948"/>
      <c r="N32" s="2948"/>
      <c r="O32" s="2948"/>
      <c r="P32" s="3401" t="s">
        <v>2395</v>
      </c>
      <c r="Q32" s="1542" t="str">
        <f t="shared" si="11"/>
        <v>商业类型</v>
      </c>
      <c r="R32" s="718" t="s">
        <v>17</v>
      </c>
      <c r="S32" s="719">
        <f t="shared" si="12"/>
        <v>100</v>
      </c>
      <c r="T32" s="718" t="s">
        <v>17</v>
      </c>
      <c r="U32" s="719">
        <f t="shared" si="13"/>
        <v>100</v>
      </c>
      <c r="V32" s="718" t="s">
        <v>17</v>
      </c>
      <c r="W32" s="719">
        <f t="shared" si="14"/>
        <v>100</v>
      </c>
      <c r="X32" s="1545"/>
      <c r="Y32" s="3404" t="s">
        <v>2395</v>
      </c>
      <c r="Z32" s="1546" t="str">
        <f t="shared" si="15"/>
        <v>商业类型</v>
      </c>
      <c r="AA32" s="1543">
        <f t="shared" si="3"/>
        <v>1</v>
      </c>
      <c r="AB32" s="1543">
        <f t="shared" si="4"/>
        <v>1</v>
      </c>
      <c r="AC32" s="1543">
        <f t="shared" si="5"/>
        <v>1</v>
      </c>
    </row>
    <row r="33" spans="1:29" s="434" customFormat="1" ht="15">
      <c r="A33" s="431"/>
      <c r="B33" s="385" t="s">
        <v>2396</v>
      </c>
      <c r="C33" s="432"/>
      <c r="D33" s="136">
        <v>100</v>
      </c>
      <c r="E33" s="393"/>
      <c r="F33" s="388" t="e">
        <f>LOOKUP(E33,103:103,104:104)-LOOKUP(C33,103:103,104:104)+100</f>
        <v>#N/A</v>
      </c>
      <c r="G33" s="392"/>
      <c r="H33" s="136" t="e">
        <f>LOOKUP(G33,103:103,104:104)-LOOKUP(C33,103:103,104:104)+100</f>
        <v>#N/A</v>
      </c>
      <c r="I33" s="392"/>
      <c r="J33" s="136" t="e">
        <f>LOOKUP(I33,103:103,104:104)-LOOKUP(C33,103:103,104:104)+100</f>
        <v>#N/A</v>
      </c>
      <c r="K33" s="574"/>
      <c r="L33" s="2953"/>
      <c r="M33" s="2955"/>
      <c r="N33" s="2955"/>
      <c r="O33" s="2955"/>
      <c r="P33" s="3402"/>
      <c r="Q33" s="720" t="str">
        <f t="shared" si="11"/>
        <v>项目建筑规模</v>
      </c>
      <c r="R33" s="721" t="s">
        <v>17</v>
      </c>
      <c r="S33" s="722" t="e">
        <f t="shared" si="12"/>
        <v>#N/A</v>
      </c>
      <c r="T33" s="721" t="s">
        <v>17</v>
      </c>
      <c r="U33" s="722" t="e">
        <f t="shared" si="13"/>
        <v>#N/A</v>
      </c>
      <c r="V33" s="721" t="s">
        <v>17</v>
      </c>
      <c r="W33" s="722" t="e">
        <f t="shared" si="14"/>
        <v>#N/A</v>
      </c>
      <c r="X33" s="723"/>
      <c r="Y33" s="3404"/>
      <c r="Z33" s="724" t="str">
        <f t="shared" si="15"/>
        <v>项目建筑规模</v>
      </c>
      <c r="AA33" s="1543" t="e">
        <f t="shared" si="3"/>
        <v>#N/A</v>
      </c>
      <c r="AB33" s="1543" t="e">
        <f t="shared" si="4"/>
        <v>#N/A</v>
      </c>
      <c r="AC33" s="1543" t="e">
        <f t="shared" si="5"/>
        <v>#N/A</v>
      </c>
    </row>
    <row r="34" spans="1:29" ht="15">
      <c r="A34" s="435"/>
      <c r="B34" s="385" t="s">
        <v>2397</v>
      </c>
      <c r="C34" s="2104"/>
      <c r="D34" s="398">
        <v>100</v>
      </c>
      <c r="E34" s="2104"/>
      <c r="F34" s="424">
        <f>SUMIF(105:105,E34,106:106)-SUMIF(105:105,C34,106:106)+100</f>
        <v>100</v>
      </c>
      <c r="G34" s="2104"/>
      <c r="H34" s="398">
        <f>SUMIF(105:105,G34,106:106)-SUMIF(105:105,C34,106:106)+100</f>
        <v>100</v>
      </c>
      <c r="I34" s="2104"/>
      <c r="J34" s="398">
        <f>SUMIF(105:105,I34,106:106)-SUMIF(105:105,C34,106:106)+100</f>
        <v>100</v>
      </c>
      <c r="K34" s="573"/>
      <c r="L34" s="2954"/>
      <c r="M34" s="2948"/>
      <c r="N34" s="2948"/>
      <c r="O34" s="2948"/>
      <c r="P34" s="3402"/>
      <c r="Q34" s="1542" t="str">
        <f t="shared" si="11"/>
        <v>建筑结构</v>
      </c>
      <c r="R34" s="718" t="s">
        <v>17</v>
      </c>
      <c r="S34" s="719">
        <f t="shared" si="12"/>
        <v>100</v>
      </c>
      <c r="T34" s="718" t="s">
        <v>17</v>
      </c>
      <c r="U34" s="719">
        <f t="shared" si="13"/>
        <v>100</v>
      </c>
      <c r="V34" s="718" t="s">
        <v>17</v>
      </c>
      <c r="W34" s="719">
        <f t="shared" si="14"/>
        <v>100</v>
      </c>
      <c r="X34" s="1545"/>
      <c r="Y34" s="3404"/>
      <c r="Z34" s="1546" t="str">
        <f t="shared" si="15"/>
        <v>建筑结构</v>
      </c>
      <c r="AA34" s="1543">
        <f t="shared" si="3"/>
        <v>1</v>
      </c>
      <c r="AB34" s="1543">
        <f t="shared" si="4"/>
        <v>1</v>
      </c>
      <c r="AC34" s="1543">
        <f t="shared" si="5"/>
        <v>1</v>
      </c>
    </row>
    <row r="35" spans="1:29" ht="15">
      <c r="A35" s="435"/>
      <c r="B35" s="385" t="s">
        <v>2491</v>
      </c>
      <c r="C35" s="2098"/>
      <c r="D35" s="398">
        <v>100</v>
      </c>
      <c r="E35" s="2098"/>
      <c r="F35" s="424">
        <f>SUMIF(107:107,E35,108:108)-SUMIF(107:107,C35,108:108)+100</f>
        <v>100</v>
      </c>
      <c r="G35" s="2098"/>
      <c r="H35" s="398">
        <f>SUMIF(107:107,G35,108:108)-SUMIF(107:107,C35,108:108)+100</f>
        <v>100</v>
      </c>
      <c r="I35" s="2098"/>
      <c r="J35" s="398">
        <f>SUMIF(107:107,I35,108:108)-SUMIF(107:107,C35,108:108)+100</f>
        <v>100</v>
      </c>
      <c r="K35" s="573"/>
      <c r="L35" s="2954"/>
      <c r="M35" s="2948"/>
      <c r="N35" s="2948"/>
      <c r="O35" s="2948"/>
      <c r="P35" s="3402"/>
      <c r="Q35" s="1542" t="str">
        <f t="shared" si="11"/>
        <v>公共部分装修</v>
      </c>
      <c r="R35" s="718" t="s">
        <v>17</v>
      </c>
      <c r="S35" s="719">
        <f t="shared" si="12"/>
        <v>100</v>
      </c>
      <c r="T35" s="718" t="s">
        <v>17</v>
      </c>
      <c r="U35" s="719">
        <f t="shared" si="13"/>
        <v>100</v>
      </c>
      <c r="V35" s="718" t="s">
        <v>17</v>
      </c>
      <c r="W35" s="719">
        <f t="shared" si="14"/>
        <v>100</v>
      </c>
      <c r="X35" s="1545"/>
      <c r="Y35" s="3404"/>
      <c r="Z35" s="1546" t="str">
        <f t="shared" si="15"/>
        <v>公共部分装修</v>
      </c>
      <c r="AA35" s="1543">
        <f t="shared" si="3"/>
        <v>1</v>
      </c>
      <c r="AB35" s="1543">
        <f t="shared" si="4"/>
        <v>1</v>
      </c>
      <c r="AC35" s="1543">
        <f t="shared" si="5"/>
        <v>1</v>
      </c>
    </row>
    <row r="36" spans="1:29" ht="15">
      <c r="A36" s="435"/>
      <c r="B36" s="385" t="s">
        <v>2492</v>
      </c>
      <c r="C36" s="437"/>
      <c r="D36" s="398">
        <v>100</v>
      </c>
      <c r="E36" s="437"/>
      <c r="F36" s="424" t="e">
        <f>LOOKUP(E36,110:110,111:111)-LOOKUP(C36,110:110,111:111)+100</f>
        <v>#N/A</v>
      </c>
      <c r="G36" s="437"/>
      <c r="H36" s="424" t="e">
        <f>LOOKUP(G36,110:110,111:111)-LOOKUP(C36,110:110,111:111)+100</f>
        <v>#N/A</v>
      </c>
      <c r="I36" s="437"/>
      <c r="J36" s="398" t="e">
        <f>LOOKUP(I36,110:110,111:111)-LOOKUP(C36,110:110,111:111)+100</f>
        <v>#N/A</v>
      </c>
      <c r="K36" s="573"/>
      <c r="L36" s="2954"/>
      <c r="M36" s="2948"/>
      <c r="N36" s="2948"/>
      <c r="O36" s="2948"/>
      <c r="P36" s="3402"/>
      <c r="Q36" s="1542" t="str">
        <f t="shared" si="11"/>
        <v>成新度</v>
      </c>
      <c r="R36" s="718" t="s">
        <v>17</v>
      </c>
      <c r="S36" s="719" t="e">
        <f t="shared" si="12"/>
        <v>#N/A</v>
      </c>
      <c r="T36" s="718" t="s">
        <v>17</v>
      </c>
      <c r="U36" s="719" t="e">
        <f t="shared" si="13"/>
        <v>#N/A</v>
      </c>
      <c r="V36" s="718" t="s">
        <v>17</v>
      </c>
      <c r="W36" s="719" t="e">
        <f t="shared" si="14"/>
        <v>#N/A</v>
      </c>
      <c r="X36" s="1545"/>
      <c r="Y36" s="3404"/>
      <c r="Z36" s="1546" t="str">
        <f t="shared" si="15"/>
        <v>成新度</v>
      </c>
      <c r="AA36" s="1543" t="e">
        <f t="shared" si="3"/>
        <v>#N/A</v>
      </c>
      <c r="AB36" s="1543" t="e">
        <f t="shared" si="4"/>
        <v>#N/A</v>
      </c>
      <c r="AC36" s="1543" t="e">
        <f t="shared" si="5"/>
        <v>#N/A</v>
      </c>
    </row>
    <row r="37" spans="1:29" s="117" customFormat="1" ht="15">
      <c r="A37" s="436"/>
      <c r="B37" s="385" t="s">
        <v>2493</v>
      </c>
      <c r="C37" s="2098"/>
      <c r="D37" s="136">
        <v>100</v>
      </c>
      <c r="E37" s="2098"/>
      <c r="F37" s="424">
        <f>SUMIF(112:112,E37,113:113)-SUMIF(112:112,C37,113:113)+100</f>
        <v>100</v>
      </c>
      <c r="G37" s="2098"/>
      <c r="H37" s="398">
        <f>SUMIF(112:112,G37,113:113)-SUMIF(112:112,C37,113:113)+100</f>
        <v>100</v>
      </c>
      <c r="I37" s="2098"/>
      <c r="J37" s="398">
        <f>SUMIF(112:112,I37,113:113)-SUMIF(112:112,C37,113:113)+100</f>
        <v>100</v>
      </c>
      <c r="K37" s="573"/>
      <c r="L37" s="2949"/>
      <c r="M37" s="2950"/>
      <c r="N37" s="2950"/>
      <c r="O37" s="2950"/>
      <c r="P37" s="3402"/>
      <c r="Q37" s="1533" t="str">
        <f t="shared" si="11"/>
        <v>市政基础设施</v>
      </c>
      <c r="R37" s="714" t="s">
        <v>17</v>
      </c>
      <c r="S37" s="715">
        <f t="shared" si="12"/>
        <v>100</v>
      </c>
      <c r="T37" s="714" t="s">
        <v>17</v>
      </c>
      <c r="U37" s="715">
        <f t="shared" si="13"/>
        <v>100</v>
      </c>
      <c r="V37" s="714" t="s">
        <v>17</v>
      </c>
      <c r="W37" s="715">
        <f t="shared" si="14"/>
        <v>100</v>
      </c>
      <c r="X37" s="716"/>
      <c r="Y37" s="3404"/>
      <c r="Z37" s="55" t="str">
        <f t="shared" si="15"/>
        <v>市政基础设施</v>
      </c>
      <c r="AA37" s="717">
        <f t="shared" si="3"/>
        <v>1</v>
      </c>
      <c r="AB37" s="717">
        <f t="shared" si="4"/>
        <v>1</v>
      </c>
      <c r="AC37" s="717">
        <f t="shared" si="5"/>
        <v>1</v>
      </c>
    </row>
    <row r="38" spans="1:29" ht="15">
      <c r="A38" s="435"/>
      <c r="B38" s="385" t="s">
        <v>2494</v>
      </c>
      <c r="C38" s="2098"/>
      <c r="D38" s="398">
        <v>100</v>
      </c>
      <c r="E38" s="2098"/>
      <c r="F38" s="424">
        <f>SUMIF(114:114,E38,115:115)-SUMIF(114:114,C38,115:115)+100</f>
        <v>100</v>
      </c>
      <c r="G38" s="2098"/>
      <c r="H38" s="398">
        <f>SUMIF(114:114,G38,115:115)-SUMIF(114:114,C38,115:115)+100</f>
        <v>100</v>
      </c>
      <c r="I38" s="2098"/>
      <c r="J38" s="398">
        <f>SUMIF(114:114,I38,115:115)-SUMIF(114:114,C38,115:115)+100</f>
        <v>100</v>
      </c>
      <c r="K38" s="573"/>
      <c r="L38" s="2954"/>
      <c r="M38" s="2948"/>
      <c r="N38" s="2948"/>
      <c r="O38" s="2948"/>
      <c r="P38" s="3402" t="s">
        <v>2395</v>
      </c>
      <c r="Q38" s="1542" t="str">
        <f t="shared" si="11"/>
        <v>业态</v>
      </c>
      <c r="R38" s="718" t="s">
        <v>17</v>
      </c>
      <c r="S38" s="719">
        <f t="shared" si="12"/>
        <v>100</v>
      </c>
      <c r="T38" s="718" t="s">
        <v>17</v>
      </c>
      <c r="U38" s="719">
        <f t="shared" si="13"/>
        <v>100</v>
      </c>
      <c r="V38" s="718" t="s">
        <v>17</v>
      </c>
      <c r="W38" s="719">
        <f t="shared" si="14"/>
        <v>100</v>
      </c>
      <c r="X38" s="1545"/>
      <c r="Y38" s="3404" t="s">
        <v>2395</v>
      </c>
      <c r="Z38" s="1546" t="str">
        <f t="shared" si="15"/>
        <v>业态</v>
      </c>
      <c r="AA38" s="1543">
        <f t="shared" si="3"/>
        <v>1</v>
      </c>
      <c r="AB38" s="1543">
        <f t="shared" si="4"/>
        <v>1</v>
      </c>
      <c r="AC38" s="1543">
        <f t="shared" si="5"/>
        <v>1</v>
      </c>
    </row>
    <row r="39" spans="1:29" ht="15">
      <c r="A39" s="435"/>
      <c r="B39" s="385" t="s">
        <v>2495</v>
      </c>
      <c r="C39" s="2098"/>
      <c r="D39" s="398">
        <v>100</v>
      </c>
      <c r="E39" s="2098"/>
      <c r="F39" s="424">
        <f>SUMIF(116:116,E39,117:117)-SUMIF(116:116,C39,117:117)+100</f>
        <v>100</v>
      </c>
      <c r="G39" s="2098"/>
      <c r="H39" s="398">
        <f>SUMIF(116:116,G39,117:117)-SUMIF(116:116,C39,117:117)+100</f>
        <v>100</v>
      </c>
      <c r="I39" s="2098"/>
      <c r="J39" s="398">
        <f>SUMIF(116:116,I39,117:117)-SUMIF(116:116,C39,117:117)+100</f>
        <v>100</v>
      </c>
      <c r="K39" s="573"/>
      <c r="L39" s="2954"/>
      <c r="M39" s="2948"/>
      <c r="N39" s="2948"/>
      <c r="O39" s="2948"/>
      <c r="P39" s="3402"/>
      <c r="Q39" s="1542" t="str">
        <f t="shared" si="11"/>
        <v>层高</v>
      </c>
      <c r="R39" s="718" t="s">
        <v>17</v>
      </c>
      <c r="S39" s="719">
        <f t="shared" si="12"/>
        <v>100</v>
      </c>
      <c r="T39" s="718" t="s">
        <v>17</v>
      </c>
      <c r="U39" s="719">
        <f t="shared" si="13"/>
        <v>100</v>
      </c>
      <c r="V39" s="718" t="s">
        <v>17</v>
      </c>
      <c r="W39" s="719">
        <f t="shared" si="14"/>
        <v>100</v>
      </c>
      <c r="X39" s="1545"/>
      <c r="Y39" s="3404"/>
      <c r="Z39" s="1546" t="str">
        <f t="shared" si="15"/>
        <v>层高</v>
      </c>
      <c r="AA39" s="1543">
        <f t="shared" si="3"/>
        <v>1</v>
      </c>
      <c r="AB39" s="1543">
        <f t="shared" si="4"/>
        <v>1</v>
      </c>
      <c r="AC39" s="1543">
        <f t="shared" si="5"/>
        <v>1</v>
      </c>
    </row>
    <row r="40" spans="1:29" ht="15">
      <c r="A40" s="435"/>
      <c r="B40" s="385" t="s">
        <v>2496</v>
      </c>
      <c r="C40" s="578"/>
      <c r="D40" s="398">
        <v>100</v>
      </c>
      <c r="E40" s="579"/>
      <c r="F40" s="424">
        <f>SUMIF(118:118,E40,119:119)-SUMIF(118:118,C40,119:119)+100</f>
        <v>100</v>
      </c>
      <c r="G40" s="579"/>
      <c r="H40" s="398">
        <f>SUMIF(118:118,G40,119:119)-SUMIF(118:118,C40,119:119)+100</f>
        <v>100</v>
      </c>
      <c r="I40" s="579"/>
      <c r="J40" s="398">
        <f>SUMIF(118:118,I40,119:119)-SUMIF(118:118,C40,119:119)+100</f>
        <v>100</v>
      </c>
      <c r="K40" s="574"/>
      <c r="L40" s="2954"/>
      <c r="M40" s="2948"/>
      <c r="N40" s="2948"/>
      <c r="O40" s="2948"/>
      <c r="P40" s="3402"/>
      <c r="Q40" s="1542" t="str">
        <f t="shared" si="11"/>
        <v>单套建筑面积</v>
      </c>
      <c r="R40" s="718" t="s">
        <v>17</v>
      </c>
      <c r="S40" s="719">
        <f t="shared" si="12"/>
        <v>100</v>
      </c>
      <c r="T40" s="718" t="s">
        <v>17</v>
      </c>
      <c r="U40" s="719">
        <f t="shared" si="13"/>
        <v>100</v>
      </c>
      <c r="V40" s="718" t="s">
        <v>17</v>
      </c>
      <c r="W40" s="719">
        <f t="shared" si="14"/>
        <v>100</v>
      </c>
      <c r="X40" s="1545"/>
      <c r="Y40" s="3404"/>
      <c r="Z40" s="1546" t="str">
        <f t="shared" si="15"/>
        <v>单套建筑面积</v>
      </c>
      <c r="AA40" s="1543">
        <f t="shared" si="3"/>
        <v>1</v>
      </c>
      <c r="AB40" s="1543">
        <f t="shared" si="4"/>
        <v>1</v>
      </c>
      <c r="AC40" s="1543">
        <f t="shared" si="5"/>
        <v>1</v>
      </c>
    </row>
    <row r="41" spans="1:29" s="434" customFormat="1" ht="15">
      <c r="A41" s="431"/>
      <c r="B41" s="1544" t="s">
        <v>2497</v>
      </c>
      <c r="C41" s="577"/>
      <c r="D41" s="398">
        <v>100</v>
      </c>
      <c r="E41" s="577"/>
      <c r="F41" s="424">
        <f>SUMIF(120:120,E41,121:121)-SUMIF(120:120,C41,121:121)+100</f>
        <v>100</v>
      </c>
      <c r="G41" s="577"/>
      <c r="H41" s="398">
        <f>SUMIF(120:120,G41,121:121)-SUMIF(120:120,C41,121:121)+100</f>
        <v>100</v>
      </c>
      <c r="I41" s="577"/>
      <c r="J41" s="398">
        <f>SUMIF(120:120,I41,121:121)-SUMIF(120:120,C41,121:121)+100</f>
        <v>100</v>
      </c>
      <c r="K41" s="573"/>
      <c r="L41" s="2953"/>
      <c r="M41" s="2955"/>
      <c r="N41" s="2955"/>
      <c r="O41" s="2955"/>
      <c r="P41" s="3402"/>
      <c r="Q41" s="720" t="str">
        <f t="shared" si="11"/>
        <v>进深比</v>
      </c>
      <c r="R41" s="721" t="s">
        <v>17</v>
      </c>
      <c r="S41" s="722">
        <f t="shared" si="12"/>
        <v>100</v>
      </c>
      <c r="T41" s="721" t="s">
        <v>17</v>
      </c>
      <c r="U41" s="722">
        <f t="shared" si="13"/>
        <v>100</v>
      </c>
      <c r="V41" s="721" t="s">
        <v>17</v>
      </c>
      <c r="W41" s="722">
        <f t="shared" si="14"/>
        <v>100</v>
      </c>
      <c r="X41" s="723"/>
      <c r="Y41" s="3404"/>
      <c r="Z41" s="724" t="str">
        <f t="shared" si="15"/>
        <v>进深比</v>
      </c>
      <c r="AA41" s="1543">
        <f t="shared" si="3"/>
        <v>1</v>
      </c>
      <c r="AB41" s="1543">
        <f t="shared" si="4"/>
        <v>1</v>
      </c>
      <c r="AC41" s="1543">
        <f t="shared" si="5"/>
        <v>1</v>
      </c>
    </row>
    <row r="42" spans="1:29" ht="15">
      <c r="A42" s="435"/>
      <c r="B42" s="385" t="s">
        <v>2498</v>
      </c>
      <c r="C42" s="2098"/>
      <c r="D42" s="398">
        <v>100</v>
      </c>
      <c r="E42" s="2098"/>
      <c r="F42" s="424">
        <f>SUMIF(122:122,E42,123:123)-SUMIF(122:122,C42,123:123)+100</f>
        <v>100</v>
      </c>
      <c r="G42" s="2098"/>
      <c r="H42" s="398">
        <f>SUMIF(122:122,G42,123:123)-SUMIF(122:122,C42,123:123)+100</f>
        <v>100</v>
      </c>
      <c r="I42" s="2098"/>
      <c r="J42" s="398">
        <f>SUMIF(122:122,I42,123:123)-SUMIF(122:122,C42,123:123)+100</f>
        <v>100</v>
      </c>
      <c r="K42" s="573"/>
      <c r="L42" s="2954"/>
      <c r="M42" s="2948"/>
      <c r="N42" s="2948"/>
      <c r="O42" s="2948"/>
      <c r="P42" s="3402"/>
      <c r="Q42" s="1542" t="str">
        <f t="shared" si="11"/>
        <v>内部装修</v>
      </c>
      <c r="R42" s="718" t="s">
        <v>17</v>
      </c>
      <c r="S42" s="719">
        <f t="shared" si="12"/>
        <v>100</v>
      </c>
      <c r="T42" s="718" t="s">
        <v>17</v>
      </c>
      <c r="U42" s="719">
        <f t="shared" si="13"/>
        <v>100</v>
      </c>
      <c r="V42" s="718" t="s">
        <v>17</v>
      </c>
      <c r="W42" s="719">
        <f t="shared" si="14"/>
        <v>100</v>
      </c>
      <c r="X42" s="1545"/>
      <c r="Y42" s="3404"/>
      <c r="Z42" s="1546" t="str">
        <f t="shared" si="15"/>
        <v>内部装修</v>
      </c>
      <c r="AA42" s="1543">
        <f t="shared" si="3"/>
        <v>1</v>
      </c>
      <c r="AB42" s="1543">
        <f t="shared" si="4"/>
        <v>1</v>
      </c>
      <c r="AC42" s="1543">
        <f t="shared" si="5"/>
        <v>1</v>
      </c>
    </row>
    <row r="43" spans="1:29" ht="28.8">
      <c r="A43" s="435"/>
      <c r="B43" s="385" t="s">
        <v>2406</v>
      </c>
      <c r="C43" s="2098"/>
      <c r="D43" s="398">
        <v>100</v>
      </c>
      <c r="E43" s="2098"/>
      <c r="F43" s="424">
        <f>SUMIF(124:124,E43,125:125)-SUMIF(124:124,C43,125:125)+100</f>
        <v>100</v>
      </c>
      <c r="G43" s="2098"/>
      <c r="H43" s="398">
        <f>SUMIF(124:124,G43,125:125)-SUMIF(124:124,C43,125:125)+100</f>
        <v>100</v>
      </c>
      <c r="I43" s="2098"/>
      <c r="J43" s="398">
        <f>SUMIF(124:124,I43,125:125)-SUMIF(124:124,C43,125:125)+100</f>
        <v>100</v>
      </c>
      <c r="K43" s="573"/>
      <c r="L43" s="2954"/>
      <c r="M43" s="2948"/>
      <c r="N43" s="2948"/>
      <c r="O43" s="2948"/>
      <c r="P43" s="3402"/>
      <c r="Q43" s="1542" t="str">
        <f t="shared" si="11"/>
        <v>内部装修维护情况</v>
      </c>
      <c r="R43" s="718" t="s">
        <v>17</v>
      </c>
      <c r="S43" s="719">
        <f t="shared" si="12"/>
        <v>100</v>
      </c>
      <c r="T43" s="718" t="s">
        <v>17</v>
      </c>
      <c r="U43" s="719">
        <f t="shared" si="13"/>
        <v>100</v>
      </c>
      <c r="V43" s="718" t="s">
        <v>17</v>
      </c>
      <c r="W43" s="719">
        <f t="shared" si="14"/>
        <v>100</v>
      </c>
      <c r="X43" s="1545"/>
      <c r="Y43" s="3404"/>
      <c r="Z43" s="1546" t="str">
        <f t="shared" si="15"/>
        <v>内部装修维护情况</v>
      </c>
      <c r="AA43" s="1543">
        <f t="shared" si="3"/>
        <v>1</v>
      </c>
      <c r="AB43" s="1543">
        <f t="shared" si="4"/>
        <v>1</v>
      </c>
      <c r="AC43" s="1543">
        <f t="shared" si="5"/>
        <v>1</v>
      </c>
    </row>
    <row r="44" spans="1:29" s="117" customFormat="1" ht="15">
      <c r="A44" s="436"/>
      <c r="B44" s="1299">
        <v>111</v>
      </c>
      <c r="C44" s="432"/>
      <c r="D44" s="136">
        <v>100</v>
      </c>
      <c r="E44" s="397"/>
      <c r="F44" s="388">
        <f>SUMIF(126:126,E44,127:127)-SUMIF(126:126,C44,127:127)+100</f>
        <v>100</v>
      </c>
      <c r="G44" s="397"/>
      <c r="H44" s="136">
        <f>SUMIF(126:126,G44,127:127)-SUMIF(126:126,C44,127:127)+100</f>
        <v>100</v>
      </c>
      <c r="I44" s="397"/>
      <c r="J44" s="136">
        <f>SUMIF(126:126,I44,127:127)-SUMIF(126:126,C44,127:127)+100</f>
        <v>100</v>
      </c>
      <c r="K44" s="574"/>
      <c r="L44" s="2949"/>
      <c r="M44" s="2950"/>
      <c r="N44" s="2950"/>
      <c r="O44" s="2950"/>
      <c r="P44" s="3402"/>
      <c r="Q44" s="1533">
        <f t="shared" si="11"/>
        <v>111</v>
      </c>
      <c r="R44" s="714" t="s">
        <v>17</v>
      </c>
      <c r="S44" s="715">
        <f t="shared" si="12"/>
        <v>100</v>
      </c>
      <c r="T44" s="714" t="s">
        <v>17</v>
      </c>
      <c r="U44" s="715">
        <f t="shared" si="13"/>
        <v>100</v>
      </c>
      <c r="V44" s="714" t="s">
        <v>17</v>
      </c>
      <c r="W44" s="715">
        <f t="shared" si="14"/>
        <v>100</v>
      </c>
      <c r="X44" s="716"/>
      <c r="Y44" s="3404"/>
      <c r="Z44" s="55">
        <f t="shared" si="15"/>
        <v>111</v>
      </c>
      <c r="AA44" s="717">
        <f t="shared" si="3"/>
        <v>1</v>
      </c>
      <c r="AB44" s="717">
        <f t="shared" si="4"/>
        <v>1</v>
      </c>
      <c r="AC44" s="717">
        <f t="shared" si="5"/>
        <v>1</v>
      </c>
    </row>
    <row r="45" spans="1:29" ht="15">
      <c r="A45" s="435"/>
      <c r="B45" s="1299">
        <v>111</v>
      </c>
      <c r="C45" s="397"/>
      <c r="D45" s="398">
        <v>100</v>
      </c>
      <c r="E45" s="397"/>
      <c r="F45" s="424">
        <f>SUMIF(128:128,E45,129:129)-SUMIF(128:128,C45,129:129)+100</f>
        <v>100</v>
      </c>
      <c r="G45" s="397"/>
      <c r="H45" s="398">
        <f>SUMIF(128:128,G45,129:129)-SUMIF(128:128,C45,129:129)+100</f>
        <v>100</v>
      </c>
      <c r="I45" s="397"/>
      <c r="J45" s="398">
        <f>SUMIF(128:128,I45,129:129)-SUMIF(128:128,C45,129:129)+100</f>
        <v>100</v>
      </c>
      <c r="K45" s="574"/>
      <c r="L45" s="2954"/>
      <c r="M45" s="2948"/>
      <c r="N45" s="2948"/>
      <c r="O45" s="2948"/>
      <c r="P45" s="3402"/>
      <c r="Q45" s="1542">
        <f t="shared" si="11"/>
        <v>111</v>
      </c>
      <c r="R45" s="718" t="s">
        <v>17</v>
      </c>
      <c r="S45" s="719">
        <f t="shared" si="12"/>
        <v>100</v>
      </c>
      <c r="T45" s="718" t="s">
        <v>17</v>
      </c>
      <c r="U45" s="719">
        <f t="shared" si="13"/>
        <v>100</v>
      </c>
      <c r="V45" s="718" t="s">
        <v>17</v>
      </c>
      <c r="W45" s="719">
        <f t="shared" si="14"/>
        <v>100</v>
      </c>
      <c r="X45" s="1545"/>
      <c r="Y45" s="3404"/>
      <c r="Z45" s="1546">
        <f t="shared" si="15"/>
        <v>111</v>
      </c>
      <c r="AA45" s="1543">
        <f t="shared" si="3"/>
        <v>1</v>
      </c>
      <c r="AB45" s="1543">
        <f t="shared" si="4"/>
        <v>1</v>
      </c>
      <c r="AC45" s="1543">
        <f t="shared" si="5"/>
        <v>1</v>
      </c>
    </row>
    <row r="46" spans="1:29" ht="15.6" thickBot="1">
      <c r="A46" s="441"/>
      <c r="B46" s="2087">
        <v>111</v>
      </c>
      <c r="C46" s="400"/>
      <c r="D46" s="401">
        <v>100</v>
      </c>
      <c r="E46" s="397"/>
      <c r="F46" s="402">
        <f>SUMIF(130:130,E46,131:131)-SUMIF(130:130,C46,131:131)+100</f>
        <v>100</v>
      </c>
      <c r="G46" s="397"/>
      <c r="H46" s="401">
        <f>SUMIF(130:130,G46,131:131)-SUMIF(130:130,C46,131:131)+100</f>
        <v>100</v>
      </c>
      <c r="I46" s="397"/>
      <c r="J46" s="401">
        <f>SUMIF(130:130,I46,131:131)-SUMIF(130:130,C46,131:131)+100</f>
        <v>100</v>
      </c>
      <c r="K46" s="574"/>
      <c r="L46" s="2954"/>
      <c r="M46" s="2948"/>
      <c r="N46" s="2948"/>
      <c r="O46" s="2948"/>
      <c r="P46" s="3403"/>
      <c r="Q46" s="1542">
        <f t="shared" si="11"/>
        <v>111</v>
      </c>
      <c r="R46" s="718" t="s">
        <v>17</v>
      </c>
      <c r="S46" s="719">
        <f t="shared" si="12"/>
        <v>100</v>
      </c>
      <c r="T46" s="718" t="s">
        <v>17</v>
      </c>
      <c r="U46" s="719">
        <f t="shared" si="13"/>
        <v>100</v>
      </c>
      <c r="V46" s="718" t="s">
        <v>17</v>
      </c>
      <c r="W46" s="719">
        <f t="shared" si="14"/>
        <v>100</v>
      </c>
      <c r="X46" s="1545"/>
      <c r="Y46" s="3405"/>
      <c r="Z46" s="1546">
        <f t="shared" si="15"/>
        <v>111</v>
      </c>
      <c r="AA46" s="1543">
        <f t="shared" si="3"/>
        <v>1</v>
      </c>
      <c r="AB46" s="1543">
        <f t="shared" si="4"/>
        <v>1</v>
      </c>
      <c r="AC46" s="1543">
        <f t="shared" si="5"/>
        <v>1</v>
      </c>
    </row>
    <row r="47" spans="1:29" ht="14.4">
      <c r="A47" s="442" t="s">
        <v>2407</v>
      </c>
      <c r="B47" s="443"/>
      <c r="C47" s="1320" t="s">
        <v>1</v>
      </c>
      <c r="D47" s="1321"/>
      <c r="E47" s="1322"/>
      <c r="F47" s="1323"/>
      <c r="G47" s="1324"/>
      <c r="H47" s="1325"/>
      <c r="I47" s="1322"/>
      <c r="J47" s="1325"/>
      <c r="K47" s="727"/>
      <c r="L47" s="2956"/>
      <c r="M47" s="2957"/>
      <c r="N47" s="2948"/>
      <c r="O47" s="2957"/>
      <c r="P47" s="3397" t="str">
        <f>A47</f>
        <v>成交单价（元/平方米）</v>
      </c>
      <c r="Q47" s="3397"/>
      <c r="R47" s="3392">
        <f>E47</f>
        <v>0</v>
      </c>
      <c r="S47" s="3392"/>
      <c r="T47" s="3392">
        <f>G47</f>
        <v>0</v>
      </c>
      <c r="U47" s="3392"/>
      <c r="V47" s="3392">
        <f>I47</f>
        <v>0</v>
      </c>
      <c r="W47" s="3392"/>
      <c r="X47" s="703"/>
      <c r="Y47" s="725"/>
      <c r="Z47" s="703"/>
      <c r="AA47" s="703"/>
      <c r="AB47" s="703"/>
      <c r="AC47" s="703"/>
    </row>
    <row r="48" spans="1:29" ht="15" thickBot="1">
      <c r="A48" s="449" t="s">
        <v>2499</v>
      </c>
      <c r="B48" s="450"/>
      <c r="C48" s="1326" t="e">
        <f>R49</f>
        <v>#DIV/0!</v>
      </c>
      <c r="D48" s="2544" t="s">
        <v>2891</v>
      </c>
      <c r="E48" s="1327" t="e">
        <f>R48</f>
        <v>#DIV/0!</v>
      </c>
      <c r="F48" s="2545"/>
      <c r="G48" s="1326" t="e">
        <f>T48</f>
        <v>#DIV/0!</v>
      </c>
      <c r="H48" s="2545"/>
      <c r="I48" s="1327" t="e">
        <f>V48</f>
        <v>#DIV/0!</v>
      </c>
      <c r="J48" s="2545"/>
      <c r="K48" s="2547">
        <f>F48+H48+J48</f>
        <v>0</v>
      </c>
      <c r="L48" s="2956"/>
      <c r="M48" s="2957"/>
      <c r="N48" s="2948"/>
      <c r="O48" s="2957"/>
      <c r="P48" s="3397" t="str">
        <f>A48</f>
        <v>比较价值（元/平方米）</v>
      </c>
      <c r="Q48" s="3397"/>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703"/>
      <c r="Y48" s="703"/>
      <c r="Z48" s="703"/>
      <c r="AA48" s="703"/>
      <c r="AB48" s="703"/>
      <c r="AC48" s="703"/>
    </row>
    <row r="49" spans="1:29" ht="15" thickBot="1">
      <c r="A49" s="453" t="s">
        <v>2500</v>
      </c>
      <c r="B49" s="454"/>
      <c r="C49" s="1329" t="e">
        <f>R49</f>
        <v>#DIV/0!</v>
      </c>
      <c r="D49" s="1329"/>
      <c r="E49" s="1329"/>
      <c r="F49" s="1329"/>
      <c r="G49" s="1329"/>
      <c r="H49" s="1329"/>
      <c r="I49" s="1329"/>
      <c r="J49" s="1329"/>
      <c r="K49" s="728"/>
      <c r="L49" s="2956"/>
      <c r="M49" s="2957"/>
      <c r="N49" s="2948"/>
      <c r="O49" s="2957"/>
      <c r="P49" s="3394" t="str">
        <f>A49</f>
        <v>估价对象XX用房的比较价值（楼面单价，元/平方米）</v>
      </c>
      <c r="Q49" s="3395"/>
      <c r="R49" s="3396" t="e">
        <f>IF(F1="售价",ROUND(IF(D48="简单平均",AVERAGE(R48:V48),R48*F48+T48*H48+V48*J48),0),ROUND(IF(D48="简单平均",AVERAGE(R48:V48),R48*F48+T48*H48+V48*J48),1))</f>
        <v>#DIV/0!</v>
      </c>
      <c r="S49" s="3396"/>
      <c r="T49" s="3396"/>
      <c r="U49" s="3396"/>
      <c r="V49" s="3396"/>
      <c r="W49" s="3396"/>
      <c r="X49" s="703"/>
      <c r="Y49" s="703"/>
      <c r="Z49" s="703"/>
      <c r="AA49" s="703"/>
      <c r="AB49" s="703"/>
      <c r="AC49" s="703"/>
    </row>
    <row r="50" spans="1:29">
      <c r="A50" s="2957"/>
      <c r="B50" s="2957"/>
      <c r="C50" s="2957"/>
      <c r="D50" s="2957"/>
      <c r="E50" s="2957"/>
      <c r="F50" s="2957"/>
      <c r="G50" s="2961"/>
      <c r="H50" s="2957"/>
      <c r="I50" s="2957"/>
      <c r="J50" s="2957"/>
      <c r="K50" s="2962"/>
      <c r="L50" s="2958"/>
      <c r="M50" s="2957"/>
      <c r="N50" s="2957"/>
      <c r="O50" s="2957"/>
      <c r="P50" s="2968"/>
      <c r="Q50" s="2957"/>
      <c r="R50" s="2957"/>
      <c r="S50" s="2957"/>
      <c r="T50" s="2957"/>
      <c r="U50" s="2957"/>
      <c r="V50" s="2957"/>
      <c r="W50" s="2957"/>
      <c r="X50" s="2957"/>
      <c r="Y50" s="2957"/>
      <c r="Z50" s="2957"/>
      <c r="AA50" s="2957"/>
      <c r="AB50" s="2957"/>
      <c r="AC50" s="2957"/>
    </row>
    <row r="51" spans="1:29">
      <c r="A51" s="2957"/>
      <c r="B51" s="2957"/>
      <c r="C51" s="2957"/>
      <c r="D51" s="2957"/>
      <c r="E51" s="2957"/>
      <c r="F51" s="2957"/>
      <c r="G51" s="2957"/>
      <c r="H51" s="2957"/>
      <c r="I51" s="2957"/>
      <c r="J51" s="2957"/>
      <c r="K51" s="2962"/>
      <c r="L51" s="2958"/>
      <c r="M51" s="2957"/>
      <c r="N51" s="2957"/>
      <c r="O51" s="2957"/>
      <c r="P51" s="2968"/>
      <c r="Q51" s="2957"/>
      <c r="R51" s="2957"/>
      <c r="S51" s="2957"/>
      <c r="T51" s="2957"/>
      <c r="U51" s="2957"/>
      <c r="V51" s="2957"/>
      <c r="W51" s="2957"/>
      <c r="X51" s="2957"/>
      <c r="Y51" s="2957"/>
      <c r="Z51" s="2957"/>
      <c r="AA51" s="2957"/>
      <c r="AB51" s="2957"/>
      <c r="AC51" s="2957"/>
    </row>
    <row r="52" spans="1:29" ht="13.5" customHeight="1">
      <c r="A52" s="2957"/>
      <c r="B52" s="2957"/>
      <c r="C52" s="458" t="s">
        <v>2501</v>
      </c>
      <c r="D52" s="459"/>
      <c r="E52" s="460" t="e">
        <f>IF(E47&lt;E48,E48/E47-1,E47/E48-1)</f>
        <v>#DIV/0!</v>
      </c>
      <c r="F52" s="461" t="e">
        <f>IF(OR(E52&gt;=0.3,E52&lt;=-0.3),"超过30%","")</f>
        <v>#DIV/0!</v>
      </c>
      <c r="G52" s="460" t="e">
        <f>IF(G47&lt;G48,G48/G47-1,G47/G48-1)</f>
        <v>#DIV/0!</v>
      </c>
      <c r="H52" s="461" t="e">
        <f>IF(OR(G52&gt;=0.3,G52&lt;=-0.3),"超过30%","")</f>
        <v>#DIV/0!</v>
      </c>
      <c r="I52" s="460" t="e">
        <f>IF(I47&lt;I48,I48/I47-1,I47/I48-1)</f>
        <v>#DIV/0!</v>
      </c>
      <c r="J52" s="461" t="e">
        <f>IF(OR(I52&gt;=0.3,I52&lt;=-0.3),"超过30%","")</f>
        <v>#DIV/0!</v>
      </c>
      <c r="K52" s="2962"/>
      <c r="L52" s="2958"/>
      <c r="M52" s="2957"/>
      <c r="N52" s="2957"/>
      <c r="O52" s="2957"/>
      <c r="P52" s="2968"/>
      <c r="Q52" s="2957"/>
      <c r="R52" s="2957"/>
      <c r="S52" s="2957"/>
      <c r="T52" s="2957"/>
      <c r="U52" s="2957"/>
      <c r="V52" s="2957"/>
      <c r="W52" s="2957"/>
      <c r="X52" s="2957"/>
      <c r="Y52" s="2957"/>
      <c r="Z52" s="2957"/>
      <c r="AA52" s="2957"/>
      <c r="AB52" s="2957"/>
      <c r="AC52" s="2957"/>
    </row>
    <row r="53" spans="1:29" ht="13.5" customHeight="1">
      <c r="A53" s="2957"/>
      <c r="B53" s="2957"/>
      <c r="C53" s="458" t="s">
        <v>2502</v>
      </c>
      <c r="D53" s="462"/>
      <c r="E53" s="460" t="e">
        <f>IF(E48&lt;G48,G48/E48-1,E48/G48-1)</f>
        <v>#DIV/0!</v>
      </c>
      <c r="F53" s="461" t="e">
        <f>IF(OR(E53&gt;=0.2,E53&lt;=-0.2),"超过20%","")</f>
        <v>#DIV/0!</v>
      </c>
      <c r="G53" s="460" t="e">
        <f>IF(G48&lt;I48,I48/G48-1,G48/I48-1)</f>
        <v>#DIV/0!</v>
      </c>
      <c r="H53" s="461" t="e">
        <f>IF(OR(G53&gt;=0.2,G53&lt;=-0.2),"超过20%","")</f>
        <v>#DIV/0!</v>
      </c>
      <c r="I53" s="460" t="e">
        <f>IF(I48&lt;E48,E48/I48-1,I48/E48-1)</f>
        <v>#DIV/0!</v>
      </c>
      <c r="J53" s="461" t="e">
        <f>IF(OR(I53&gt;=0.2,I53&lt;=-0.2),"超过20%","")</f>
        <v>#DIV/0!</v>
      </c>
      <c r="K53" s="2962"/>
      <c r="L53" s="2958"/>
      <c r="M53" s="2957"/>
      <c r="N53" s="2957"/>
      <c r="O53" s="2957"/>
      <c r="P53" s="2968"/>
      <c r="Q53" s="2957"/>
      <c r="R53" s="2957"/>
      <c r="S53" s="2957"/>
      <c r="T53" s="2957"/>
      <c r="U53" s="2957"/>
      <c r="V53" s="2957"/>
      <c r="W53" s="2957"/>
      <c r="X53" s="2957"/>
      <c r="Y53" s="2957"/>
      <c r="Z53" s="2957"/>
      <c r="AA53" s="2957"/>
      <c r="AB53" s="2957"/>
      <c r="AC53" s="2957"/>
    </row>
    <row r="54" spans="1:29" s="463" customFormat="1" ht="13.5" customHeight="1">
      <c r="A54" s="2960"/>
      <c r="B54" s="2960"/>
      <c r="C54" s="458" t="s">
        <v>2503</v>
      </c>
      <c r="D54" s="462"/>
      <c r="E54" s="460" t="e">
        <f>IF(E47&lt;G47,G47/E47-1,E47/G47-1)</f>
        <v>#DIV/0!</v>
      </c>
      <c r="F54" s="461" t="e">
        <f>IF(OR(E54&gt;=0.3,E54&lt;=-0.3),"超过30%","")</f>
        <v>#DIV/0!</v>
      </c>
      <c r="G54" s="460" t="e">
        <f>IF(G47&lt;I47,I47/G47-1,G47/I47-1)</f>
        <v>#DIV/0!</v>
      </c>
      <c r="H54" s="461" t="e">
        <f>IF(OR(G54&gt;=0.3,G54&lt;=-0.3),"超过30%","")</f>
        <v>#DIV/0!</v>
      </c>
      <c r="I54" s="460" t="e">
        <f>IF(I47&lt;E47,E47/I47-1,I47/E47-1)</f>
        <v>#DIV/0!</v>
      </c>
      <c r="J54" s="461" t="e">
        <f>IF(OR(I54&gt;=0.3,I54&lt;=-0.3),"超过30%","")</f>
        <v>#DIV/0!</v>
      </c>
      <c r="K54" s="2965"/>
      <c r="L54" s="2959"/>
      <c r="M54" s="2960"/>
      <c r="N54" s="2960"/>
      <c r="O54" s="2960"/>
      <c r="P54" s="2969"/>
      <c r="Q54" s="2960"/>
      <c r="R54" s="2960"/>
      <c r="S54" s="2960"/>
      <c r="T54" s="2960"/>
      <c r="U54" s="2960"/>
      <c r="V54" s="2960"/>
      <c r="W54" s="2960"/>
      <c r="X54" s="2960"/>
      <c r="Y54" s="2960"/>
      <c r="Z54" s="2960"/>
      <c r="AA54" s="2960"/>
      <c r="AB54" s="2960"/>
      <c r="AC54" s="2960"/>
    </row>
    <row r="55" spans="1:29" s="463" customFormat="1">
      <c r="A55" s="2960"/>
      <c r="B55" s="2963"/>
      <c r="C55" s="2964"/>
      <c r="D55" s="2960"/>
      <c r="E55" s="2960"/>
      <c r="F55" s="2960"/>
      <c r="G55" s="2960"/>
      <c r="H55" s="2960"/>
      <c r="I55" s="2960"/>
      <c r="J55" s="2960"/>
      <c r="K55" s="2965"/>
      <c r="L55" s="2959"/>
      <c r="M55" s="2960"/>
      <c r="N55" s="2960"/>
      <c r="O55" s="2960"/>
      <c r="P55" s="2969"/>
      <c r="Q55" s="2960"/>
      <c r="R55" s="2960"/>
      <c r="S55" s="2960"/>
      <c r="T55" s="2960"/>
      <c r="U55" s="2960"/>
      <c r="V55" s="2960"/>
      <c r="W55" s="2960"/>
      <c r="X55" s="2960"/>
      <c r="Y55" s="2960"/>
      <c r="Z55" s="2960"/>
      <c r="AA55" s="2960"/>
      <c r="AB55" s="2960"/>
      <c r="AC55" s="2960"/>
    </row>
    <row r="56" spans="1:29">
      <c r="A56" s="2957"/>
      <c r="B56" s="2963"/>
      <c r="C56" s="2964"/>
      <c r="D56" s="2957"/>
      <c r="E56" s="2957"/>
      <c r="F56" s="2957"/>
      <c r="G56" s="2957"/>
      <c r="H56" s="2957"/>
      <c r="I56" s="2957"/>
      <c r="J56" s="2957"/>
      <c r="K56" s="2962"/>
      <c r="L56" s="2958"/>
      <c r="M56" s="2957"/>
      <c r="N56" s="2957"/>
      <c r="O56" s="2957"/>
      <c r="P56" s="2968"/>
      <c r="Q56" s="2957"/>
      <c r="R56" s="2957"/>
      <c r="S56" s="2957"/>
      <c r="T56" s="2957"/>
      <c r="U56" s="2957"/>
      <c r="V56" s="2957"/>
      <c r="W56" s="2957"/>
      <c r="X56" s="2957"/>
      <c r="Y56" s="2957"/>
      <c r="Z56" s="2957"/>
      <c r="AA56" s="2957"/>
      <c r="AB56" s="2957"/>
      <c r="AC56" s="2957"/>
    </row>
    <row r="57" spans="1:29" ht="22.2" thickBot="1">
      <c r="A57" s="707" t="s">
        <v>2504</v>
      </c>
      <c r="B57" s="703"/>
      <c r="C57" s="708"/>
      <c r="D57" s="708"/>
      <c r="E57" s="708"/>
      <c r="F57" s="709"/>
      <c r="G57" s="709"/>
      <c r="H57" s="708"/>
      <c r="I57" s="708"/>
      <c r="J57" s="708"/>
      <c r="K57" s="710"/>
      <c r="L57" s="1077"/>
      <c r="M57" s="1075"/>
      <c r="N57" s="1075"/>
      <c r="O57" s="1075"/>
      <c r="P57" s="2970"/>
      <c r="Q57" s="2971"/>
      <c r="R57" s="2957"/>
      <c r="S57" s="2957"/>
      <c r="T57" s="2957"/>
      <c r="U57" s="2957"/>
      <c r="V57" s="2957"/>
      <c r="W57" s="2957"/>
      <c r="X57" s="2957"/>
      <c r="Y57" s="2957"/>
      <c r="Z57" s="2957"/>
      <c r="AA57" s="2957"/>
      <c r="AB57" s="2957"/>
      <c r="AC57" s="2957"/>
    </row>
    <row r="58" spans="1:29" s="469" customFormat="1" ht="14.4">
      <c r="A58" s="466" t="s">
        <v>2378</v>
      </c>
      <c r="B58" s="467"/>
      <c r="C58" s="1350" t="str">
        <f>YEAR(C7)&amp;"-"&amp;MONTH(C7)</f>
        <v>2020-8</v>
      </c>
      <c r="D58" s="1351">
        <f>EDATE(C58,-1)</f>
        <v>44013</v>
      </c>
      <c r="E58" s="1351">
        <f t="shared" ref="E58:N58" si="16">EDATE(D58,-1)</f>
        <v>43983</v>
      </c>
      <c r="F58" s="1351">
        <f t="shared" si="16"/>
        <v>43952</v>
      </c>
      <c r="G58" s="1351">
        <f t="shared" si="16"/>
        <v>43922</v>
      </c>
      <c r="H58" s="1351">
        <f t="shared" si="16"/>
        <v>43891</v>
      </c>
      <c r="I58" s="1351">
        <f t="shared" si="16"/>
        <v>43862</v>
      </c>
      <c r="J58" s="1351">
        <f t="shared" si="16"/>
        <v>43831</v>
      </c>
      <c r="K58" s="1351">
        <f t="shared" si="16"/>
        <v>43800</v>
      </c>
      <c r="L58" s="1351">
        <f t="shared" si="16"/>
        <v>43770</v>
      </c>
      <c r="M58" s="1351">
        <f t="shared" si="16"/>
        <v>43739</v>
      </c>
      <c r="N58" s="1351">
        <f t="shared" si="16"/>
        <v>43709</v>
      </c>
      <c r="O58" s="1351">
        <f>EDATE(N58,-1)</f>
        <v>43678</v>
      </c>
      <c r="P58" s="2972"/>
      <c r="Q58" s="2973"/>
      <c r="R58" s="2973"/>
      <c r="S58" s="2973"/>
      <c r="T58" s="2973"/>
      <c r="U58" s="2973"/>
      <c r="V58" s="2973"/>
      <c r="W58" s="2973"/>
      <c r="X58" s="2973"/>
      <c r="Y58" s="2973"/>
      <c r="Z58" s="2973"/>
      <c r="AA58" s="2973"/>
      <c r="AB58" s="2973"/>
      <c r="AC58" s="2973"/>
    </row>
    <row r="59" spans="1:29" s="117" customFormat="1">
      <c r="A59" s="470"/>
      <c r="B59" s="471"/>
      <c r="C59" s="1349">
        <v>100</v>
      </c>
      <c r="D59" s="473"/>
      <c r="E59" s="473"/>
      <c r="F59" s="473"/>
      <c r="G59" s="473"/>
      <c r="H59" s="473"/>
      <c r="I59" s="473"/>
      <c r="J59" s="473"/>
      <c r="K59" s="473"/>
      <c r="L59" s="473"/>
      <c r="M59" s="474"/>
      <c r="N59" s="473"/>
      <c r="O59" s="474"/>
      <c r="P59" s="2974"/>
      <c r="Q59" s="2889"/>
      <c r="R59" s="2889"/>
      <c r="S59" s="2889"/>
      <c r="T59" s="2889"/>
      <c r="U59" s="2889"/>
      <c r="V59" s="2889"/>
      <c r="W59" s="2889"/>
      <c r="X59" s="2889"/>
      <c r="Y59" s="2889"/>
      <c r="Z59" s="2889"/>
      <c r="AA59" s="2889"/>
      <c r="AB59" s="2889"/>
      <c r="AC59" s="2889"/>
    </row>
    <row r="60" spans="1:29" s="117" customFormat="1" ht="15" thickBot="1">
      <c r="A60" s="476" t="s">
        <v>2415</v>
      </c>
      <c r="B60" s="477"/>
      <c r="C60" s="478"/>
      <c r="D60" s="479"/>
      <c r="E60" s="479"/>
      <c r="F60" s="479"/>
      <c r="G60" s="479"/>
      <c r="H60" s="479"/>
      <c r="I60" s="479"/>
      <c r="J60" s="479"/>
      <c r="K60" s="479"/>
      <c r="L60" s="479"/>
      <c r="M60" s="480"/>
      <c r="N60" s="479"/>
      <c r="O60" s="480"/>
      <c r="P60" s="2974"/>
      <c r="Q60" s="2971"/>
      <c r="R60" s="2889"/>
      <c r="S60" s="2889"/>
      <c r="T60" s="2889"/>
      <c r="U60" s="2889"/>
      <c r="V60" s="2889"/>
      <c r="W60" s="2889"/>
      <c r="X60" s="2889"/>
      <c r="Y60" s="2889"/>
      <c r="Z60" s="2889"/>
      <c r="AA60" s="2889"/>
      <c r="AB60" s="2889"/>
      <c r="AC60" s="2889"/>
    </row>
    <row r="61" spans="1:29" s="117" customFormat="1" ht="14.4">
      <c r="A61" s="482" t="s">
        <v>2380</v>
      </c>
      <c r="B61" s="471"/>
      <c r="C61" s="483" t="s">
        <v>2482</v>
      </c>
      <c r="D61" s="484"/>
      <c r="E61" s="484"/>
      <c r="F61" s="484"/>
      <c r="G61" s="484"/>
      <c r="H61" s="484"/>
      <c r="I61" s="484"/>
      <c r="J61" s="484"/>
      <c r="K61" s="484"/>
      <c r="L61" s="485"/>
      <c r="M61" s="486"/>
      <c r="N61" s="2984"/>
      <c r="O61" s="2984"/>
      <c r="P61" s="2975"/>
      <c r="Q61" s="2971"/>
      <c r="R61" s="2889"/>
      <c r="S61" s="2889"/>
      <c r="T61" s="2889"/>
      <c r="U61" s="2889"/>
      <c r="V61" s="2889"/>
      <c r="W61" s="2889"/>
      <c r="X61" s="2889"/>
      <c r="Y61" s="2889"/>
      <c r="Z61" s="2889"/>
      <c r="AA61" s="2889"/>
      <c r="AB61" s="2889"/>
      <c r="AC61" s="2889"/>
    </row>
    <row r="62" spans="1:29" s="117" customFormat="1" ht="14.4" thickBot="1">
      <c r="A62" s="482"/>
      <c r="B62" s="471"/>
      <c r="C62" s="472">
        <v>100</v>
      </c>
      <c r="D62" s="473"/>
      <c r="E62" s="473"/>
      <c r="F62" s="473"/>
      <c r="G62" s="473"/>
      <c r="H62" s="473"/>
      <c r="I62" s="473"/>
      <c r="J62" s="473"/>
      <c r="K62" s="473"/>
      <c r="L62" s="473"/>
      <c r="M62" s="475"/>
      <c r="N62" s="2984"/>
      <c r="O62" s="2984"/>
      <c r="P62" s="2974"/>
      <c r="Q62" s="2971"/>
      <c r="R62" s="2889"/>
      <c r="S62" s="2889"/>
      <c r="T62" s="2889"/>
      <c r="U62" s="2889"/>
      <c r="V62" s="2889"/>
      <c r="W62" s="2889"/>
      <c r="X62" s="2889"/>
      <c r="Y62" s="2889"/>
      <c r="Z62" s="2889"/>
      <c r="AA62" s="2889"/>
      <c r="AB62" s="2889"/>
      <c r="AC62" s="2889"/>
    </row>
    <row r="63" spans="1:29" ht="14.4">
      <c r="A63" s="488" t="s">
        <v>2418</v>
      </c>
      <c r="B63" s="489" t="s">
        <v>2384</v>
      </c>
      <c r="C63" s="490">
        <f>C9</f>
        <v>0</v>
      </c>
      <c r="D63" s="491"/>
      <c r="E63" s="491"/>
      <c r="F63" s="491"/>
      <c r="G63" s="491"/>
      <c r="H63" s="491"/>
      <c r="I63" s="491"/>
      <c r="J63" s="491"/>
      <c r="K63" s="492"/>
      <c r="L63" s="493"/>
      <c r="M63" s="494"/>
      <c r="N63" s="2985"/>
      <c r="O63" s="2985"/>
      <c r="P63" s="2976"/>
      <c r="Q63" s="2971"/>
      <c r="R63" s="2957"/>
      <c r="S63" s="2957"/>
      <c r="T63" s="2957"/>
      <c r="U63" s="2957"/>
      <c r="V63" s="2957"/>
      <c r="W63" s="2957"/>
      <c r="X63" s="2957"/>
      <c r="Y63" s="2957"/>
      <c r="Z63" s="2957"/>
      <c r="AA63" s="2957"/>
      <c r="AB63" s="2957"/>
      <c r="AC63" s="2957"/>
    </row>
    <row r="64" spans="1:29" ht="14.4" thickBot="1">
      <c r="A64" s="495"/>
      <c r="B64" s="496"/>
      <c r="C64" s="497">
        <v>100</v>
      </c>
      <c r="D64" s="497"/>
      <c r="E64" s="497"/>
      <c r="F64" s="497"/>
      <c r="G64" s="497"/>
      <c r="H64" s="497"/>
      <c r="I64" s="497"/>
      <c r="J64" s="497"/>
      <c r="K64" s="497"/>
      <c r="L64" s="497"/>
      <c r="M64" s="498"/>
      <c r="N64" s="2986"/>
      <c r="O64" s="2986"/>
      <c r="P64" s="2976"/>
      <c r="Q64" s="2971"/>
      <c r="R64" s="2957"/>
      <c r="S64" s="2957"/>
      <c r="T64" s="2957"/>
      <c r="U64" s="2957"/>
      <c r="V64" s="2957"/>
      <c r="W64" s="2957"/>
      <c r="X64" s="2957"/>
      <c r="Y64" s="2957"/>
      <c r="Z64" s="2957"/>
      <c r="AA64" s="2957"/>
      <c r="AB64" s="2957"/>
      <c r="AC64" s="2957"/>
    </row>
    <row r="65" spans="1:29" ht="29.4" thickTop="1">
      <c r="A65" s="495"/>
      <c r="B65" s="499" t="s">
        <v>2387</v>
      </c>
      <c r="C65" s="500" t="s">
        <v>2419</v>
      </c>
      <c r="D65" s="500" t="s">
        <v>2420</v>
      </c>
      <c r="E65" s="500" t="s">
        <v>2421</v>
      </c>
      <c r="F65" s="500" t="s">
        <v>2422</v>
      </c>
      <c r="G65" s="500" t="s">
        <v>2423</v>
      </c>
      <c r="H65" s="500" t="s">
        <v>2424</v>
      </c>
      <c r="I65" s="500" t="s">
        <v>2425</v>
      </c>
      <c r="J65" s="500"/>
      <c r="K65" s="501"/>
      <c r="L65" s="502"/>
      <c r="M65" s="503"/>
      <c r="N65" s="2985"/>
      <c r="O65" s="2985"/>
      <c r="P65" s="2976"/>
      <c r="Q65" s="2971"/>
      <c r="R65" s="2957"/>
      <c r="S65" s="2957"/>
      <c r="T65" s="2957"/>
      <c r="U65" s="2957"/>
      <c r="V65" s="2957"/>
      <c r="W65" s="2957"/>
      <c r="X65" s="2957"/>
      <c r="Y65" s="2957"/>
      <c r="Z65" s="2957"/>
      <c r="AA65" s="2957"/>
      <c r="AB65" s="2957"/>
      <c r="AC65" s="2957"/>
    </row>
    <row r="66" spans="1:29" ht="14.4" thickBot="1">
      <c r="A66" s="495"/>
      <c r="B66" s="504"/>
      <c r="C66" s="505" t="s">
        <v>24</v>
      </c>
      <c r="D66" s="505" t="s">
        <v>25</v>
      </c>
      <c r="E66" s="505" t="s">
        <v>26</v>
      </c>
      <c r="F66" s="505">
        <v>100</v>
      </c>
      <c r="G66" s="505">
        <f>F66-$K10</f>
        <v>100</v>
      </c>
      <c r="H66" s="505">
        <f>G66-$K10</f>
        <v>100</v>
      </c>
      <c r="I66" s="505">
        <f>H66-$K10</f>
        <v>100</v>
      </c>
      <c r="J66" s="505"/>
      <c r="K66" s="505"/>
      <c r="L66" s="505"/>
      <c r="M66" s="506"/>
      <c r="N66" s="2986"/>
      <c r="O66" s="2986"/>
      <c r="P66" s="2976"/>
      <c r="Q66" s="2971"/>
      <c r="R66" s="2957"/>
      <c r="S66" s="2957"/>
      <c r="T66" s="2957"/>
      <c r="U66" s="2957"/>
      <c r="V66" s="2957"/>
      <c r="W66" s="2957"/>
      <c r="X66" s="2957"/>
      <c r="Y66" s="2957"/>
      <c r="Z66" s="2957"/>
      <c r="AA66" s="2957"/>
      <c r="AB66" s="2957"/>
      <c r="AC66" s="2957"/>
    </row>
    <row r="67" spans="1:29" ht="15" thickTop="1">
      <c r="A67" s="495"/>
      <c r="B67" s="507" t="s">
        <v>2388</v>
      </c>
      <c r="C67" s="508" t="str">
        <f>C68&amp;"（含）"&amp;"-"&amp;D68</f>
        <v>（含）-</v>
      </c>
      <c r="D67" s="508" t="str">
        <f t="shared" ref="D67:L67" si="17">D68&amp;"（含）"&amp;"-"&amp;E68</f>
        <v>（含）-</v>
      </c>
      <c r="E67" s="508" t="str">
        <f t="shared" si="17"/>
        <v>（含）-</v>
      </c>
      <c r="F67" s="508" t="str">
        <f t="shared" si="17"/>
        <v>（含）-</v>
      </c>
      <c r="G67" s="508" t="str">
        <f t="shared" si="17"/>
        <v>（含）-</v>
      </c>
      <c r="H67" s="508" t="str">
        <f t="shared" si="17"/>
        <v>（含）-</v>
      </c>
      <c r="I67" s="508" t="str">
        <f t="shared" si="17"/>
        <v>（含）-</v>
      </c>
      <c r="J67" s="508" t="str">
        <f t="shared" si="17"/>
        <v>（含）-</v>
      </c>
      <c r="K67" s="508" t="str">
        <f t="shared" si="17"/>
        <v>（含）-</v>
      </c>
      <c r="L67" s="508" t="str">
        <f t="shared" si="17"/>
        <v>（含）-</v>
      </c>
      <c r="M67" s="411" t="str">
        <f>M68&amp;"（含）"&amp;"-"&amp;P68</f>
        <v>（含）-</v>
      </c>
      <c r="N67" s="2986"/>
      <c r="O67" s="2986"/>
      <c r="P67" s="2976"/>
      <c r="Q67" s="2971"/>
      <c r="R67" s="2957"/>
      <c r="S67" s="2957"/>
      <c r="T67" s="2957"/>
      <c r="U67" s="2957"/>
      <c r="V67" s="2957"/>
      <c r="W67" s="2957"/>
      <c r="X67" s="2957"/>
      <c r="Y67" s="2957"/>
      <c r="Z67" s="2957"/>
      <c r="AA67" s="2957"/>
      <c r="AB67" s="2957"/>
      <c r="AC67" s="2957"/>
    </row>
    <row r="68" spans="1:29">
      <c r="A68" s="495"/>
      <c r="B68" s="509"/>
      <c r="C68" s="510"/>
      <c r="D68" s="510"/>
      <c r="E68" s="510"/>
      <c r="F68" s="510"/>
      <c r="G68" s="510"/>
      <c r="H68" s="510"/>
      <c r="I68" s="510"/>
      <c r="J68" s="510"/>
      <c r="K68" s="511"/>
      <c r="L68" s="512"/>
      <c r="M68" s="513"/>
      <c r="N68" s="2985"/>
      <c r="O68" s="2985"/>
      <c r="P68" s="2976"/>
      <c r="Q68" s="2971"/>
      <c r="R68" s="2957"/>
      <c r="S68" s="2957"/>
      <c r="T68" s="2957"/>
      <c r="U68" s="2957"/>
      <c r="V68" s="2957"/>
      <c r="W68" s="2957"/>
      <c r="X68" s="2957"/>
      <c r="Y68" s="2957"/>
      <c r="Z68" s="2957"/>
      <c r="AA68" s="2957"/>
      <c r="AB68" s="2957"/>
      <c r="AC68" s="2957"/>
    </row>
    <row r="69" spans="1:29" ht="14.4" thickBot="1">
      <c r="A69" s="495"/>
      <c r="B69" s="496"/>
      <c r="C69" s="505">
        <v>100</v>
      </c>
      <c r="D69" s="505">
        <f t="shared" ref="D69:M69" si="18">C69-$K11</f>
        <v>100</v>
      </c>
      <c r="E69" s="505">
        <f t="shared" si="18"/>
        <v>100</v>
      </c>
      <c r="F69" s="505">
        <f t="shared" si="18"/>
        <v>100</v>
      </c>
      <c r="G69" s="505">
        <f t="shared" si="18"/>
        <v>100</v>
      </c>
      <c r="H69" s="505">
        <f t="shared" si="18"/>
        <v>100</v>
      </c>
      <c r="I69" s="505">
        <f t="shared" si="18"/>
        <v>100</v>
      </c>
      <c r="J69" s="505">
        <f t="shared" si="18"/>
        <v>100</v>
      </c>
      <c r="K69" s="505">
        <f t="shared" si="18"/>
        <v>100</v>
      </c>
      <c r="L69" s="505">
        <f t="shared" si="18"/>
        <v>100</v>
      </c>
      <c r="M69" s="506">
        <f t="shared" si="18"/>
        <v>100</v>
      </c>
      <c r="N69" s="2986"/>
      <c r="O69" s="2986"/>
      <c r="P69" s="2976"/>
      <c r="Q69" s="2971"/>
      <c r="R69" s="2957"/>
      <c r="S69" s="2957"/>
      <c r="T69" s="2957"/>
      <c r="U69" s="2957"/>
      <c r="V69" s="2957"/>
      <c r="W69" s="2957"/>
      <c r="X69" s="2957"/>
      <c r="Y69" s="2957"/>
      <c r="Z69" s="2957"/>
      <c r="AA69" s="2957"/>
      <c r="AB69" s="2957"/>
      <c r="AC69" s="2957"/>
    </row>
    <row r="70" spans="1:29" s="434" customFormat="1" ht="14.4" thickTop="1">
      <c r="A70" s="514"/>
      <c r="B70" s="499">
        <f>B12</f>
        <v>111</v>
      </c>
      <c r="C70" s="515"/>
      <c r="D70" s="515"/>
      <c r="E70" s="515"/>
      <c r="F70" s="515"/>
      <c r="G70" s="515"/>
      <c r="H70" s="516"/>
      <c r="I70" s="516"/>
      <c r="J70" s="516"/>
      <c r="K70" s="516"/>
      <c r="L70" s="517"/>
      <c r="M70" s="518"/>
      <c r="N70" s="2987"/>
      <c r="O70" s="2987"/>
      <c r="P70" s="2977"/>
      <c r="Q70" s="2978"/>
      <c r="R70" s="2979"/>
      <c r="S70" s="2979"/>
      <c r="T70" s="2979"/>
      <c r="U70" s="2979"/>
      <c r="V70" s="2979"/>
      <c r="W70" s="2979"/>
      <c r="X70" s="2979"/>
      <c r="Y70" s="2979"/>
      <c r="Z70" s="2979"/>
      <c r="AA70" s="2979"/>
      <c r="AB70" s="2979"/>
      <c r="AC70" s="2979"/>
    </row>
    <row r="71" spans="1:29" s="434" customFormat="1" ht="14.4" thickBot="1">
      <c r="A71" s="514"/>
      <c r="B71" s="504"/>
      <c r="C71" s="521"/>
      <c r="D71" s="497"/>
      <c r="E71" s="497"/>
      <c r="F71" s="497"/>
      <c r="G71" s="497"/>
      <c r="H71" s="497"/>
      <c r="I71" s="497"/>
      <c r="J71" s="497"/>
      <c r="K71" s="497"/>
      <c r="L71" s="497"/>
      <c r="M71" s="498"/>
      <c r="N71" s="2986"/>
      <c r="O71" s="2986"/>
      <c r="P71" s="2977"/>
      <c r="Q71" s="2978"/>
      <c r="R71" s="2979"/>
      <c r="S71" s="2979"/>
      <c r="T71" s="2979"/>
      <c r="U71" s="2979"/>
      <c r="V71" s="2979"/>
      <c r="W71" s="2979"/>
      <c r="X71" s="2979"/>
      <c r="Y71" s="2979"/>
      <c r="Z71" s="2979"/>
      <c r="AA71" s="2979"/>
      <c r="AB71" s="2979"/>
      <c r="AC71" s="2979"/>
    </row>
    <row r="72" spans="1:29" s="434" customFormat="1" ht="14.4" thickTop="1">
      <c r="A72" s="514"/>
      <c r="B72" s="499">
        <f>B13</f>
        <v>111</v>
      </c>
      <c r="C72" s="515"/>
      <c r="D72" s="515"/>
      <c r="E72" s="515"/>
      <c r="F72" s="515"/>
      <c r="G72" s="515"/>
      <c r="H72" s="516"/>
      <c r="I72" s="516"/>
      <c r="J72" s="516"/>
      <c r="K72" s="516"/>
      <c r="L72" s="517"/>
      <c r="M72" s="518"/>
      <c r="N72" s="2987"/>
      <c r="O72" s="2987"/>
      <c r="P72" s="2980"/>
      <c r="Q72" s="2981"/>
      <c r="R72" s="2979"/>
      <c r="S72" s="2979"/>
      <c r="T72" s="2979"/>
      <c r="U72" s="2979"/>
      <c r="V72" s="2979"/>
      <c r="W72" s="2979"/>
      <c r="X72" s="2979"/>
      <c r="Y72" s="2979"/>
      <c r="Z72" s="2979"/>
      <c r="AA72" s="2979"/>
      <c r="AB72" s="2979"/>
      <c r="AC72" s="2979"/>
    </row>
    <row r="73" spans="1:29" s="434" customFormat="1" ht="14.4" thickBot="1">
      <c r="A73" s="514"/>
      <c r="B73" s="504"/>
      <c r="C73" s="521"/>
      <c r="D73" s="497"/>
      <c r="E73" s="497"/>
      <c r="F73" s="497"/>
      <c r="G73" s="521"/>
      <c r="H73" s="523"/>
      <c r="I73" s="523"/>
      <c r="J73" s="523"/>
      <c r="K73" s="523"/>
      <c r="L73" s="523"/>
      <c r="M73" s="524"/>
      <c r="N73" s="2987"/>
      <c r="O73" s="2987"/>
      <c r="P73" s="2977"/>
      <c r="Q73" s="2978"/>
      <c r="R73" s="2979"/>
      <c r="S73" s="2979"/>
      <c r="T73" s="2979"/>
      <c r="U73" s="2979"/>
      <c r="V73" s="2979"/>
      <c r="W73" s="2979"/>
      <c r="X73" s="2979"/>
      <c r="Y73" s="2979"/>
      <c r="Z73" s="2979"/>
      <c r="AA73" s="2979"/>
      <c r="AB73" s="2979"/>
      <c r="AC73" s="2979"/>
    </row>
    <row r="74" spans="1:29" s="434" customFormat="1" ht="14.4" thickTop="1">
      <c r="A74" s="514"/>
      <c r="B74" s="507">
        <f>B14</f>
        <v>111</v>
      </c>
      <c r="C74" s="515"/>
      <c r="D74" s="515"/>
      <c r="E74" s="515"/>
      <c r="F74" s="515"/>
      <c r="G74" s="484"/>
      <c r="H74" s="525"/>
      <c r="I74" s="525"/>
      <c r="J74" s="525"/>
      <c r="K74" s="525"/>
      <c r="L74" s="526"/>
      <c r="M74" s="527"/>
      <c r="N74" s="2987"/>
      <c r="O74" s="2987"/>
      <c r="P74" s="2982"/>
      <c r="Q74" s="2978"/>
      <c r="R74" s="2979"/>
      <c r="S74" s="2979"/>
      <c r="T74" s="2979"/>
      <c r="U74" s="2979"/>
      <c r="V74" s="2979"/>
      <c r="W74" s="2979"/>
      <c r="X74" s="2979"/>
      <c r="Y74" s="2979"/>
      <c r="Z74" s="2979"/>
      <c r="AA74" s="2979"/>
      <c r="AB74" s="2979"/>
      <c r="AC74" s="2979"/>
    </row>
    <row r="75" spans="1:29" s="434" customFormat="1" ht="14.4" thickBot="1">
      <c r="A75" s="529"/>
      <c r="B75" s="530"/>
      <c r="C75" s="531"/>
      <c r="D75" s="531"/>
      <c r="E75" s="531"/>
      <c r="F75" s="531"/>
      <c r="G75" s="531"/>
      <c r="H75" s="532"/>
      <c r="I75" s="532"/>
      <c r="J75" s="532"/>
      <c r="K75" s="532"/>
      <c r="L75" s="532"/>
      <c r="M75" s="533"/>
      <c r="N75" s="2987"/>
      <c r="O75" s="2987"/>
      <c r="P75" s="2977"/>
      <c r="Q75" s="2978"/>
      <c r="R75" s="2979"/>
      <c r="S75" s="2979"/>
      <c r="T75" s="2979"/>
      <c r="U75" s="2979"/>
      <c r="V75" s="2979"/>
      <c r="W75" s="2979"/>
      <c r="X75" s="2979"/>
      <c r="Y75" s="2979"/>
      <c r="Z75" s="2979"/>
      <c r="AA75" s="2979"/>
      <c r="AB75" s="2979"/>
      <c r="AC75" s="2979"/>
    </row>
    <row r="76" spans="1:29" ht="14.4">
      <c r="A76" s="488" t="s">
        <v>2389</v>
      </c>
      <c r="B76" s="489" t="s">
        <v>2426</v>
      </c>
      <c r="C76" s="534" t="s">
        <v>2427</v>
      </c>
      <c r="D76" s="534" t="s">
        <v>2428</v>
      </c>
      <c r="E76" s="534" t="s">
        <v>2429</v>
      </c>
      <c r="F76" s="534" t="s">
        <v>2430</v>
      </c>
      <c r="G76" s="534" t="s">
        <v>2431</v>
      </c>
      <c r="H76" s="490"/>
      <c r="I76" s="490"/>
      <c r="J76" s="490"/>
      <c r="K76" s="535"/>
      <c r="L76" s="536"/>
      <c r="M76" s="537"/>
      <c r="N76" s="2985"/>
      <c r="O76" s="2985"/>
      <c r="P76" s="2983"/>
      <c r="Q76" s="2971"/>
      <c r="R76" s="2957"/>
      <c r="S76" s="2957"/>
      <c r="T76" s="2957"/>
      <c r="U76" s="2957"/>
      <c r="V76" s="2957"/>
      <c r="W76" s="2957"/>
      <c r="X76" s="2957"/>
      <c r="Y76" s="2957"/>
      <c r="Z76" s="2957"/>
      <c r="AA76" s="2957"/>
      <c r="AB76" s="2957"/>
      <c r="AC76" s="2957"/>
    </row>
    <row r="77" spans="1:29" ht="14.4" thickBot="1">
      <c r="A77" s="495"/>
      <c r="B77" s="504"/>
      <c r="C77" s="505">
        <v>100</v>
      </c>
      <c r="D77" s="505">
        <f>C77-$K15</f>
        <v>100</v>
      </c>
      <c r="E77" s="505">
        <f>D77-$K15</f>
        <v>100</v>
      </c>
      <c r="F77" s="505">
        <f>E77-$K15</f>
        <v>100</v>
      </c>
      <c r="G77" s="505">
        <f>F77-$K15</f>
        <v>100</v>
      </c>
      <c r="H77" s="505"/>
      <c r="I77" s="505"/>
      <c r="J77" s="505"/>
      <c r="K77" s="505"/>
      <c r="L77" s="505"/>
      <c r="M77" s="506"/>
      <c r="N77" s="2986"/>
      <c r="O77" s="2986"/>
      <c r="P77" s="2976"/>
      <c r="Q77" s="2971"/>
      <c r="R77" s="2957"/>
      <c r="S77" s="2957"/>
      <c r="T77" s="2957"/>
      <c r="U77" s="2957"/>
      <c r="V77" s="2957"/>
      <c r="W77" s="2957"/>
      <c r="X77" s="2957"/>
      <c r="Y77" s="2957"/>
      <c r="Z77" s="2957"/>
      <c r="AA77" s="2957"/>
      <c r="AB77" s="2957"/>
      <c r="AC77" s="2957"/>
    </row>
    <row r="78" spans="1:29" ht="15" thickTop="1">
      <c r="A78" s="495"/>
      <c r="B78" s="499" t="s">
        <v>2432</v>
      </c>
      <c r="C78" s="539" t="s">
        <v>2427</v>
      </c>
      <c r="D78" s="539" t="s">
        <v>2428</v>
      </c>
      <c r="E78" s="539" t="s">
        <v>2429</v>
      </c>
      <c r="F78" s="539" t="s">
        <v>2430</v>
      </c>
      <c r="G78" s="539" t="s">
        <v>2431</v>
      </c>
      <c r="H78" s="500"/>
      <c r="I78" s="500"/>
      <c r="J78" s="500"/>
      <c r="K78" s="501"/>
      <c r="L78" s="502"/>
      <c r="M78" s="503"/>
      <c r="N78" s="2985"/>
      <c r="O78" s="2985"/>
      <c r="P78" s="2976"/>
      <c r="Q78" s="2971"/>
      <c r="R78" s="2957"/>
      <c r="S78" s="2957"/>
      <c r="T78" s="2957"/>
      <c r="U78" s="2957"/>
      <c r="V78" s="2957"/>
      <c r="W78" s="2957"/>
      <c r="X78" s="2957"/>
      <c r="Y78" s="2957"/>
      <c r="Z78" s="2957"/>
      <c r="AA78" s="2957"/>
      <c r="AB78" s="2957"/>
      <c r="AC78" s="2957"/>
    </row>
    <row r="79" spans="1:29" ht="14.4" thickBot="1">
      <c r="A79" s="495"/>
      <c r="B79" s="504"/>
      <c r="C79" s="505">
        <v>100</v>
      </c>
      <c r="D79" s="505">
        <f>C79-$K17</f>
        <v>100</v>
      </c>
      <c r="E79" s="505">
        <f>D79-$K17</f>
        <v>100</v>
      </c>
      <c r="F79" s="505">
        <f>E79-$K17</f>
        <v>100</v>
      </c>
      <c r="G79" s="505">
        <f>F79-$K17</f>
        <v>100</v>
      </c>
      <c r="H79" s="505"/>
      <c r="I79" s="505"/>
      <c r="J79" s="505"/>
      <c r="K79" s="505"/>
      <c r="L79" s="505"/>
      <c r="M79" s="506"/>
      <c r="N79" s="2986"/>
      <c r="O79" s="2986"/>
      <c r="P79" s="2976"/>
      <c r="Q79" s="2971"/>
      <c r="R79" s="2957"/>
      <c r="S79" s="2957"/>
      <c r="T79" s="2957"/>
      <c r="U79" s="2957"/>
      <c r="V79" s="2957"/>
      <c r="W79" s="2957"/>
      <c r="X79" s="2957"/>
      <c r="Y79" s="2957"/>
      <c r="Z79" s="2957"/>
      <c r="AA79" s="2957"/>
      <c r="AB79" s="2957"/>
      <c r="AC79" s="2957"/>
    </row>
    <row r="80" spans="1:29" ht="15" thickTop="1">
      <c r="A80" s="495"/>
      <c r="B80" s="499" t="s">
        <v>2433</v>
      </c>
      <c r="C80" s="539" t="s">
        <v>2427</v>
      </c>
      <c r="D80" s="539" t="s">
        <v>2428</v>
      </c>
      <c r="E80" s="539" t="s">
        <v>2429</v>
      </c>
      <c r="F80" s="539" t="s">
        <v>2430</v>
      </c>
      <c r="G80" s="539" t="s">
        <v>2431</v>
      </c>
      <c r="H80" s="500"/>
      <c r="I80" s="500"/>
      <c r="J80" s="500"/>
      <c r="K80" s="501"/>
      <c r="L80" s="502"/>
      <c r="M80" s="503"/>
      <c r="N80" s="2985"/>
      <c r="O80" s="2985"/>
      <c r="P80" s="2976"/>
      <c r="Q80" s="2971"/>
      <c r="R80" s="2957"/>
      <c r="S80" s="2957"/>
      <c r="T80" s="2957"/>
      <c r="U80" s="2957"/>
      <c r="V80" s="2957"/>
      <c r="W80" s="2957"/>
      <c r="X80" s="2957"/>
      <c r="Y80" s="2957"/>
      <c r="Z80" s="2957"/>
      <c r="AA80" s="2957"/>
      <c r="AB80" s="2957"/>
      <c r="AC80" s="2957"/>
    </row>
    <row r="81" spans="1:29" ht="14.4" thickBot="1">
      <c r="A81" s="495"/>
      <c r="B81" s="504"/>
      <c r="C81" s="505">
        <v>100</v>
      </c>
      <c r="D81" s="505">
        <f>C81-$K19</f>
        <v>100</v>
      </c>
      <c r="E81" s="505">
        <f>D81-$K19</f>
        <v>100</v>
      </c>
      <c r="F81" s="505">
        <f>E81-$K19</f>
        <v>100</v>
      </c>
      <c r="G81" s="505">
        <f>F81-$K19</f>
        <v>100</v>
      </c>
      <c r="H81" s="505"/>
      <c r="I81" s="505"/>
      <c r="J81" s="505"/>
      <c r="K81" s="505"/>
      <c r="L81" s="505"/>
      <c r="M81" s="506"/>
      <c r="N81" s="2986"/>
      <c r="O81" s="2986"/>
      <c r="P81" s="2976"/>
      <c r="Q81" s="2971"/>
      <c r="R81" s="2957"/>
      <c r="S81" s="2957"/>
      <c r="T81" s="2957"/>
      <c r="U81" s="2957"/>
      <c r="V81" s="2957"/>
      <c r="W81" s="2957"/>
      <c r="X81" s="2957"/>
      <c r="Y81" s="2957"/>
      <c r="Z81" s="2957"/>
      <c r="AA81" s="2957"/>
      <c r="AB81" s="2957"/>
      <c r="AC81" s="2957"/>
    </row>
    <row r="82" spans="1:29" ht="15" thickTop="1">
      <c r="A82" s="495"/>
      <c r="B82" s="507" t="s">
        <v>2485</v>
      </c>
      <c r="C82" s="620" t="s">
        <v>2505</v>
      </c>
      <c r="D82" s="620" t="s">
        <v>2506</v>
      </c>
      <c r="E82" s="620" t="s">
        <v>2507</v>
      </c>
      <c r="F82" s="620" t="s">
        <v>2508</v>
      </c>
      <c r="G82" s="620" t="s">
        <v>2509</v>
      </c>
      <c r="H82" s="500"/>
      <c r="I82" s="500"/>
      <c r="J82" s="500"/>
      <c r="K82" s="500"/>
      <c r="L82" s="500"/>
      <c r="M82" s="1295"/>
      <c r="N82" s="2986"/>
      <c r="O82" s="2986"/>
      <c r="P82" s="2976"/>
      <c r="Q82" s="2971"/>
      <c r="R82" s="2957"/>
      <c r="S82" s="2957"/>
      <c r="T82" s="2957"/>
      <c r="U82" s="2957"/>
      <c r="V82" s="2957"/>
      <c r="W82" s="2957"/>
      <c r="X82" s="2957"/>
      <c r="Y82" s="2957"/>
      <c r="Z82" s="2957"/>
      <c r="AA82" s="2957"/>
      <c r="AB82" s="2957"/>
      <c r="AC82" s="2957"/>
    </row>
    <row r="83" spans="1:29" ht="14.4" thickBot="1">
      <c r="A83" s="495"/>
      <c r="B83" s="507"/>
      <c r="C83" s="505">
        <v>100</v>
      </c>
      <c r="D83" s="505">
        <f>C83-$K21</f>
        <v>100</v>
      </c>
      <c r="E83" s="505">
        <f t="shared" ref="E83:G83" si="19">D83-$K21</f>
        <v>100</v>
      </c>
      <c r="F83" s="505">
        <f t="shared" si="19"/>
        <v>100</v>
      </c>
      <c r="G83" s="505">
        <f t="shared" si="19"/>
        <v>100</v>
      </c>
      <c r="H83" s="620"/>
      <c r="I83" s="620"/>
      <c r="J83" s="620"/>
      <c r="K83" s="620"/>
      <c r="L83" s="620"/>
      <c r="M83" s="413"/>
      <c r="N83" s="2986"/>
      <c r="O83" s="2986"/>
      <c r="P83" s="2976"/>
      <c r="Q83" s="2971"/>
      <c r="R83" s="2957"/>
      <c r="S83" s="2957"/>
      <c r="T83" s="2957"/>
      <c r="U83" s="2957"/>
      <c r="V83" s="2957"/>
      <c r="W83" s="2957"/>
      <c r="X83" s="2957"/>
      <c r="Y83" s="2957"/>
      <c r="Z83" s="2957"/>
      <c r="AA83" s="2957"/>
      <c r="AB83" s="2957"/>
      <c r="AC83" s="2957"/>
    </row>
    <row r="84" spans="1:29" ht="15" thickTop="1">
      <c r="A84" s="495"/>
      <c r="B84" s="499" t="s">
        <v>2439</v>
      </c>
      <c r="C84" s="539" t="s">
        <v>2427</v>
      </c>
      <c r="D84" s="539" t="s">
        <v>2428</v>
      </c>
      <c r="E84" s="539" t="s">
        <v>2429</v>
      </c>
      <c r="F84" s="539" t="s">
        <v>2430</v>
      </c>
      <c r="G84" s="539" t="s">
        <v>2431</v>
      </c>
      <c r="H84" s="500"/>
      <c r="I84" s="500"/>
      <c r="J84" s="500"/>
      <c r="K84" s="501"/>
      <c r="L84" s="502"/>
      <c r="M84" s="503"/>
      <c r="N84" s="2985"/>
      <c r="O84" s="2985"/>
      <c r="P84" s="2976"/>
      <c r="Q84" s="2971"/>
      <c r="R84" s="2957"/>
      <c r="S84" s="2957"/>
      <c r="T84" s="2957"/>
      <c r="U84" s="2957"/>
      <c r="V84" s="2957"/>
      <c r="W84" s="2957"/>
      <c r="X84" s="2957"/>
      <c r="Y84" s="2957"/>
      <c r="Z84" s="2957"/>
      <c r="AA84" s="2957"/>
      <c r="AB84" s="2957"/>
      <c r="AC84" s="2957"/>
    </row>
    <row r="85" spans="1:29" ht="14.4" thickBot="1">
      <c r="A85" s="495"/>
      <c r="B85" s="504"/>
      <c r="C85" s="505">
        <v>100</v>
      </c>
      <c r="D85" s="505">
        <f>C85-$K23</f>
        <v>100</v>
      </c>
      <c r="E85" s="505">
        <f>D85-$K23</f>
        <v>100</v>
      </c>
      <c r="F85" s="505">
        <f>E85-$K23</f>
        <v>100</v>
      </c>
      <c r="G85" s="505">
        <f>F85-$K23</f>
        <v>100</v>
      </c>
      <c r="H85" s="505"/>
      <c r="I85" s="505"/>
      <c r="J85" s="505"/>
      <c r="K85" s="505"/>
      <c r="L85" s="505"/>
      <c r="M85" s="506"/>
      <c r="N85" s="2986"/>
      <c r="O85" s="2986"/>
      <c r="P85" s="2976"/>
      <c r="Q85" s="2971"/>
      <c r="R85" s="2957"/>
      <c r="S85" s="2957"/>
      <c r="T85" s="2957"/>
      <c r="U85" s="2957"/>
      <c r="V85" s="2957"/>
      <c r="W85" s="2957"/>
      <c r="X85" s="2957"/>
      <c r="Y85" s="2957"/>
      <c r="Z85" s="2957"/>
      <c r="AA85" s="2957"/>
      <c r="AB85" s="2957"/>
      <c r="AC85" s="2957"/>
    </row>
    <row r="86" spans="1:29" s="117" customFormat="1" ht="15" thickTop="1">
      <c r="A86" s="540"/>
      <c r="B86" s="499" t="s">
        <v>2510</v>
      </c>
      <c r="C86" s="515"/>
      <c r="D86" s="515"/>
      <c r="E86" s="515"/>
      <c r="F86" s="515"/>
      <c r="G86" s="515"/>
      <c r="H86" s="515"/>
      <c r="I86" s="515"/>
      <c r="J86" s="515"/>
      <c r="K86" s="515"/>
      <c r="L86" s="541"/>
      <c r="M86" s="542"/>
      <c r="N86" s="2984"/>
      <c r="O86" s="2984"/>
      <c r="P86" s="2976"/>
      <c r="Q86" s="2971"/>
      <c r="R86" s="2889"/>
      <c r="S86" s="2889"/>
      <c r="T86" s="2889"/>
      <c r="U86" s="2889"/>
      <c r="V86" s="2889"/>
      <c r="W86" s="2889"/>
      <c r="X86" s="2889"/>
      <c r="Y86" s="2889"/>
      <c r="Z86" s="2889"/>
      <c r="AA86" s="2889"/>
      <c r="AB86" s="2889"/>
      <c r="AC86" s="2889"/>
    </row>
    <row r="87" spans="1:29" s="117" customFormat="1" ht="14.4" thickBot="1">
      <c r="A87" s="540"/>
      <c r="B87" s="504"/>
      <c r="C87" s="543">
        <v>100</v>
      </c>
      <c r="D87" s="505">
        <f t="shared" ref="D87:M87" si="20">C87-$K25</f>
        <v>100</v>
      </c>
      <c r="E87" s="505">
        <f t="shared" si="20"/>
        <v>100</v>
      </c>
      <c r="F87" s="505">
        <f t="shared" si="20"/>
        <v>100</v>
      </c>
      <c r="G87" s="505">
        <f t="shared" si="20"/>
        <v>100</v>
      </c>
      <c r="H87" s="505">
        <f t="shared" si="20"/>
        <v>100</v>
      </c>
      <c r="I87" s="505">
        <f t="shared" si="20"/>
        <v>100</v>
      </c>
      <c r="J87" s="505">
        <f t="shared" si="20"/>
        <v>100</v>
      </c>
      <c r="K87" s="505">
        <f t="shared" si="20"/>
        <v>100</v>
      </c>
      <c r="L87" s="505">
        <f t="shared" si="20"/>
        <v>100</v>
      </c>
      <c r="M87" s="505">
        <f t="shared" si="20"/>
        <v>100</v>
      </c>
      <c r="N87" s="2986"/>
      <c r="O87" s="2986"/>
      <c r="P87" s="2976"/>
      <c r="Q87" s="2971"/>
      <c r="R87" s="2889"/>
      <c r="S87" s="2889"/>
      <c r="T87" s="2889"/>
      <c r="U87" s="2889"/>
      <c r="V87" s="2889"/>
      <c r="W87" s="2889"/>
      <c r="X87" s="2889"/>
      <c r="Y87" s="2889"/>
      <c r="Z87" s="2889"/>
      <c r="AA87" s="2889"/>
      <c r="AB87" s="2889"/>
      <c r="AC87" s="2889"/>
    </row>
    <row r="88" spans="1:29" s="117" customFormat="1" ht="14.4" thickTop="1">
      <c r="A88" s="540"/>
      <c r="B88" s="499" t="str">
        <f>B26</f>
        <v>平面位置/可视性</v>
      </c>
      <c r="C88" s="515"/>
      <c r="D88" s="515"/>
      <c r="E88" s="515"/>
      <c r="F88" s="2119"/>
      <c r="G88" s="515"/>
      <c r="H88" s="515"/>
      <c r="I88" s="515"/>
      <c r="J88" s="515"/>
      <c r="K88" s="515"/>
      <c r="L88" s="515"/>
      <c r="M88" s="542"/>
      <c r="N88" s="2984"/>
      <c r="O88" s="2984"/>
      <c r="P88" s="2976"/>
      <c r="Q88" s="2971"/>
      <c r="R88" s="2889"/>
      <c r="S88" s="2889"/>
      <c r="T88" s="2889"/>
      <c r="U88" s="2889"/>
      <c r="V88" s="2889"/>
      <c r="W88" s="2889"/>
      <c r="X88" s="2889"/>
      <c r="Y88" s="2889"/>
      <c r="Z88" s="2889"/>
      <c r="AA88" s="2889"/>
      <c r="AB88" s="2889"/>
      <c r="AC88" s="2889"/>
    </row>
    <row r="89" spans="1:29" s="117" customFormat="1" ht="14.4" thickBot="1">
      <c r="A89" s="540"/>
      <c r="B89" s="504"/>
      <c r="C89" s="521"/>
      <c r="D89" s="497"/>
      <c r="E89" s="497"/>
      <c r="F89" s="497"/>
      <c r="G89" s="497"/>
      <c r="H89" s="497"/>
      <c r="I89" s="497"/>
      <c r="J89" s="497"/>
      <c r="K89" s="497"/>
      <c r="L89" s="497"/>
      <c r="M89" s="497"/>
      <c r="N89" s="2986"/>
      <c r="O89" s="2986"/>
      <c r="P89" s="2976"/>
      <c r="Q89" s="2971"/>
      <c r="R89" s="2889"/>
      <c r="S89" s="2889"/>
      <c r="T89" s="2889"/>
      <c r="U89" s="2889"/>
      <c r="V89" s="2889"/>
      <c r="W89" s="2889"/>
      <c r="X89" s="2889"/>
      <c r="Y89" s="2889"/>
      <c r="Z89" s="2889"/>
      <c r="AA89" s="2889"/>
      <c r="AB89" s="2889"/>
      <c r="AC89" s="2889"/>
    </row>
    <row r="90" spans="1:29" s="434" customFormat="1" ht="14.4" thickTop="1">
      <c r="A90" s="514"/>
      <c r="B90" s="499" t="str">
        <f>B27</f>
        <v>人流量</v>
      </c>
      <c r="C90" s="515"/>
      <c r="D90" s="515"/>
      <c r="E90" s="515"/>
      <c r="F90" s="515"/>
      <c r="G90" s="515"/>
      <c r="H90" s="516"/>
      <c r="I90" s="516"/>
      <c r="J90" s="516"/>
      <c r="K90" s="516"/>
      <c r="L90" s="517"/>
      <c r="M90" s="518"/>
      <c r="N90" s="2987"/>
      <c r="O90" s="2987"/>
      <c r="P90" s="2977"/>
      <c r="Q90" s="2978"/>
      <c r="R90" s="2979"/>
      <c r="S90" s="2979"/>
      <c r="T90" s="2979"/>
      <c r="U90" s="2979"/>
      <c r="V90" s="2979"/>
      <c r="W90" s="2979"/>
      <c r="X90" s="2979"/>
      <c r="Y90" s="2979"/>
      <c r="Z90" s="2979"/>
      <c r="AA90" s="2979"/>
      <c r="AB90" s="2979"/>
      <c r="AC90" s="2979"/>
    </row>
    <row r="91" spans="1:29" s="434" customFormat="1" ht="14.4" thickBot="1">
      <c r="A91" s="514"/>
      <c r="B91" s="504"/>
      <c r="C91" s="543">
        <v>100</v>
      </c>
      <c r="D91" s="505">
        <f>C91-$K27</f>
        <v>100</v>
      </c>
      <c r="E91" s="505">
        <f t="shared" ref="E91:M91" si="21">D91-$K27</f>
        <v>100</v>
      </c>
      <c r="F91" s="505">
        <f t="shared" si="21"/>
        <v>100</v>
      </c>
      <c r="G91" s="505">
        <f t="shared" si="21"/>
        <v>100</v>
      </c>
      <c r="H91" s="505">
        <f t="shared" si="21"/>
        <v>100</v>
      </c>
      <c r="I91" s="505">
        <f t="shared" si="21"/>
        <v>100</v>
      </c>
      <c r="J91" s="505">
        <f t="shared" si="21"/>
        <v>100</v>
      </c>
      <c r="K91" s="505">
        <f t="shared" si="21"/>
        <v>100</v>
      </c>
      <c r="L91" s="505">
        <f t="shared" si="21"/>
        <v>100</v>
      </c>
      <c r="M91" s="505">
        <f t="shared" si="21"/>
        <v>100</v>
      </c>
      <c r="N91" s="2987"/>
      <c r="O91" s="2987"/>
      <c r="P91" s="2977"/>
      <c r="Q91" s="2978"/>
      <c r="R91" s="2979"/>
      <c r="S91" s="2979"/>
      <c r="T91" s="2979"/>
      <c r="U91" s="2979"/>
      <c r="V91" s="2979"/>
      <c r="W91" s="2979"/>
      <c r="X91" s="2979"/>
      <c r="Y91" s="2979"/>
      <c r="Z91" s="2979"/>
      <c r="AA91" s="2979"/>
      <c r="AB91" s="2979"/>
      <c r="AC91" s="2979"/>
    </row>
    <row r="92" spans="1:29" ht="14.4" thickTop="1">
      <c r="A92" s="495"/>
      <c r="B92" s="499" t="str">
        <f>B28</f>
        <v>楼层</v>
      </c>
      <c r="C92" s="515"/>
      <c r="D92" s="515"/>
      <c r="E92" s="515"/>
      <c r="F92" s="515"/>
      <c r="G92" s="515"/>
      <c r="H92" s="515"/>
      <c r="I92" s="515"/>
      <c r="J92" s="515"/>
      <c r="K92" s="515"/>
      <c r="L92" s="541"/>
      <c r="M92" s="542"/>
      <c r="N92" s="2985"/>
      <c r="O92" s="2985"/>
      <c r="P92" s="2976"/>
      <c r="Q92" s="2971"/>
      <c r="R92" s="2957"/>
      <c r="S92" s="2957"/>
      <c r="T92" s="2957"/>
      <c r="U92" s="2957"/>
      <c r="V92" s="2957"/>
      <c r="W92" s="2957"/>
      <c r="X92" s="2957"/>
      <c r="Y92" s="2957"/>
      <c r="Z92" s="2957"/>
      <c r="AA92" s="2957"/>
      <c r="AB92" s="2957"/>
      <c r="AC92" s="2957"/>
    </row>
    <row r="93" spans="1:29" ht="14.4" thickBot="1">
      <c r="A93" s="495"/>
      <c r="B93" s="504"/>
      <c r="C93" s="497"/>
      <c r="D93" s="497"/>
      <c r="E93" s="497"/>
      <c r="F93" s="497"/>
      <c r="G93" s="497"/>
      <c r="H93" s="497"/>
      <c r="I93" s="497"/>
      <c r="J93" s="497"/>
      <c r="K93" s="497"/>
      <c r="L93" s="497"/>
      <c r="M93" s="498"/>
      <c r="N93" s="2986"/>
      <c r="O93" s="2986"/>
      <c r="P93" s="2976"/>
      <c r="Q93" s="2971"/>
      <c r="R93" s="2957"/>
      <c r="S93" s="2957"/>
      <c r="T93" s="2957"/>
      <c r="U93" s="2957"/>
      <c r="V93" s="2957"/>
      <c r="W93" s="2957"/>
      <c r="X93" s="2957"/>
      <c r="Y93" s="2957"/>
      <c r="Z93" s="2957"/>
      <c r="AA93" s="2957"/>
      <c r="AB93" s="2957"/>
      <c r="AC93" s="2957"/>
    </row>
    <row r="94" spans="1:29" ht="14.4" thickTop="1">
      <c r="A94" s="495"/>
      <c r="B94" s="499">
        <f>B29</f>
        <v>111</v>
      </c>
      <c r="C94" s="515"/>
      <c r="D94" s="515"/>
      <c r="E94" s="515"/>
      <c r="F94" s="515"/>
      <c r="G94" s="544"/>
      <c r="H94" s="544"/>
      <c r="I94" s="544"/>
      <c r="J94" s="544"/>
      <c r="K94" s="545"/>
      <c r="L94" s="546"/>
      <c r="M94" s="547"/>
      <c r="N94" s="2985"/>
      <c r="O94" s="2985"/>
      <c r="P94" s="2976"/>
      <c r="Q94" s="2971"/>
      <c r="R94" s="2957"/>
      <c r="S94" s="2957"/>
      <c r="T94" s="2957"/>
      <c r="U94" s="2957"/>
      <c r="V94" s="2957"/>
      <c r="W94" s="2957"/>
      <c r="X94" s="2957"/>
      <c r="Y94" s="2957"/>
      <c r="Z94" s="2957"/>
      <c r="AA94" s="2957"/>
      <c r="AB94" s="2957"/>
      <c r="AC94" s="2957"/>
    </row>
    <row r="95" spans="1:29" ht="14.4" thickBot="1">
      <c r="A95" s="495"/>
      <c r="B95" s="504"/>
      <c r="C95" s="521"/>
      <c r="D95" s="497"/>
      <c r="E95" s="497"/>
      <c r="F95" s="497"/>
      <c r="G95" s="497"/>
      <c r="H95" s="497"/>
      <c r="I95" s="497"/>
      <c r="J95" s="497"/>
      <c r="K95" s="497"/>
      <c r="L95" s="497"/>
      <c r="M95" s="498"/>
      <c r="N95" s="2986"/>
      <c r="O95" s="2986"/>
      <c r="P95" s="2976"/>
      <c r="Q95" s="2971"/>
      <c r="R95" s="2957"/>
      <c r="S95" s="2957"/>
      <c r="T95" s="2957"/>
      <c r="U95" s="2957"/>
      <c r="V95" s="2957"/>
      <c r="W95" s="2957"/>
      <c r="X95" s="2957"/>
      <c r="Y95" s="2957"/>
      <c r="Z95" s="2957"/>
      <c r="AA95" s="2957"/>
      <c r="AB95" s="2957"/>
      <c r="AC95" s="2957"/>
    </row>
    <row r="96" spans="1:29" ht="14.4" thickTop="1">
      <c r="A96" s="495"/>
      <c r="B96" s="499">
        <f>B30</f>
        <v>111</v>
      </c>
      <c r="C96" s="515"/>
      <c r="D96" s="515"/>
      <c r="E96" s="515"/>
      <c r="F96" s="515"/>
      <c r="G96" s="544"/>
      <c r="H96" s="544"/>
      <c r="I96" s="544"/>
      <c r="J96" s="544"/>
      <c r="K96" s="545"/>
      <c r="L96" s="546"/>
      <c r="M96" s="547"/>
      <c r="N96" s="2985"/>
      <c r="O96" s="2985"/>
      <c r="P96" s="2976"/>
      <c r="Q96" s="2971"/>
      <c r="R96" s="2957"/>
      <c r="S96" s="2957"/>
      <c r="T96" s="2957"/>
      <c r="U96" s="2957"/>
      <c r="V96" s="2957"/>
      <c r="W96" s="2957"/>
      <c r="X96" s="2957"/>
      <c r="Y96" s="2957"/>
      <c r="Z96" s="2957"/>
      <c r="AA96" s="2957"/>
      <c r="AB96" s="2957"/>
      <c r="AC96" s="2957"/>
    </row>
    <row r="97" spans="1:29" ht="14.4" thickBot="1">
      <c r="A97" s="495"/>
      <c r="B97" s="504"/>
      <c r="C97" s="521"/>
      <c r="D97" s="497"/>
      <c r="E97" s="497"/>
      <c r="F97" s="497"/>
      <c r="G97" s="497"/>
      <c r="H97" s="497"/>
      <c r="I97" s="497"/>
      <c r="J97" s="497"/>
      <c r="K97" s="497"/>
      <c r="L97" s="497"/>
      <c r="M97" s="498"/>
      <c r="N97" s="2986"/>
      <c r="O97" s="2986"/>
      <c r="P97" s="2976"/>
      <c r="Q97" s="2971"/>
      <c r="R97" s="2957"/>
      <c r="S97" s="2957"/>
      <c r="T97" s="2957"/>
      <c r="U97" s="2957"/>
      <c r="V97" s="2957"/>
      <c r="W97" s="2957"/>
      <c r="X97" s="2957"/>
      <c r="Y97" s="2957"/>
      <c r="Z97" s="2957"/>
      <c r="AA97" s="2957"/>
      <c r="AB97" s="2957"/>
      <c r="AC97" s="2957"/>
    </row>
    <row r="98" spans="1:29" ht="14.4" thickTop="1">
      <c r="A98" s="495"/>
      <c r="B98" s="507">
        <f>B31</f>
        <v>111</v>
      </c>
      <c r="C98" s="515"/>
      <c r="D98" s="515"/>
      <c r="E98" s="515"/>
      <c r="F98" s="515"/>
      <c r="G98" s="548"/>
      <c r="H98" s="548"/>
      <c r="I98" s="548"/>
      <c r="J98" s="548"/>
      <c r="K98" s="549"/>
      <c r="L98" s="550"/>
      <c r="M98" s="551"/>
      <c r="N98" s="2985"/>
      <c r="O98" s="2985"/>
      <c r="P98" s="2976"/>
      <c r="Q98" s="2971"/>
      <c r="R98" s="2957"/>
      <c r="S98" s="2957"/>
      <c r="T98" s="2957"/>
      <c r="U98" s="2957"/>
      <c r="V98" s="2957"/>
      <c r="W98" s="2957"/>
      <c r="X98" s="2957"/>
      <c r="Y98" s="2957"/>
      <c r="Z98" s="2957"/>
      <c r="AA98" s="2957"/>
      <c r="AB98" s="2957"/>
      <c r="AC98" s="2957"/>
    </row>
    <row r="99" spans="1:29" ht="14.4" thickBot="1">
      <c r="A99" s="2120"/>
      <c r="B99" s="530"/>
      <c r="C99" s="531"/>
      <c r="D99" s="531"/>
      <c r="E99" s="531"/>
      <c r="F99" s="531"/>
      <c r="G99" s="552"/>
      <c r="H99" s="552"/>
      <c r="I99" s="552"/>
      <c r="J99" s="552"/>
      <c r="K99" s="552"/>
      <c r="L99" s="552"/>
      <c r="M99" s="553"/>
      <c r="N99" s="2986"/>
      <c r="O99" s="2986"/>
      <c r="P99" s="2976"/>
      <c r="Q99" s="2971"/>
      <c r="R99" s="2957"/>
      <c r="S99" s="2957"/>
      <c r="T99" s="2957"/>
      <c r="U99" s="2957"/>
      <c r="V99" s="2957"/>
      <c r="W99" s="2957"/>
      <c r="X99" s="2957"/>
      <c r="Y99" s="2957"/>
      <c r="Z99" s="2957"/>
      <c r="AA99" s="2957"/>
      <c r="AB99" s="2957"/>
      <c r="AC99" s="2957"/>
    </row>
    <row r="100" spans="1:29" ht="14.4">
      <c r="A100" s="488" t="s">
        <v>2393</v>
      </c>
      <c r="B100" s="489" t="s">
        <v>2511</v>
      </c>
      <c r="C100" s="491"/>
      <c r="D100" s="491"/>
      <c r="E100" s="491"/>
      <c r="F100" s="491"/>
      <c r="G100" s="491"/>
      <c r="H100" s="491"/>
      <c r="I100" s="491"/>
      <c r="J100" s="491"/>
      <c r="K100" s="492"/>
      <c r="L100" s="493"/>
      <c r="M100" s="494"/>
      <c r="N100" s="2985"/>
      <c r="O100" s="2985"/>
      <c r="P100" s="2976"/>
      <c r="Q100" s="2971"/>
      <c r="R100" s="2957"/>
      <c r="S100" s="2957"/>
      <c r="T100" s="2957"/>
      <c r="U100" s="2957"/>
      <c r="V100" s="2957"/>
      <c r="W100" s="2957"/>
      <c r="X100" s="2957"/>
      <c r="Y100" s="2957"/>
      <c r="Z100" s="2957"/>
      <c r="AA100" s="2957"/>
      <c r="AB100" s="2957"/>
      <c r="AC100" s="2957"/>
    </row>
    <row r="101" spans="1:29" ht="14.4" thickBot="1">
      <c r="A101" s="495"/>
      <c r="B101" s="504"/>
      <c r="C101" s="505">
        <v>100</v>
      </c>
      <c r="D101" s="505">
        <f t="shared" ref="D101:M101" si="22">C101-$K32</f>
        <v>100</v>
      </c>
      <c r="E101" s="505">
        <f t="shared" si="22"/>
        <v>100</v>
      </c>
      <c r="F101" s="505">
        <f t="shared" si="22"/>
        <v>100</v>
      </c>
      <c r="G101" s="505">
        <f t="shared" si="22"/>
        <v>100</v>
      </c>
      <c r="H101" s="505">
        <f t="shared" si="22"/>
        <v>100</v>
      </c>
      <c r="I101" s="505">
        <f t="shared" si="22"/>
        <v>100</v>
      </c>
      <c r="J101" s="505">
        <f t="shared" si="22"/>
        <v>100</v>
      </c>
      <c r="K101" s="505">
        <f t="shared" si="22"/>
        <v>100</v>
      </c>
      <c r="L101" s="505">
        <f t="shared" si="22"/>
        <v>100</v>
      </c>
      <c r="M101" s="506">
        <f t="shared" si="22"/>
        <v>100</v>
      </c>
      <c r="N101" s="2986"/>
      <c r="O101" s="2986"/>
      <c r="P101" s="2976"/>
      <c r="Q101" s="2971"/>
      <c r="R101" s="2957"/>
      <c r="S101" s="2957"/>
      <c r="T101" s="2957"/>
      <c r="U101" s="2957"/>
      <c r="V101" s="2957"/>
      <c r="W101" s="2957"/>
      <c r="X101" s="2957"/>
      <c r="Y101" s="2957"/>
      <c r="Z101" s="2957"/>
      <c r="AA101" s="2957"/>
      <c r="AB101" s="2957"/>
      <c r="AC101" s="2957"/>
    </row>
    <row r="102" spans="1:29" ht="15" thickTop="1">
      <c r="A102" s="495"/>
      <c r="B102" s="499" t="s">
        <v>2443</v>
      </c>
      <c r="C102" s="539" t="str">
        <f>C103&amp;"(含)"&amp;"-"&amp;D103</f>
        <v>(含)-</v>
      </c>
      <c r="D102" s="539" t="str">
        <f t="shared" ref="D102:L102" si="23">D103&amp;"(含)"&amp;"-"&amp;E103</f>
        <v>(含)-</v>
      </c>
      <c r="E102" s="539" t="str">
        <f t="shared" si="23"/>
        <v>(含)-</v>
      </c>
      <c r="F102" s="539" t="str">
        <f t="shared" si="23"/>
        <v>(含)-</v>
      </c>
      <c r="G102" s="539" t="str">
        <f t="shared" si="23"/>
        <v>(含)-</v>
      </c>
      <c r="H102" s="539" t="str">
        <f t="shared" si="23"/>
        <v>(含)-</v>
      </c>
      <c r="I102" s="539" t="str">
        <f t="shared" si="23"/>
        <v>(含)-</v>
      </c>
      <c r="J102" s="539" t="str">
        <f t="shared" si="23"/>
        <v>(含)-</v>
      </c>
      <c r="K102" s="539" t="str">
        <f t="shared" si="23"/>
        <v>(含)-</v>
      </c>
      <c r="L102" s="539" t="str">
        <f t="shared" si="23"/>
        <v>(含)-</v>
      </c>
      <c r="M102" s="582" t="str">
        <f>M103&amp;"(含)"&amp;"-"&amp;P103</f>
        <v>(含)-</v>
      </c>
      <c r="N102" s="2984"/>
      <c r="O102" s="2984"/>
      <c r="P102" s="2976"/>
      <c r="Q102" s="2971"/>
      <c r="R102" s="2957"/>
      <c r="S102" s="2957"/>
      <c r="T102" s="2957"/>
      <c r="U102" s="2957"/>
      <c r="V102" s="2957"/>
      <c r="W102" s="2957"/>
      <c r="X102" s="2957"/>
      <c r="Y102" s="2957"/>
      <c r="Z102" s="2957"/>
      <c r="AA102" s="2957"/>
      <c r="AB102" s="2957"/>
      <c r="AC102" s="2957"/>
    </row>
    <row r="103" spans="1:29" s="434" customFormat="1">
      <c r="A103" s="554"/>
      <c r="B103" s="555"/>
      <c r="C103" s="556"/>
      <c r="D103" s="556"/>
      <c r="E103" s="556"/>
      <c r="F103" s="556"/>
      <c r="G103" s="556"/>
      <c r="H103" s="556"/>
      <c r="I103" s="556"/>
      <c r="J103" s="557"/>
      <c r="K103" s="557"/>
      <c r="L103" s="558"/>
      <c r="M103" s="559"/>
      <c r="N103" s="2987"/>
      <c r="O103" s="2987"/>
      <c r="P103" s="2977"/>
      <c r="Q103" s="2978"/>
      <c r="R103" s="2979"/>
      <c r="S103" s="2979"/>
      <c r="T103" s="2979"/>
      <c r="U103" s="2979"/>
      <c r="V103" s="2979"/>
      <c r="W103" s="2979"/>
      <c r="X103" s="2979"/>
      <c r="Y103" s="2979"/>
      <c r="Z103" s="2979"/>
      <c r="AA103" s="2979"/>
      <c r="AB103" s="2979"/>
      <c r="AC103" s="2979"/>
    </row>
    <row r="104" spans="1:29" s="434" customFormat="1" ht="14.4" thickBot="1">
      <c r="A104" s="514"/>
      <c r="B104" s="504"/>
      <c r="C104" s="521"/>
      <c r="D104" s="497"/>
      <c r="E104" s="497"/>
      <c r="F104" s="497"/>
      <c r="G104" s="497"/>
      <c r="H104" s="497"/>
      <c r="I104" s="497"/>
      <c r="J104" s="497"/>
      <c r="K104" s="497"/>
      <c r="L104" s="497"/>
      <c r="M104" s="498"/>
      <c r="N104" s="2986"/>
      <c r="O104" s="2986"/>
      <c r="P104" s="2977"/>
      <c r="Q104" s="2978"/>
      <c r="R104" s="2979"/>
      <c r="S104" s="2979"/>
      <c r="T104" s="2979"/>
      <c r="U104" s="2979"/>
      <c r="V104" s="2979"/>
      <c r="W104" s="2979"/>
      <c r="X104" s="2979"/>
      <c r="Y104" s="2979"/>
      <c r="Z104" s="2979"/>
      <c r="AA104" s="2979"/>
      <c r="AB104" s="2979"/>
      <c r="AC104" s="2979"/>
    </row>
    <row r="105" spans="1:29" ht="15" thickTop="1">
      <c r="A105" s="560"/>
      <c r="B105" s="499" t="s">
        <v>2444</v>
      </c>
      <c r="C105" s="515"/>
      <c r="D105" s="515"/>
      <c r="E105" s="544"/>
      <c r="F105" s="544"/>
      <c r="G105" s="544"/>
      <c r="H105" s="544"/>
      <c r="I105" s="544"/>
      <c r="J105" s="544"/>
      <c r="K105" s="545"/>
      <c r="L105" s="546"/>
      <c r="M105" s="547"/>
      <c r="N105" s="2985"/>
      <c r="O105" s="2985"/>
      <c r="P105" s="2976"/>
      <c r="Q105" s="2971"/>
      <c r="R105" s="2957"/>
      <c r="S105" s="2957"/>
      <c r="T105" s="2957"/>
      <c r="U105" s="2957"/>
      <c r="V105" s="2957"/>
      <c r="W105" s="2957"/>
      <c r="X105" s="2957"/>
      <c r="Y105" s="2957"/>
      <c r="Z105" s="2957"/>
      <c r="AA105" s="2957"/>
      <c r="AB105" s="2957"/>
      <c r="AC105" s="2957"/>
    </row>
    <row r="106" spans="1:29" ht="14.4" thickBot="1">
      <c r="A106" s="495"/>
      <c r="B106" s="504"/>
      <c r="C106" s="505">
        <v>100</v>
      </c>
      <c r="D106" s="505">
        <f t="shared" ref="D106:M106" si="24">C106-$K34</f>
        <v>100</v>
      </c>
      <c r="E106" s="505">
        <f t="shared" si="24"/>
        <v>100</v>
      </c>
      <c r="F106" s="505">
        <f t="shared" si="24"/>
        <v>100</v>
      </c>
      <c r="G106" s="505">
        <f t="shared" si="24"/>
        <v>100</v>
      </c>
      <c r="H106" s="505">
        <f t="shared" si="24"/>
        <v>100</v>
      </c>
      <c r="I106" s="505">
        <f t="shared" si="24"/>
        <v>100</v>
      </c>
      <c r="J106" s="505">
        <f t="shared" si="24"/>
        <v>100</v>
      </c>
      <c r="K106" s="505">
        <f t="shared" si="24"/>
        <v>100</v>
      </c>
      <c r="L106" s="505">
        <f t="shared" si="24"/>
        <v>100</v>
      </c>
      <c r="M106" s="506">
        <f t="shared" si="24"/>
        <v>100</v>
      </c>
      <c r="N106" s="2986"/>
      <c r="O106" s="2986"/>
      <c r="P106" s="2976"/>
      <c r="Q106" s="2971"/>
      <c r="R106" s="2957"/>
      <c r="S106" s="2957"/>
      <c r="T106" s="2957"/>
      <c r="U106" s="2957"/>
      <c r="V106" s="2957"/>
      <c r="W106" s="2957"/>
      <c r="X106" s="2957"/>
      <c r="Y106" s="2957"/>
      <c r="Z106" s="2957"/>
      <c r="AA106" s="2957"/>
      <c r="AB106" s="2957"/>
      <c r="AC106" s="2957"/>
    </row>
    <row r="107" spans="1:29" ht="15" thickTop="1">
      <c r="A107" s="560"/>
      <c r="B107" s="499" t="s">
        <v>2446</v>
      </c>
      <c r="C107" s="515"/>
      <c r="D107" s="515"/>
      <c r="E107" s="515"/>
      <c r="F107" s="544"/>
      <c r="G107" s="544"/>
      <c r="H107" s="544"/>
      <c r="I107" s="544"/>
      <c r="J107" s="544"/>
      <c r="K107" s="545"/>
      <c r="L107" s="546"/>
      <c r="M107" s="547"/>
      <c r="N107" s="2985"/>
      <c r="O107" s="2985"/>
      <c r="P107" s="2976"/>
      <c r="Q107" s="2971"/>
      <c r="R107" s="2957"/>
      <c r="S107" s="2957"/>
      <c r="T107" s="2957"/>
      <c r="U107" s="2957"/>
      <c r="V107" s="2957"/>
      <c r="W107" s="2957"/>
      <c r="X107" s="2957"/>
      <c r="Y107" s="2957"/>
      <c r="Z107" s="2957"/>
      <c r="AA107" s="2957"/>
      <c r="AB107" s="2957"/>
      <c r="AC107" s="2957"/>
    </row>
    <row r="108" spans="1:29" ht="14.4" thickBot="1">
      <c r="A108" s="495"/>
      <c r="B108" s="504"/>
      <c r="C108" s="505">
        <v>100</v>
      </c>
      <c r="D108" s="505">
        <f t="shared" ref="D108:M108" si="25">C108-$K35</f>
        <v>100</v>
      </c>
      <c r="E108" s="505">
        <f t="shared" si="25"/>
        <v>100</v>
      </c>
      <c r="F108" s="505">
        <f t="shared" si="25"/>
        <v>100</v>
      </c>
      <c r="G108" s="505">
        <f t="shared" si="25"/>
        <v>100</v>
      </c>
      <c r="H108" s="505">
        <f t="shared" si="25"/>
        <v>100</v>
      </c>
      <c r="I108" s="505">
        <f t="shared" si="25"/>
        <v>100</v>
      </c>
      <c r="J108" s="505">
        <f t="shared" si="25"/>
        <v>100</v>
      </c>
      <c r="K108" s="505">
        <f t="shared" si="25"/>
        <v>100</v>
      </c>
      <c r="L108" s="505">
        <f t="shared" si="25"/>
        <v>100</v>
      </c>
      <c r="M108" s="506">
        <f t="shared" si="25"/>
        <v>100</v>
      </c>
      <c r="N108" s="2986"/>
      <c r="O108" s="2986"/>
      <c r="P108" s="2976"/>
      <c r="Q108" s="2971"/>
      <c r="R108" s="2957"/>
      <c r="S108" s="2957"/>
      <c r="T108" s="2957"/>
      <c r="U108" s="2957"/>
      <c r="V108" s="2957"/>
      <c r="W108" s="2957"/>
      <c r="X108" s="2957"/>
      <c r="Y108" s="2957"/>
      <c r="Z108" s="2957"/>
      <c r="AA108" s="2957"/>
      <c r="AB108" s="2957"/>
      <c r="AC108" s="2957"/>
    </row>
    <row r="109" spans="1:29" ht="15" thickTop="1">
      <c r="A109" s="560"/>
      <c r="B109" s="499" t="s">
        <v>1876</v>
      </c>
      <c r="C109" s="539" t="str">
        <f>C110&amp;"(含)"&amp;"-"&amp;D110</f>
        <v>0.5(含)-0.6</v>
      </c>
      <c r="D109" s="539" t="str">
        <f>D110&amp;"(含)"&amp;"-"&amp;E110</f>
        <v>0.6(含)-0.7</v>
      </c>
      <c r="E109" s="539" t="str">
        <f>E110&amp;"(含)"&amp;"-"&amp;F110</f>
        <v>0.7(含)-0.8</v>
      </c>
      <c r="F109" s="539" t="str">
        <f>F110&amp;"(含)"&amp;"-"&amp;G110</f>
        <v>0.8(含)-0.9</v>
      </c>
      <c r="G109" s="539" t="str">
        <f>G110&amp;"(含)"&amp;"-"&amp;ROUND(H110,0)&amp;"(含)"</f>
        <v>0.9(含)-1(含)</v>
      </c>
      <c r="H109" s="539"/>
      <c r="I109" s="544"/>
      <c r="J109" s="544"/>
      <c r="K109" s="545"/>
      <c r="L109" s="546"/>
      <c r="M109" s="547"/>
      <c r="N109" s="2985"/>
      <c r="O109" s="2985"/>
      <c r="P109" s="2976"/>
      <c r="Q109" s="2971"/>
      <c r="R109" s="2957"/>
      <c r="S109" s="2957"/>
      <c r="T109" s="2957"/>
      <c r="U109" s="2957"/>
      <c r="V109" s="2957"/>
      <c r="W109" s="2957"/>
      <c r="X109" s="2957"/>
      <c r="Y109" s="2957"/>
      <c r="Z109" s="2957"/>
      <c r="AA109" s="2957"/>
      <c r="AB109" s="2957"/>
      <c r="AC109" s="2957"/>
    </row>
    <row r="110" spans="1:29">
      <c r="A110" s="560"/>
      <c r="B110" s="507"/>
      <c r="C110" s="564">
        <v>0.5</v>
      </c>
      <c r="D110" s="564">
        <v>0.6</v>
      </c>
      <c r="E110" s="564">
        <v>0.7</v>
      </c>
      <c r="F110" s="564">
        <v>0.8</v>
      </c>
      <c r="G110" s="564">
        <v>0.9</v>
      </c>
      <c r="H110" s="564">
        <v>1.0001</v>
      </c>
      <c r="I110" s="583"/>
      <c r="J110" s="583"/>
      <c r="K110" s="584"/>
      <c r="L110" s="585"/>
      <c r="M110" s="586"/>
      <c r="N110" s="2985"/>
      <c r="O110" s="2985"/>
      <c r="P110" s="2976"/>
      <c r="Q110" s="2971"/>
      <c r="R110" s="2957"/>
      <c r="S110" s="2957"/>
      <c r="T110" s="2957"/>
      <c r="U110" s="2957"/>
      <c r="V110" s="2957"/>
      <c r="W110" s="2957"/>
      <c r="X110" s="2957"/>
      <c r="Y110" s="2957"/>
      <c r="Z110" s="2957"/>
      <c r="AA110" s="2957"/>
      <c r="AB110" s="2957"/>
      <c r="AC110" s="2957"/>
    </row>
    <row r="111" spans="1:29" ht="14.4" thickBot="1">
      <c r="A111" s="495"/>
      <c r="B111" s="504"/>
      <c r="C111" s="543">
        <v>100</v>
      </c>
      <c r="D111" s="505">
        <f>C111+$K36</f>
        <v>100</v>
      </c>
      <c r="E111" s="505">
        <f t="shared" ref="E111:M111" si="26">D111+$K36</f>
        <v>100</v>
      </c>
      <c r="F111" s="505">
        <f t="shared" si="26"/>
        <v>100</v>
      </c>
      <c r="G111" s="505">
        <f t="shared" si="26"/>
        <v>100</v>
      </c>
      <c r="H111" s="505">
        <f t="shared" si="26"/>
        <v>100</v>
      </c>
      <c r="I111" s="505">
        <f t="shared" si="26"/>
        <v>100</v>
      </c>
      <c r="J111" s="505">
        <f t="shared" si="26"/>
        <v>100</v>
      </c>
      <c r="K111" s="505">
        <f t="shared" si="26"/>
        <v>100</v>
      </c>
      <c r="L111" s="505">
        <f t="shared" si="26"/>
        <v>100</v>
      </c>
      <c r="M111" s="505">
        <f t="shared" si="26"/>
        <v>100</v>
      </c>
      <c r="N111" s="2986"/>
      <c r="O111" s="2986"/>
      <c r="P111" s="2976"/>
      <c r="Q111" s="2971"/>
      <c r="R111" s="2957"/>
      <c r="S111" s="2957"/>
      <c r="T111" s="2957"/>
      <c r="U111" s="2957"/>
      <c r="V111" s="2957"/>
      <c r="W111" s="2957"/>
      <c r="X111" s="2957"/>
      <c r="Y111" s="2957"/>
      <c r="Z111" s="2957"/>
      <c r="AA111" s="2957"/>
      <c r="AB111" s="2957"/>
      <c r="AC111" s="2957"/>
    </row>
    <row r="112" spans="1:29" s="434" customFormat="1" ht="15" thickTop="1">
      <c r="A112" s="554"/>
      <c r="B112" s="499" t="s">
        <v>2448</v>
      </c>
      <c r="C112" s="515"/>
      <c r="D112" s="515"/>
      <c r="E112" s="515"/>
      <c r="F112" s="515"/>
      <c r="G112" s="515"/>
      <c r="H112" s="544"/>
      <c r="I112" s="544"/>
      <c r="J112" s="544"/>
      <c r="K112" s="545"/>
      <c r="L112" s="546"/>
      <c r="M112" s="547"/>
      <c r="N112" s="2987"/>
      <c r="O112" s="2987"/>
      <c r="P112" s="2977"/>
      <c r="Q112" s="2978"/>
      <c r="R112" s="2979"/>
      <c r="S112" s="2979"/>
      <c r="T112" s="2979"/>
      <c r="U112" s="2979"/>
      <c r="V112" s="2979"/>
      <c r="W112" s="2979"/>
      <c r="X112" s="2979"/>
      <c r="Y112" s="2979"/>
      <c r="Z112" s="2979"/>
      <c r="AA112" s="2979"/>
      <c r="AB112" s="2979"/>
      <c r="AC112" s="2979"/>
    </row>
    <row r="113" spans="1:29" s="434" customFormat="1" ht="14.4" thickBot="1">
      <c r="A113" s="514"/>
      <c r="B113" s="504"/>
      <c r="C113" s="505">
        <v>100</v>
      </c>
      <c r="D113" s="505">
        <f>C113-$K37</f>
        <v>100</v>
      </c>
      <c r="E113" s="505">
        <f t="shared" ref="E113:M113" si="27">D113-$K37</f>
        <v>100</v>
      </c>
      <c r="F113" s="505">
        <f t="shared" si="27"/>
        <v>100</v>
      </c>
      <c r="G113" s="505">
        <f t="shared" si="27"/>
        <v>100</v>
      </c>
      <c r="H113" s="505">
        <f t="shared" si="27"/>
        <v>100</v>
      </c>
      <c r="I113" s="505">
        <f t="shared" si="27"/>
        <v>100</v>
      </c>
      <c r="J113" s="505">
        <f t="shared" si="27"/>
        <v>100</v>
      </c>
      <c r="K113" s="505">
        <f t="shared" si="27"/>
        <v>100</v>
      </c>
      <c r="L113" s="505">
        <f t="shared" si="27"/>
        <v>100</v>
      </c>
      <c r="M113" s="505">
        <f t="shared" si="27"/>
        <v>100</v>
      </c>
      <c r="N113" s="2987"/>
      <c r="O113" s="2987"/>
      <c r="P113" s="2977"/>
      <c r="Q113" s="2978"/>
      <c r="R113" s="2979"/>
      <c r="S113" s="2979"/>
      <c r="T113" s="2979"/>
      <c r="U113" s="2979"/>
      <c r="V113" s="2979"/>
      <c r="W113" s="2979"/>
      <c r="X113" s="2979"/>
      <c r="Y113" s="2979"/>
      <c r="Z113" s="2979"/>
      <c r="AA113" s="2979"/>
      <c r="AB113" s="2979"/>
      <c r="AC113" s="2979"/>
    </row>
    <row r="114" spans="1:29" ht="15" thickTop="1">
      <c r="A114" s="560"/>
      <c r="B114" s="499" t="s">
        <v>2512</v>
      </c>
      <c r="C114" s="515"/>
      <c r="D114" s="515"/>
      <c r="E114" s="544"/>
      <c r="F114" s="544"/>
      <c r="G114" s="544"/>
      <c r="H114" s="544"/>
      <c r="I114" s="544"/>
      <c r="J114" s="544"/>
      <c r="K114" s="545"/>
      <c r="L114" s="546"/>
      <c r="M114" s="547"/>
      <c r="N114" s="2985"/>
      <c r="O114" s="2985"/>
      <c r="P114" s="2976"/>
      <c r="Q114" s="2971"/>
      <c r="R114" s="2957"/>
      <c r="S114" s="2957"/>
      <c r="T114" s="2957"/>
      <c r="U114" s="2957"/>
      <c r="V114" s="2957"/>
      <c r="W114" s="2957"/>
      <c r="X114" s="2957"/>
      <c r="Y114" s="2957"/>
      <c r="Z114" s="2957"/>
      <c r="AA114" s="2957"/>
      <c r="AB114" s="2957"/>
      <c r="AC114" s="2957"/>
    </row>
    <row r="115" spans="1:29" ht="14.4" thickBot="1">
      <c r="A115" s="495"/>
      <c r="B115" s="504"/>
      <c r="C115" s="505">
        <v>100</v>
      </c>
      <c r="D115" s="505">
        <f t="shared" ref="D115:M115" si="28">C115-$K38</f>
        <v>100</v>
      </c>
      <c r="E115" s="505">
        <f t="shared" si="28"/>
        <v>100</v>
      </c>
      <c r="F115" s="505">
        <f t="shared" si="28"/>
        <v>100</v>
      </c>
      <c r="G115" s="505">
        <f t="shared" si="28"/>
        <v>100</v>
      </c>
      <c r="H115" s="505">
        <f t="shared" si="28"/>
        <v>100</v>
      </c>
      <c r="I115" s="505">
        <f t="shared" si="28"/>
        <v>100</v>
      </c>
      <c r="J115" s="505">
        <f t="shared" si="28"/>
        <v>100</v>
      </c>
      <c r="K115" s="505">
        <f t="shared" si="28"/>
        <v>100</v>
      </c>
      <c r="L115" s="505">
        <f t="shared" si="28"/>
        <v>100</v>
      </c>
      <c r="M115" s="506">
        <f t="shared" si="28"/>
        <v>100</v>
      </c>
      <c r="N115" s="2986"/>
      <c r="O115" s="2986"/>
      <c r="P115" s="2976"/>
      <c r="Q115" s="2971"/>
      <c r="R115" s="2957"/>
      <c r="S115" s="2957"/>
      <c r="T115" s="2957"/>
      <c r="U115" s="2957"/>
      <c r="V115" s="2957"/>
      <c r="W115" s="2957"/>
      <c r="X115" s="2957"/>
      <c r="Y115" s="2957"/>
      <c r="Z115" s="2957"/>
      <c r="AA115" s="2957"/>
      <c r="AB115" s="2957"/>
      <c r="AC115" s="2957"/>
    </row>
    <row r="116" spans="1:29" ht="15" thickTop="1">
      <c r="A116" s="560"/>
      <c r="B116" s="499" t="s">
        <v>2513</v>
      </c>
      <c r="C116" s="515"/>
      <c r="D116" s="515"/>
      <c r="E116" s="515"/>
      <c r="F116" s="515"/>
      <c r="G116" s="515"/>
      <c r="H116" s="544"/>
      <c r="I116" s="544"/>
      <c r="J116" s="544"/>
      <c r="K116" s="545"/>
      <c r="L116" s="546"/>
      <c r="M116" s="547"/>
      <c r="N116" s="2985"/>
      <c r="O116" s="2985"/>
      <c r="P116" s="2976"/>
      <c r="Q116" s="2971"/>
      <c r="R116" s="2957"/>
      <c r="S116" s="2957"/>
      <c r="T116" s="2957"/>
      <c r="U116" s="2957"/>
      <c r="V116" s="2957"/>
      <c r="W116" s="2957"/>
      <c r="X116" s="2957"/>
      <c r="Y116" s="2957"/>
      <c r="Z116" s="2957"/>
      <c r="AA116" s="2957"/>
      <c r="AB116" s="2957"/>
      <c r="AC116" s="2957"/>
    </row>
    <row r="117" spans="1:29" ht="14.4" thickBot="1">
      <c r="A117" s="495"/>
      <c r="B117" s="504"/>
      <c r="C117" s="505">
        <v>100</v>
      </c>
      <c r="D117" s="505">
        <f>C117-$K39</f>
        <v>100</v>
      </c>
      <c r="E117" s="505">
        <f>D117-$K39</f>
        <v>100</v>
      </c>
      <c r="F117" s="505">
        <f>E117-$K39</f>
        <v>100</v>
      </c>
      <c r="G117" s="505">
        <f>F117-$K39</f>
        <v>100</v>
      </c>
      <c r="H117" s="505"/>
      <c r="I117" s="505"/>
      <c r="J117" s="505"/>
      <c r="K117" s="505"/>
      <c r="L117" s="505"/>
      <c r="M117" s="506"/>
      <c r="N117" s="2986"/>
      <c r="O117" s="2986"/>
      <c r="P117" s="2976"/>
      <c r="Q117" s="2971"/>
      <c r="R117" s="2957"/>
      <c r="S117" s="2957"/>
      <c r="T117" s="2957"/>
      <c r="U117" s="2957"/>
      <c r="V117" s="2957"/>
      <c r="W117" s="2957"/>
      <c r="X117" s="2957"/>
      <c r="Y117" s="2957"/>
      <c r="Z117" s="2957"/>
      <c r="AA117" s="2957"/>
      <c r="AB117" s="2957"/>
      <c r="AC117" s="2957"/>
    </row>
    <row r="118" spans="1:29" ht="15" thickTop="1">
      <c r="A118" s="560"/>
      <c r="B118" s="499" t="s">
        <v>2514</v>
      </c>
      <c r="C118" s="587"/>
      <c r="D118" s="587"/>
      <c r="E118" s="587"/>
      <c r="F118" s="587"/>
      <c r="G118" s="587"/>
      <c r="H118" s="516"/>
      <c r="I118" s="516"/>
      <c r="J118" s="516"/>
      <c r="K118" s="516"/>
      <c r="L118" s="517"/>
      <c r="M118" s="518"/>
      <c r="N118" s="2985"/>
      <c r="O118" s="2985"/>
      <c r="P118" s="2976"/>
      <c r="Q118" s="2971"/>
      <c r="R118" s="2957"/>
      <c r="S118" s="2957"/>
      <c r="T118" s="2957"/>
      <c r="U118" s="2957"/>
      <c r="V118" s="2957"/>
      <c r="W118" s="2957"/>
      <c r="X118" s="2957"/>
      <c r="Y118" s="2957"/>
      <c r="Z118" s="2957"/>
      <c r="AA118" s="2957"/>
      <c r="AB118" s="2957"/>
      <c r="AC118" s="2957"/>
    </row>
    <row r="119" spans="1:29" ht="14.4" thickBot="1">
      <c r="A119" s="495"/>
      <c r="B119" s="504"/>
      <c r="C119" s="521"/>
      <c r="D119" s="497"/>
      <c r="E119" s="497"/>
      <c r="F119" s="497"/>
      <c r="G119" s="497"/>
      <c r="H119" s="497"/>
      <c r="I119" s="497"/>
      <c r="J119" s="497"/>
      <c r="K119" s="497"/>
      <c r="L119" s="497"/>
      <c r="M119" s="498"/>
      <c r="N119" s="2986"/>
      <c r="O119" s="2986"/>
      <c r="P119" s="2976"/>
      <c r="Q119" s="2971"/>
      <c r="R119" s="2957"/>
      <c r="S119" s="2957"/>
      <c r="T119" s="2957"/>
      <c r="U119" s="2957"/>
      <c r="V119" s="2957"/>
      <c r="W119" s="2957"/>
      <c r="X119" s="2957"/>
      <c r="Y119" s="2957"/>
      <c r="Z119" s="2957"/>
      <c r="AA119" s="2957"/>
      <c r="AB119" s="2957"/>
      <c r="AC119" s="2957"/>
    </row>
    <row r="120" spans="1:29" s="434" customFormat="1" ht="15" thickTop="1">
      <c r="A120" s="554"/>
      <c r="B120" s="499" t="s">
        <v>2515</v>
      </c>
      <c r="C120" s="544"/>
      <c r="D120" s="544"/>
      <c r="E120" s="544"/>
      <c r="F120" s="544"/>
      <c r="G120" s="516"/>
      <c r="H120" s="516"/>
      <c r="I120" s="516"/>
      <c r="J120" s="516"/>
      <c r="K120" s="516"/>
      <c r="L120" s="517"/>
      <c r="M120" s="518"/>
      <c r="N120" s="2987"/>
      <c r="O120" s="2987"/>
      <c r="P120" s="2977"/>
      <c r="Q120" s="2978"/>
      <c r="R120" s="2979"/>
      <c r="S120" s="2979"/>
      <c r="T120" s="2979"/>
      <c r="U120" s="2979"/>
      <c r="V120" s="2979"/>
      <c r="W120" s="2979"/>
      <c r="X120" s="2979"/>
      <c r="Y120" s="2979"/>
      <c r="Z120" s="2979"/>
      <c r="AA120" s="2979"/>
      <c r="AB120" s="2979"/>
      <c r="AC120" s="2979"/>
    </row>
    <row r="121" spans="1:29" s="434" customFormat="1" ht="14.4" thickBot="1">
      <c r="A121" s="514"/>
      <c r="B121" s="496"/>
      <c r="C121" s="543">
        <v>100</v>
      </c>
      <c r="D121" s="505">
        <f>C121-$K41</f>
        <v>100</v>
      </c>
      <c r="E121" s="505">
        <f t="shared" ref="E121:M121" si="29">D121-$K41</f>
        <v>100</v>
      </c>
      <c r="F121" s="505">
        <f t="shared" si="29"/>
        <v>100</v>
      </c>
      <c r="G121" s="505">
        <f t="shared" si="29"/>
        <v>100</v>
      </c>
      <c r="H121" s="505">
        <f t="shared" si="29"/>
        <v>100</v>
      </c>
      <c r="I121" s="505">
        <f t="shared" si="29"/>
        <v>100</v>
      </c>
      <c r="J121" s="505">
        <f t="shared" si="29"/>
        <v>100</v>
      </c>
      <c r="K121" s="505">
        <f t="shared" si="29"/>
        <v>100</v>
      </c>
      <c r="L121" s="505">
        <f t="shared" si="29"/>
        <v>100</v>
      </c>
      <c r="M121" s="506">
        <f t="shared" si="29"/>
        <v>100</v>
      </c>
      <c r="N121" s="2987"/>
      <c r="O121" s="2987"/>
      <c r="P121" s="2977"/>
      <c r="Q121" s="2978"/>
      <c r="R121" s="2979"/>
      <c r="S121" s="2979"/>
      <c r="T121" s="2979"/>
      <c r="U121" s="2979"/>
      <c r="V121" s="2979"/>
      <c r="W121" s="2979"/>
      <c r="X121" s="2979"/>
      <c r="Y121" s="2979"/>
      <c r="Z121" s="2979"/>
      <c r="AA121" s="2979"/>
      <c r="AB121" s="2979"/>
      <c r="AC121" s="2979"/>
    </row>
    <row r="122" spans="1:29" ht="15" thickTop="1">
      <c r="A122" s="560"/>
      <c r="B122" s="499" t="s">
        <v>2450</v>
      </c>
      <c r="C122" s="515"/>
      <c r="D122" s="515"/>
      <c r="E122" s="515"/>
      <c r="F122" s="544"/>
      <c r="G122" s="544"/>
      <c r="H122" s="544"/>
      <c r="I122" s="544"/>
      <c r="J122" s="544"/>
      <c r="K122" s="545"/>
      <c r="L122" s="546"/>
      <c r="M122" s="547"/>
      <c r="N122" s="2985"/>
      <c r="O122" s="2985"/>
      <c r="P122" s="2976"/>
      <c r="Q122" s="2971"/>
      <c r="R122" s="2957"/>
      <c r="S122" s="2957"/>
      <c r="T122" s="2957"/>
      <c r="U122" s="2957"/>
      <c r="V122" s="2957"/>
      <c r="W122" s="2957"/>
      <c r="X122" s="2957"/>
      <c r="Y122" s="2957"/>
      <c r="Z122" s="2957"/>
      <c r="AA122" s="2957"/>
      <c r="AB122" s="2957"/>
      <c r="AC122" s="2957"/>
    </row>
    <row r="123" spans="1:29" ht="14.4" thickBot="1">
      <c r="A123" s="495"/>
      <c r="B123" s="504"/>
      <c r="C123" s="505">
        <v>100</v>
      </c>
      <c r="D123" s="505">
        <f t="shared" ref="D123:M123" si="30">C123-$K42</f>
        <v>100</v>
      </c>
      <c r="E123" s="505">
        <f t="shared" si="30"/>
        <v>100</v>
      </c>
      <c r="F123" s="505">
        <f t="shared" si="30"/>
        <v>100</v>
      </c>
      <c r="G123" s="505">
        <f t="shared" si="30"/>
        <v>100</v>
      </c>
      <c r="H123" s="505">
        <f t="shared" si="30"/>
        <v>100</v>
      </c>
      <c r="I123" s="505">
        <f t="shared" si="30"/>
        <v>100</v>
      </c>
      <c r="J123" s="505">
        <f t="shared" si="30"/>
        <v>100</v>
      </c>
      <c r="K123" s="505">
        <f t="shared" si="30"/>
        <v>100</v>
      </c>
      <c r="L123" s="505">
        <f t="shared" si="30"/>
        <v>100</v>
      </c>
      <c r="M123" s="506">
        <f t="shared" si="30"/>
        <v>100</v>
      </c>
      <c r="N123" s="2986"/>
      <c r="O123" s="2986"/>
      <c r="P123" s="2976"/>
      <c r="Q123" s="2971"/>
      <c r="R123" s="2957"/>
      <c r="S123" s="2957"/>
      <c r="T123" s="2957"/>
      <c r="U123" s="2957"/>
      <c r="V123" s="2957"/>
      <c r="W123" s="2957"/>
      <c r="X123" s="2957"/>
      <c r="Y123" s="2957"/>
      <c r="Z123" s="2957"/>
      <c r="AA123" s="2957"/>
      <c r="AB123" s="2957"/>
      <c r="AC123" s="2957"/>
    </row>
    <row r="124" spans="1:29" ht="29.4" thickTop="1">
      <c r="A124" s="560"/>
      <c r="B124" s="499" t="s">
        <v>2451</v>
      </c>
      <c r="C124" s="539" t="s">
        <v>2427</v>
      </c>
      <c r="D124" s="539" t="s">
        <v>2428</v>
      </c>
      <c r="E124" s="539" t="s">
        <v>2429</v>
      </c>
      <c r="F124" s="539" t="s">
        <v>2430</v>
      </c>
      <c r="G124" s="539" t="s">
        <v>2431</v>
      </c>
      <c r="H124" s="500"/>
      <c r="I124" s="500"/>
      <c r="J124" s="500"/>
      <c r="K124" s="501"/>
      <c r="L124" s="502"/>
      <c r="M124" s="503"/>
      <c r="N124" s="2985"/>
      <c r="O124" s="2985"/>
      <c r="P124" s="2977"/>
      <c r="Q124" s="2971"/>
      <c r="R124" s="2957"/>
      <c r="S124" s="2957"/>
      <c r="T124" s="2957"/>
      <c r="U124" s="2957"/>
      <c r="V124" s="2957"/>
      <c r="W124" s="2957"/>
      <c r="X124" s="2957"/>
      <c r="Y124" s="2957"/>
      <c r="Z124" s="2957"/>
      <c r="AA124" s="2957"/>
      <c r="AB124" s="2957"/>
      <c r="AC124" s="2957"/>
    </row>
    <row r="125" spans="1:29" ht="14.4" thickBot="1">
      <c r="A125" s="495"/>
      <c r="B125" s="504"/>
      <c r="C125" s="505">
        <v>100</v>
      </c>
      <c r="D125" s="505">
        <f>C125-$K43</f>
        <v>100</v>
      </c>
      <c r="E125" s="505">
        <f>D125-$K43</f>
        <v>100</v>
      </c>
      <c r="F125" s="505">
        <f>E125-$K43</f>
        <v>100</v>
      </c>
      <c r="G125" s="505">
        <f>F125-$K43</f>
        <v>100</v>
      </c>
      <c r="H125" s="505"/>
      <c r="I125" s="505"/>
      <c r="J125" s="505"/>
      <c r="K125" s="505"/>
      <c r="L125" s="505"/>
      <c r="M125" s="506"/>
      <c r="N125" s="2986"/>
      <c r="O125" s="2986"/>
      <c r="P125" s="2976"/>
      <c r="Q125" s="2971"/>
      <c r="R125" s="2957"/>
      <c r="S125" s="2957"/>
      <c r="T125" s="2957"/>
      <c r="U125" s="2957"/>
      <c r="V125" s="2957"/>
      <c r="W125" s="2957"/>
      <c r="X125" s="2957"/>
      <c r="Y125" s="2957"/>
      <c r="Z125" s="2957"/>
      <c r="AA125" s="2957"/>
      <c r="AB125" s="2957"/>
      <c r="AC125" s="2957"/>
    </row>
    <row r="126" spans="1:29" s="434" customFormat="1" ht="14.4" thickTop="1">
      <c r="A126" s="554"/>
      <c r="B126" s="499">
        <f>B44</f>
        <v>111</v>
      </c>
      <c r="C126" s="515"/>
      <c r="D126" s="515"/>
      <c r="E126" s="515"/>
      <c r="F126" s="515"/>
      <c r="G126" s="515"/>
      <c r="H126" s="516"/>
      <c r="I126" s="516"/>
      <c r="J126" s="516"/>
      <c r="K126" s="516"/>
      <c r="L126" s="517"/>
      <c r="M126" s="518"/>
      <c r="N126" s="2987"/>
      <c r="O126" s="2987"/>
      <c r="P126" s="2977"/>
      <c r="Q126" s="2978"/>
      <c r="R126" s="2979"/>
      <c r="S126" s="2979"/>
      <c r="T126" s="2979"/>
      <c r="U126" s="2979"/>
      <c r="V126" s="2979"/>
      <c r="W126" s="2979"/>
      <c r="X126" s="2979"/>
      <c r="Y126" s="2979"/>
      <c r="Z126" s="2979"/>
      <c r="AA126" s="2979"/>
      <c r="AB126" s="2979"/>
      <c r="AC126" s="2979"/>
    </row>
    <row r="127" spans="1:29" s="434" customFormat="1" ht="14.4" thickBot="1">
      <c r="A127" s="514"/>
      <c r="B127" s="504"/>
      <c r="C127" s="521"/>
      <c r="D127" s="497"/>
      <c r="E127" s="497"/>
      <c r="F127" s="497"/>
      <c r="G127" s="521"/>
      <c r="H127" s="523"/>
      <c r="I127" s="523"/>
      <c r="J127" s="523"/>
      <c r="K127" s="523"/>
      <c r="L127" s="523"/>
      <c r="M127" s="524"/>
      <c r="N127" s="2987"/>
      <c r="O127" s="2987"/>
      <c r="P127" s="2977"/>
      <c r="Q127" s="2978"/>
      <c r="R127" s="2979"/>
      <c r="S127" s="2979"/>
      <c r="T127" s="2979"/>
      <c r="U127" s="2979"/>
      <c r="V127" s="2979"/>
      <c r="W127" s="2979"/>
      <c r="X127" s="2979"/>
      <c r="Y127" s="2979"/>
      <c r="Z127" s="2979"/>
      <c r="AA127" s="2979"/>
      <c r="AB127" s="2979"/>
      <c r="AC127" s="2979"/>
    </row>
    <row r="128" spans="1:29" ht="14.4" thickTop="1">
      <c r="A128" s="560"/>
      <c r="B128" s="499">
        <f>B45</f>
        <v>111</v>
      </c>
      <c r="C128" s="515"/>
      <c r="D128" s="515"/>
      <c r="E128" s="515"/>
      <c r="F128" s="515"/>
      <c r="G128" s="544"/>
      <c r="H128" s="544"/>
      <c r="I128" s="544"/>
      <c r="J128" s="544"/>
      <c r="K128" s="545"/>
      <c r="L128" s="546"/>
      <c r="M128" s="547"/>
      <c r="N128" s="2985"/>
      <c r="O128" s="2985"/>
      <c r="P128" s="2976"/>
      <c r="Q128" s="2971"/>
      <c r="R128" s="2957"/>
      <c r="S128" s="2957"/>
      <c r="T128" s="2957"/>
      <c r="U128" s="2957"/>
      <c r="V128" s="2957"/>
      <c r="W128" s="2957"/>
      <c r="X128" s="2957"/>
      <c r="Y128" s="2957"/>
      <c r="Z128" s="2957"/>
      <c r="AA128" s="2957"/>
      <c r="AB128" s="2957"/>
      <c r="AC128" s="2957"/>
    </row>
    <row r="129" spans="1:29" ht="14.4" thickBot="1">
      <c r="A129" s="495"/>
      <c r="B129" s="504"/>
      <c r="C129" s="521"/>
      <c r="D129" s="497"/>
      <c r="E129" s="497"/>
      <c r="F129" s="497"/>
      <c r="G129" s="497"/>
      <c r="H129" s="497"/>
      <c r="I129" s="497"/>
      <c r="J129" s="497"/>
      <c r="K129" s="497"/>
      <c r="L129" s="497"/>
      <c r="M129" s="498"/>
      <c r="N129" s="2986"/>
      <c r="O129" s="2986"/>
      <c r="P129" s="2976"/>
      <c r="Q129" s="2971"/>
      <c r="R129" s="2957"/>
      <c r="S129" s="2957"/>
      <c r="T129" s="2957"/>
      <c r="U129" s="2957"/>
      <c r="V129" s="2957"/>
      <c r="W129" s="2957"/>
      <c r="X129" s="2957"/>
      <c r="Y129" s="2957"/>
      <c r="Z129" s="2957"/>
      <c r="AA129" s="2957"/>
      <c r="AB129" s="2957"/>
      <c r="AC129" s="2957"/>
    </row>
    <row r="130" spans="1:29" ht="14.4" thickTop="1">
      <c r="A130" s="560"/>
      <c r="B130" s="507">
        <f>B46</f>
        <v>111</v>
      </c>
      <c r="C130" s="515"/>
      <c r="D130" s="515"/>
      <c r="E130" s="515"/>
      <c r="F130" s="515"/>
      <c r="G130" s="548"/>
      <c r="H130" s="548"/>
      <c r="I130" s="548"/>
      <c r="J130" s="548"/>
      <c r="K130" s="484"/>
      <c r="L130" s="485"/>
      <c r="M130" s="551"/>
      <c r="N130" s="2985"/>
      <c r="O130" s="2985"/>
      <c r="P130" s="2976"/>
      <c r="Q130" s="2971"/>
      <c r="R130" s="2957"/>
      <c r="S130" s="2957"/>
      <c r="T130" s="2957"/>
      <c r="U130" s="2957"/>
      <c r="V130" s="2957"/>
      <c r="W130" s="2957"/>
      <c r="X130" s="2957"/>
      <c r="Y130" s="2957"/>
      <c r="Z130" s="2957"/>
      <c r="AA130" s="2957"/>
      <c r="AB130" s="2957"/>
      <c r="AC130" s="2957"/>
    </row>
    <row r="131" spans="1:29" ht="14.4" thickBot="1">
      <c r="A131" s="2120"/>
      <c r="B131" s="530"/>
      <c r="C131" s="531"/>
      <c r="D131" s="531"/>
      <c r="E131" s="531"/>
      <c r="F131" s="531"/>
      <c r="G131" s="552"/>
      <c r="H131" s="552"/>
      <c r="I131" s="552"/>
      <c r="J131" s="552"/>
      <c r="K131" s="552"/>
      <c r="L131" s="552"/>
      <c r="M131" s="553"/>
      <c r="N131" s="2986"/>
      <c r="O131" s="2986"/>
      <c r="P131" s="2976"/>
      <c r="Q131" s="2971"/>
      <c r="R131" s="2957"/>
      <c r="S131" s="2957"/>
      <c r="T131" s="2957"/>
      <c r="U131" s="2957"/>
      <c r="V131" s="2957"/>
      <c r="W131" s="2957"/>
      <c r="X131" s="2957"/>
      <c r="Y131" s="2957"/>
      <c r="Z131" s="2957"/>
      <c r="AA131" s="2957"/>
      <c r="AB131" s="2957"/>
      <c r="AC131" s="295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20" stopIfTrue="1" operator="containsText" text="超过">
      <formula>NOT(ISERROR(SEARCH("超过",F52)))</formula>
    </cfRule>
  </conditionalFormatting>
  <conditionalFormatting sqref="H54">
    <cfRule type="containsText" dxfId="123" priority="18" stopIfTrue="1" operator="containsText" text="超过">
      <formula>NOT(ISERROR(SEARCH("超过",H54)))</formula>
    </cfRule>
  </conditionalFormatting>
  <conditionalFormatting sqref="F54">
    <cfRule type="containsText" dxfId="122" priority="17" stopIfTrue="1" operator="containsText" text="超过">
      <formula>NOT(ISERROR(SEARCH("超过",F54)))</formula>
    </cfRule>
  </conditionalFormatting>
  <conditionalFormatting sqref="F53 H53">
    <cfRule type="containsText" dxfId="121" priority="16" stopIfTrue="1" operator="containsText" text="超过">
      <formula>NOT(ISERROR(SEARCH("超过",F53)))</formula>
    </cfRule>
  </conditionalFormatting>
  <conditionalFormatting sqref="E52">
    <cfRule type="expression" dxfId="120" priority="15" stopIfTrue="1">
      <formula>$F$52="超过30%"</formula>
    </cfRule>
  </conditionalFormatting>
  <conditionalFormatting sqref="E53">
    <cfRule type="expression" dxfId="119" priority="14" stopIfTrue="1">
      <formula>$F$53="超过20%"</formula>
    </cfRule>
  </conditionalFormatting>
  <conditionalFormatting sqref="E54">
    <cfRule type="expression" dxfId="118" priority="13" stopIfTrue="1">
      <formula>$F$54="超过30%"</formula>
    </cfRule>
  </conditionalFormatting>
  <conditionalFormatting sqref="G54">
    <cfRule type="expression" dxfId="117" priority="12" stopIfTrue="1">
      <formula>$H$54="超过30%"</formula>
    </cfRule>
  </conditionalFormatting>
  <conditionalFormatting sqref="G52">
    <cfRule type="expression" dxfId="116" priority="11" stopIfTrue="1">
      <formula>$H$52="超过30%"</formula>
    </cfRule>
  </conditionalFormatting>
  <conditionalFormatting sqref="G53">
    <cfRule type="expression" dxfId="115" priority="10" stopIfTrue="1">
      <formula>$H$53="超过20%"</formula>
    </cfRule>
  </conditionalFormatting>
  <conditionalFormatting sqref="J52">
    <cfRule type="containsText" dxfId="114" priority="9" stopIfTrue="1" operator="containsText" text="超过">
      <formula>NOT(ISERROR(SEARCH("超过",J52)))</formula>
    </cfRule>
  </conditionalFormatting>
  <conditionalFormatting sqref="J54">
    <cfRule type="containsText" dxfId="113" priority="8" stopIfTrue="1" operator="containsText" text="超过">
      <formula>NOT(ISERROR(SEARCH("超过",J54)))</formula>
    </cfRule>
  </conditionalFormatting>
  <conditionalFormatting sqref="J53">
    <cfRule type="containsText" dxfId="112" priority="7" stopIfTrue="1" operator="containsText" text="超过">
      <formula>NOT(ISERROR(SEARCH("超过",J53)))</formula>
    </cfRule>
  </conditionalFormatting>
  <conditionalFormatting sqref="I52">
    <cfRule type="expression" dxfId="111" priority="6" stopIfTrue="1">
      <formula>$J$52="超过30%"</formula>
    </cfRule>
  </conditionalFormatting>
  <conditionalFormatting sqref="I53">
    <cfRule type="expression" dxfId="110" priority="5" stopIfTrue="1">
      <formula>$J$53="超过20%"</formula>
    </cfRule>
  </conditionalFormatting>
  <conditionalFormatting sqref="I54">
    <cfRule type="expression" dxfId="109" priority="4" stopIfTrue="1">
      <formula>$J$54="超过30%"</formula>
    </cfRule>
  </conditionalFormatting>
  <conditionalFormatting sqref="F48">
    <cfRule type="expression" dxfId="108" priority="3">
      <formula>$D$48="简单平均"</formula>
    </cfRule>
  </conditionalFormatting>
  <conditionalFormatting sqref="H48">
    <cfRule type="expression" dxfId="107" priority="2">
      <formula>$D$48="简单平均"</formula>
    </cfRule>
  </conditionalFormatting>
  <conditionalFormatting sqref="J48">
    <cfRule type="expression" dxfId="106"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48" sqref="D48"/>
    </sheetView>
  </sheetViews>
  <sheetFormatPr defaultColWidth="9" defaultRowHeight="13.8"/>
  <cols>
    <col min="1" max="1" width="10.44140625" style="367" customWidth="1"/>
    <col min="2" max="2" width="15.77734375" style="367" customWidth="1"/>
    <col min="3" max="3" width="15.6640625" style="367" customWidth="1"/>
    <col min="4" max="4" width="12.21875" style="367" customWidth="1"/>
    <col min="5" max="5" width="14.33203125" style="367" customWidth="1"/>
    <col min="6" max="6" width="12.21875" style="367" customWidth="1"/>
    <col min="7" max="7" width="14.44140625" style="367" customWidth="1"/>
    <col min="8" max="8" width="12.21875" style="367" customWidth="1"/>
    <col min="9" max="9" width="14.44140625" style="367" customWidth="1"/>
    <col min="10" max="10" width="12.21875" style="367" customWidth="1"/>
    <col min="11" max="11" width="12.21875" style="456" customWidth="1"/>
    <col min="12" max="12" width="12.21875" style="457" customWidth="1"/>
    <col min="13" max="15" width="12.21875" style="367" customWidth="1"/>
    <col min="16" max="16" width="4.77734375" style="1041" customWidth="1"/>
    <col min="17" max="17" width="19.44140625" style="367" customWidth="1"/>
    <col min="18" max="22" width="6.109375" style="367" customWidth="1"/>
    <col min="23" max="23" width="5.77734375" style="367" customWidth="1"/>
    <col min="24" max="24" width="4.21875" style="367" customWidth="1"/>
    <col min="25" max="25" width="3.44140625" style="367" customWidth="1"/>
    <col min="26" max="26" width="19.77734375" style="367" customWidth="1"/>
    <col min="27" max="28" width="9.33203125" style="367" customWidth="1"/>
    <col min="29" max="16384" width="9" style="367"/>
  </cols>
  <sheetData>
    <row r="1" spans="1:29" s="1405" customFormat="1" ht="28.5" customHeight="1" thickBot="1">
      <c r="A1" s="1394" t="s">
        <v>2358</v>
      </c>
      <c r="B1" s="2149" t="s">
        <v>2516</v>
      </c>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IF(C2="——",ROUND(C50*D3/10000,0),ROUND(C50*D3/10000,0)-D2)</f>
        <v>#DIV/0!</v>
      </c>
      <c r="C2" s="2073"/>
      <c r="D2" s="1279" t="e">
        <f ca="1">SUMIF(INDIRECT("'"&amp;F2&amp;"'"&amp;"!A:A"),"承租人权益价值",INDIRECT("'"&amp;F2&amp;"'"&amp;"!c:c"))</f>
        <v>#REF!</v>
      </c>
      <c r="E2" s="2074" t="s">
        <v>2158</v>
      </c>
      <c r="F2" s="2075"/>
      <c r="G2" s="1043"/>
      <c r="H2" s="1043"/>
      <c r="I2" s="1043"/>
      <c r="J2" s="1043"/>
      <c r="K2" s="1043"/>
      <c r="L2" s="2966"/>
      <c r="M2" s="2967"/>
      <c r="N2" s="2967"/>
      <c r="O2" s="2967"/>
      <c r="P2" s="712"/>
      <c r="Q2" s="712"/>
      <c r="R2" s="712"/>
      <c r="S2" s="712"/>
      <c r="T2" s="712"/>
      <c r="U2" s="712"/>
      <c r="V2" s="712"/>
      <c r="W2" s="712"/>
      <c r="X2" s="712"/>
      <c r="Y2" s="712"/>
      <c r="Z2" s="712"/>
      <c r="AA2" s="712"/>
      <c r="AB2" s="712"/>
      <c r="AC2" s="713"/>
    </row>
    <row r="3" spans="1:29" s="362" customFormat="1" ht="28.5" customHeight="1" thickBot="1">
      <c r="A3" s="213" t="s">
        <v>2159</v>
      </c>
      <c r="B3" s="570" t="e">
        <f ca="1">IF(C2="——",C50,ROUND(B2*10000/D3,0))</f>
        <v>#DIV/0!</v>
      </c>
      <c r="C3" s="364" t="s">
        <v>2474</v>
      </c>
      <c r="D3" s="363">
        <f>IF(D1="",'数据-汇总表'!E3,SUMIF('数据-汇总表'!$C19:$C33,D1,'数据-汇总表'!$E19:$E33))</f>
        <v>8640.14</v>
      </c>
      <c r="E3" s="2146"/>
      <c r="F3" s="1044"/>
      <c r="G3" s="1043"/>
      <c r="H3" s="1043"/>
      <c r="I3" s="1043"/>
      <c r="J3" s="1043"/>
      <c r="K3" s="1045"/>
      <c r="L3" s="2966"/>
      <c r="M3" s="2967"/>
      <c r="N3" s="2967"/>
      <c r="O3" s="2967"/>
      <c r="P3" s="712"/>
      <c r="Q3" s="712"/>
      <c r="R3" s="712"/>
      <c r="S3" s="712"/>
      <c r="T3" s="712"/>
      <c r="U3" s="712"/>
      <c r="V3" s="712"/>
      <c r="W3" s="712"/>
      <c r="X3" s="712"/>
      <c r="Y3" s="712"/>
      <c r="Z3" s="712"/>
      <c r="AA3" s="712"/>
      <c r="AB3" s="712"/>
      <c r="AC3" s="713"/>
    </row>
    <row r="4" spans="1:29" ht="14.4">
      <c r="A4" s="365" t="s">
        <v>2475</v>
      </c>
      <c r="B4" s="366"/>
      <c r="C4" s="3380" t="s">
        <v>2476</v>
      </c>
      <c r="D4" s="3381"/>
      <c r="E4" s="3382" t="s">
        <v>2477</v>
      </c>
      <c r="F4" s="3383"/>
      <c r="G4" s="3380" t="s">
        <v>2478</v>
      </c>
      <c r="H4" s="3381"/>
      <c r="I4" s="3380" t="s">
        <v>2479</v>
      </c>
      <c r="J4" s="3381"/>
      <c r="K4" s="571" t="s">
        <v>2480</v>
      </c>
      <c r="L4" s="2947"/>
      <c r="M4" s="2948"/>
      <c r="N4" s="2948"/>
      <c r="O4" s="2948"/>
      <c r="P4" s="3414" t="s">
        <v>2481</v>
      </c>
      <c r="Q4" s="3415"/>
      <c r="R4" s="3409" t="s">
        <v>2477</v>
      </c>
      <c r="S4" s="3410"/>
      <c r="T4" s="3409" t="s">
        <v>2478</v>
      </c>
      <c r="U4" s="3410"/>
      <c r="V4" s="3418" t="s">
        <v>2479</v>
      </c>
      <c r="W4" s="3418"/>
      <c r="X4" s="2150"/>
      <c r="Y4" s="3409" t="s">
        <v>2481</v>
      </c>
      <c r="Z4" s="3410"/>
      <c r="AA4" s="3408" t="s">
        <v>2477</v>
      </c>
      <c r="AB4" s="3408" t="s">
        <v>2478</v>
      </c>
      <c r="AC4" s="3411" t="s">
        <v>2479</v>
      </c>
    </row>
    <row r="5" spans="1:29">
      <c r="A5" s="368"/>
      <c r="B5" s="369"/>
      <c r="C5" s="3373" t="s">
        <v>2372</v>
      </c>
      <c r="D5" s="3374"/>
      <c r="E5" s="3371" t="s">
        <v>2373</v>
      </c>
      <c r="F5" s="3372"/>
      <c r="G5" s="3373" t="s">
        <v>2374</v>
      </c>
      <c r="H5" s="3374"/>
      <c r="I5" s="3373" t="s">
        <v>2375</v>
      </c>
      <c r="J5" s="3374"/>
      <c r="K5" s="571"/>
      <c r="L5" s="2947"/>
      <c r="M5" s="2948"/>
      <c r="N5" s="2948"/>
      <c r="O5" s="2948"/>
      <c r="P5" s="3416"/>
      <c r="Q5" s="3387"/>
      <c r="R5" s="3369"/>
      <c r="S5" s="3370"/>
      <c r="T5" s="3369"/>
      <c r="U5" s="3370"/>
      <c r="V5" s="3392"/>
      <c r="W5" s="3392"/>
      <c r="X5" s="1545"/>
      <c r="Y5" s="3369"/>
      <c r="Z5" s="3370"/>
      <c r="AA5" s="3363"/>
      <c r="AB5" s="3363"/>
      <c r="AC5" s="3412"/>
    </row>
    <row r="6" spans="1:29" ht="15" thickBot="1">
      <c r="A6" s="370"/>
      <c r="B6" s="371"/>
      <c r="C6" s="3375" t="s">
        <v>2376</v>
      </c>
      <c r="D6" s="3376"/>
      <c r="E6" s="3377" t="s">
        <v>2376</v>
      </c>
      <c r="F6" s="3378"/>
      <c r="G6" s="3375" t="s">
        <v>2376</v>
      </c>
      <c r="H6" s="3376"/>
      <c r="I6" s="3375" t="s">
        <v>2376</v>
      </c>
      <c r="J6" s="3376"/>
      <c r="K6" s="571" t="s">
        <v>2377</v>
      </c>
      <c r="L6" s="2947"/>
      <c r="M6" s="2948"/>
      <c r="N6" s="2948"/>
      <c r="O6" s="2948"/>
      <c r="P6" s="3417"/>
      <c r="Q6" s="3389"/>
      <c r="R6" s="3369"/>
      <c r="S6" s="3370"/>
      <c r="T6" s="3390"/>
      <c r="U6" s="3391"/>
      <c r="V6" s="3392"/>
      <c r="W6" s="3392"/>
      <c r="X6" s="1545"/>
      <c r="Y6" s="3390"/>
      <c r="Z6" s="3391"/>
      <c r="AA6" s="3364"/>
      <c r="AB6" s="3364"/>
      <c r="AC6" s="3413"/>
    </row>
    <row r="7" spans="1:29" s="117" customFormat="1" ht="15" thickBot="1">
      <c r="A7" s="372" t="s">
        <v>2378</v>
      </c>
      <c r="B7" s="373"/>
      <c r="C7" s="374">
        <f>'数据-取费表'!B2</f>
        <v>44063</v>
      </c>
      <c r="D7" s="375">
        <v>100</v>
      </c>
      <c r="E7" s="376"/>
      <c r="F7" s="377">
        <f>SUMIF(59:59,YEAR(E7)&amp;"-"&amp;MONTH(E7),60:60)</f>
        <v>0</v>
      </c>
      <c r="G7" s="376"/>
      <c r="H7" s="375">
        <f>SUMIF(59:59,YEAR(G7)&amp;"-"&amp;MONTH(G7),60:60)</f>
        <v>0</v>
      </c>
      <c r="I7" s="376"/>
      <c r="J7" s="375">
        <f>SUMIF(59:59,YEAR(I7)&amp;"-"&amp;MONTH(I7),60:60)</f>
        <v>0</v>
      </c>
      <c r="K7" s="572"/>
      <c r="L7" s="2949"/>
      <c r="M7" s="2950"/>
      <c r="N7" s="2950"/>
      <c r="O7" s="2950"/>
      <c r="P7" s="3419" t="s">
        <v>2379</v>
      </c>
      <c r="Q7" s="3393"/>
      <c r="R7" s="714" t="s">
        <v>17</v>
      </c>
      <c r="S7" s="715">
        <f t="shared" ref="S7:S15" si="0">F7</f>
        <v>0</v>
      </c>
      <c r="T7" s="714" t="s">
        <v>17</v>
      </c>
      <c r="U7" s="715">
        <f t="shared" ref="U7:U15" si="1">H7</f>
        <v>0</v>
      </c>
      <c r="V7" s="714" t="s">
        <v>17</v>
      </c>
      <c r="W7" s="715">
        <f t="shared" ref="W7:W15" si="2">J7</f>
        <v>0</v>
      </c>
      <c r="X7" s="716"/>
      <c r="Y7" s="3365" t="s">
        <v>2379</v>
      </c>
      <c r="Z7" s="3366"/>
      <c r="AA7" s="717" t="e">
        <f>D7/F7</f>
        <v>#DIV/0!</v>
      </c>
      <c r="AB7" s="717" t="e">
        <f>D7/H7</f>
        <v>#DIV/0!</v>
      </c>
      <c r="AC7" s="2151" t="e">
        <f>D7/J7</f>
        <v>#DIV/0!</v>
      </c>
    </row>
    <row r="8" spans="1:29" s="117" customFormat="1" ht="15" thickBot="1">
      <c r="A8" s="372" t="s">
        <v>2380</v>
      </c>
      <c r="B8" s="373"/>
      <c r="C8" s="378" t="s">
        <v>2482</v>
      </c>
      <c r="D8" s="375">
        <v>100</v>
      </c>
      <c r="E8" s="378"/>
      <c r="F8" s="377">
        <f>SUMIF(62:62,E8,63:63)-SUMIF(62:62,C8,63:63)+100</f>
        <v>0</v>
      </c>
      <c r="G8" s="378"/>
      <c r="H8" s="375">
        <f>SUMIF(62:62,G8,63:63)-SUMIF(62:62,C8,63:63)+100</f>
        <v>0</v>
      </c>
      <c r="I8" s="378"/>
      <c r="J8" s="375">
        <f>SUMIF(62:62,I8,63:63)-SUMIF(62:62,C8,63:63)+100</f>
        <v>0</v>
      </c>
      <c r="K8" s="572"/>
      <c r="L8" s="2949"/>
      <c r="M8" s="2950"/>
      <c r="N8" s="2950"/>
      <c r="O8" s="2950"/>
      <c r="P8" s="3419" t="s">
        <v>2382</v>
      </c>
      <c r="Q8" s="3366"/>
      <c r="R8" s="714" t="s">
        <v>17</v>
      </c>
      <c r="S8" s="715">
        <f t="shared" si="0"/>
        <v>0</v>
      </c>
      <c r="T8" s="714" t="s">
        <v>17</v>
      </c>
      <c r="U8" s="715">
        <f t="shared" si="1"/>
        <v>0</v>
      </c>
      <c r="V8" s="714" t="s">
        <v>17</v>
      </c>
      <c r="W8" s="715">
        <f t="shared" si="2"/>
        <v>0</v>
      </c>
      <c r="X8" s="716"/>
      <c r="Y8" s="3365" t="s">
        <v>2382</v>
      </c>
      <c r="Z8" s="3366"/>
      <c r="AA8" s="717" t="e">
        <f t="shared" ref="AA8:AA47" si="3">D8/F8</f>
        <v>#DIV/0!</v>
      </c>
      <c r="AB8" s="717" t="e">
        <f t="shared" ref="AB8:AB47" si="4">D8/H8</f>
        <v>#DIV/0!</v>
      </c>
      <c r="AC8" s="2151" t="e">
        <f t="shared" ref="AC8:AC47" si="5">D8/J8</f>
        <v>#DIV/0!</v>
      </c>
    </row>
    <row r="9" spans="1:29" s="117" customFormat="1" ht="14.4">
      <c r="A9" s="379" t="s">
        <v>2383</v>
      </c>
      <c r="B9" s="71" t="s">
        <v>2384</v>
      </c>
      <c r="C9" s="380"/>
      <c r="D9" s="135">
        <v>100</v>
      </c>
      <c r="E9" s="383"/>
      <c r="F9" s="135">
        <f>SUMIF(64:64,E9,65:65)-SUMIF(64:64,C9,65:65)+100</f>
        <v>100</v>
      </c>
      <c r="G9" s="381"/>
      <c r="H9" s="135">
        <f>SUMIF(64:64,G9,65:65)-SUMIF(64:64,C9,65:65)+100</f>
        <v>100</v>
      </c>
      <c r="I9" s="381"/>
      <c r="J9" s="135">
        <f>SUMIF(64:64,I9,65:65)-SUMIF(64:64,C9,65:65)+100</f>
        <v>100</v>
      </c>
      <c r="K9" s="572"/>
      <c r="L9" s="2949"/>
      <c r="M9" s="2950"/>
      <c r="N9" s="2950"/>
      <c r="O9" s="2950"/>
      <c r="P9" s="3379" t="s">
        <v>2385</v>
      </c>
      <c r="Q9" s="1533" t="str">
        <f t="shared" ref="Q9:Q15" si="6">B9</f>
        <v>用途</v>
      </c>
      <c r="R9" s="714" t="s">
        <v>17</v>
      </c>
      <c r="S9" s="715">
        <f t="shared" si="0"/>
        <v>100</v>
      </c>
      <c r="T9" s="714" t="s">
        <v>17</v>
      </c>
      <c r="U9" s="715">
        <f t="shared" si="1"/>
        <v>100</v>
      </c>
      <c r="V9" s="714" t="s">
        <v>17</v>
      </c>
      <c r="W9" s="715">
        <f t="shared" si="2"/>
        <v>100</v>
      </c>
      <c r="X9" s="716"/>
      <c r="Y9" s="3282" t="s">
        <v>2386</v>
      </c>
      <c r="Z9" s="55" t="str">
        <f t="shared" ref="Z9:Z15" si="7">Q9</f>
        <v>用途</v>
      </c>
      <c r="AA9" s="717">
        <f t="shared" si="3"/>
        <v>1</v>
      </c>
      <c r="AB9" s="717">
        <f t="shared" si="4"/>
        <v>1</v>
      </c>
      <c r="AC9" s="2151">
        <f t="shared" si="5"/>
        <v>1</v>
      </c>
    </row>
    <row r="10" spans="1:29" s="390" customFormat="1" ht="28.8">
      <c r="A10" s="384"/>
      <c r="B10" s="385" t="s">
        <v>2387</v>
      </c>
      <c r="C10" s="386"/>
      <c r="D10" s="136">
        <v>100</v>
      </c>
      <c r="E10" s="386"/>
      <c r="F10" s="136">
        <f>SUMIF(66:66,E10,67:67)-SUMIF(66:66,C10,67:67)+100</f>
        <v>100</v>
      </c>
      <c r="G10" s="387"/>
      <c r="H10" s="136">
        <f>SUMIF(66:66,G10,67:67)-SUMIF(66:66,C10,67:67)+100</f>
        <v>100</v>
      </c>
      <c r="I10" s="386"/>
      <c r="J10" s="136">
        <f>SUMIF(66:66,I10,67:67)-SUMIF(66:66,C10,67:67)+100</f>
        <v>100</v>
      </c>
      <c r="K10" s="573"/>
      <c r="L10" s="2951"/>
      <c r="M10" s="2952"/>
      <c r="N10" s="2952"/>
      <c r="O10" s="2952"/>
      <c r="P10" s="3379"/>
      <c r="Q10" s="1533" t="str">
        <f t="shared" si="6"/>
        <v>土地使用年限（年）</v>
      </c>
      <c r="R10" s="714" t="s">
        <v>17</v>
      </c>
      <c r="S10" s="715">
        <f t="shared" si="0"/>
        <v>100</v>
      </c>
      <c r="T10" s="714" t="s">
        <v>17</v>
      </c>
      <c r="U10" s="715">
        <f t="shared" si="1"/>
        <v>100</v>
      </c>
      <c r="V10" s="714" t="s">
        <v>17</v>
      </c>
      <c r="W10" s="715">
        <f t="shared" si="2"/>
        <v>100</v>
      </c>
      <c r="X10" s="716"/>
      <c r="Y10" s="3282"/>
      <c r="Z10" s="55" t="str">
        <f t="shared" si="7"/>
        <v>土地使用年限（年）</v>
      </c>
      <c r="AA10" s="717">
        <f t="shared" si="3"/>
        <v>1</v>
      </c>
      <c r="AB10" s="717">
        <f t="shared" si="4"/>
        <v>1</v>
      </c>
      <c r="AC10" s="2151">
        <f t="shared" si="5"/>
        <v>1</v>
      </c>
    </row>
    <row r="11" spans="1:29" ht="15">
      <c r="A11" s="391"/>
      <c r="B11" s="385" t="s">
        <v>2388</v>
      </c>
      <c r="C11" s="392"/>
      <c r="D11" s="136">
        <v>100</v>
      </c>
      <c r="E11" s="392"/>
      <c r="F11" s="136" t="e">
        <f>LOOKUP(E11,69:69,70:70)-LOOKUP(C11,69:69,70:70)+100</f>
        <v>#N/A</v>
      </c>
      <c r="G11" s="393"/>
      <c r="H11" s="136" t="e">
        <f>LOOKUP(G11,69:69,70:70)-LOOKUP(C11,69:69,70:70)+100</f>
        <v>#N/A</v>
      </c>
      <c r="I11" s="392"/>
      <c r="J11" s="136" t="e">
        <f>LOOKUP(I11,69:69,70:70)-LOOKUP(C11,69:69,70:70)+100</f>
        <v>#N/A</v>
      </c>
      <c r="K11" s="573"/>
      <c r="L11" s="2953"/>
      <c r="M11" s="2948"/>
      <c r="N11" s="2948"/>
      <c r="O11" s="2948"/>
      <c r="P11" s="3379"/>
      <c r="Q11" s="1533" t="str">
        <f t="shared" si="6"/>
        <v>容积率</v>
      </c>
      <c r="R11" s="714" t="s">
        <v>17</v>
      </c>
      <c r="S11" s="715" t="e">
        <f t="shared" si="0"/>
        <v>#N/A</v>
      </c>
      <c r="T11" s="714" t="s">
        <v>17</v>
      </c>
      <c r="U11" s="715" t="e">
        <f t="shared" si="1"/>
        <v>#N/A</v>
      </c>
      <c r="V11" s="714" t="s">
        <v>17</v>
      </c>
      <c r="W11" s="715" t="e">
        <f t="shared" si="2"/>
        <v>#N/A</v>
      </c>
      <c r="X11" s="716"/>
      <c r="Y11" s="3282"/>
      <c r="Z11" s="55" t="str">
        <f t="shared" si="7"/>
        <v>容积率</v>
      </c>
      <c r="AA11" s="717" t="e">
        <f t="shared" si="3"/>
        <v>#N/A</v>
      </c>
      <c r="AB11" s="717" t="e">
        <f t="shared" si="4"/>
        <v>#N/A</v>
      </c>
      <c r="AC11" s="2151" t="e">
        <f t="shared" si="5"/>
        <v>#N/A</v>
      </c>
    </row>
    <row r="12" spans="1:29" s="117" customFormat="1" ht="15">
      <c r="A12" s="394"/>
      <c r="B12" s="2085">
        <v>111</v>
      </c>
      <c r="C12" s="395"/>
      <c r="D12" s="396">
        <v>100</v>
      </c>
      <c r="E12" s="395"/>
      <c r="F12" s="136">
        <f>SUMIF(71:71,E12,72:72)-SUMIF(71:71,C12,72:72)+100</f>
        <v>100</v>
      </c>
      <c r="G12" s="2152"/>
      <c r="H12" s="136">
        <f>SUMIF(71:71,G12,72:72)-SUMIF(71:71,C12,72:72)+100</f>
        <v>100</v>
      </c>
      <c r="I12" s="395"/>
      <c r="J12" s="136">
        <f>SUMIF(71:71,I12,72:72)-SUMIF(71:71,C12,72:72)+100</f>
        <v>100</v>
      </c>
      <c r="K12" s="574"/>
      <c r="L12" s="2949"/>
      <c r="M12" s="2950"/>
      <c r="N12" s="2950"/>
      <c r="O12" s="2950"/>
      <c r="P12" s="3379"/>
      <c r="Q12" s="1533">
        <f t="shared" si="6"/>
        <v>111</v>
      </c>
      <c r="R12" s="714" t="s">
        <v>17</v>
      </c>
      <c r="S12" s="715">
        <f t="shared" si="0"/>
        <v>100</v>
      </c>
      <c r="T12" s="714" t="s">
        <v>17</v>
      </c>
      <c r="U12" s="715">
        <f t="shared" si="1"/>
        <v>100</v>
      </c>
      <c r="V12" s="714" t="s">
        <v>17</v>
      </c>
      <c r="W12" s="715">
        <f t="shared" si="2"/>
        <v>100</v>
      </c>
      <c r="X12" s="716"/>
      <c r="Y12" s="3282"/>
      <c r="Z12" s="55">
        <f t="shared" si="7"/>
        <v>111</v>
      </c>
      <c r="AA12" s="717">
        <f>D12/F12</f>
        <v>1</v>
      </c>
      <c r="AB12" s="717">
        <f>D12/H12</f>
        <v>1</v>
      </c>
      <c r="AC12" s="2151">
        <f>D12/J12</f>
        <v>1</v>
      </c>
    </row>
    <row r="13" spans="1:29" ht="15">
      <c r="A13" s="391"/>
      <c r="B13" s="2085">
        <v>111</v>
      </c>
      <c r="C13" s="397"/>
      <c r="D13" s="398">
        <v>100</v>
      </c>
      <c r="E13" s="395"/>
      <c r="F13" s="136">
        <f>SUMIF(73:73,E13,74:74)-SUMIF(73:73,C13,74:74)+100</f>
        <v>100</v>
      </c>
      <c r="G13" s="2152"/>
      <c r="H13" s="398">
        <f>SUMIF(73:73,G13,74:74)-SUMIF(73:73,C13,74:74)+100</f>
        <v>100</v>
      </c>
      <c r="I13" s="395"/>
      <c r="J13" s="398">
        <f>SUMIF(73:73,I13,74:74)-SUMIF(73:73,C13,74:74)+100</f>
        <v>100</v>
      </c>
      <c r="K13" s="574"/>
      <c r="L13" s="2954"/>
      <c r="M13" s="2948"/>
      <c r="N13" s="2948"/>
      <c r="O13" s="2948"/>
      <c r="P13" s="3379"/>
      <c r="Q13" s="1533">
        <f t="shared" si="6"/>
        <v>111</v>
      </c>
      <c r="R13" s="714" t="s">
        <v>17</v>
      </c>
      <c r="S13" s="715">
        <f t="shared" si="0"/>
        <v>100</v>
      </c>
      <c r="T13" s="714" t="s">
        <v>17</v>
      </c>
      <c r="U13" s="715">
        <f t="shared" si="1"/>
        <v>100</v>
      </c>
      <c r="V13" s="714" t="s">
        <v>17</v>
      </c>
      <c r="W13" s="715">
        <f t="shared" si="2"/>
        <v>100</v>
      </c>
      <c r="X13" s="716"/>
      <c r="Y13" s="3282"/>
      <c r="Z13" s="55">
        <f t="shared" si="7"/>
        <v>111</v>
      </c>
      <c r="AA13" s="717">
        <f t="shared" si="3"/>
        <v>1</v>
      </c>
      <c r="AB13" s="717">
        <f t="shared" si="4"/>
        <v>1</v>
      </c>
      <c r="AC13" s="2151">
        <f t="shared" si="5"/>
        <v>1</v>
      </c>
    </row>
    <row r="14" spans="1:29" ht="15.6" thickBot="1">
      <c r="A14" s="399"/>
      <c r="B14" s="2087">
        <v>111</v>
      </c>
      <c r="C14" s="400"/>
      <c r="D14" s="401">
        <v>100</v>
      </c>
      <c r="E14" s="588"/>
      <c r="F14" s="401">
        <f>SUMIF(75:75,E14,76:76)-SUMIF(75:75,C14,76:76)+100</f>
        <v>100</v>
      </c>
      <c r="G14" s="2152"/>
      <c r="H14" s="401">
        <f>SUMIF(75:75,G14,76:76)-SUMIF(75:75,C14,76:76)+100</f>
        <v>100</v>
      </c>
      <c r="I14" s="395"/>
      <c r="J14" s="401">
        <f>SUMIF(75:75,I14,76:76)-SUMIF(75:75,C14,76:76)+100</f>
        <v>100</v>
      </c>
      <c r="K14" s="574"/>
      <c r="L14" s="2954"/>
      <c r="M14" s="2948"/>
      <c r="N14" s="2948"/>
      <c r="O14" s="2948"/>
      <c r="P14" s="3379"/>
      <c r="Q14" s="1533">
        <f t="shared" si="6"/>
        <v>111</v>
      </c>
      <c r="R14" s="714" t="s">
        <v>17</v>
      </c>
      <c r="S14" s="715">
        <f t="shared" si="0"/>
        <v>100</v>
      </c>
      <c r="T14" s="714" t="s">
        <v>17</v>
      </c>
      <c r="U14" s="715">
        <f t="shared" si="1"/>
        <v>100</v>
      </c>
      <c r="V14" s="714" t="s">
        <v>17</v>
      </c>
      <c r="W14" s="715">
        <f t="shared" si="2"/>
        <v>100</v>
      </c>
      <c r="X14" s="716"/>
      <c r="Y14" s="3282"/>
      <c r="Z14" s="55">
        <f t="shared" si="7"/>
        <v>111</v>
      </c>
      <c r="AA14" s="717">
        <f t="shared" si="3"/>
        <v>1</v>
      </c>
      <c r="AB14" s="717">
        <f t="shared" si="4"/>
        <v>1</v>
      </c>
      <c r="AC14" s="2151">
        <f t="shared" si="5"/>
        <v>1</v>
      </c>
    </row>
    <row r="15" spans="1:29" ht="69">
      <c r="A15" s="403" t="s">
        <v>2389</v>
      </c>
      <c r="B15" s="589" t="s">
        <v>2517</v>
      </c>
      <c r="C15" s="2153" t="str">
        <f>估价对象房地状况!C5</f>
        <v>估价对象位于XX商圈，周边办公楼项目较多，入驻率高，办公集聚程度较好</v>
      </c>
      <c r="D15" s="404">
        <v>100</v>
      </c>
      <c r="E15" s="407"/>
      <c r="F15" s="404">
        <f>SUMIF(77:77,E16,78:78)-SUMIF(77:77,C16,78:78)+100</f>
        <v>100</v>
      </c>
      <c r="G15" s="405"/>
      <c r="H15" s="404">
        <f>SUMIF(77:77,G16,78:78)-SUMIF(77:77,C16,78:78)+100</f>
        <v>100</v>
      </c>
      <c r="I15" s="405"/>
      <c r="J15" s="404">
        <f>SUMIF(77:77,I16,78:78)-SUMIF(77:77,C16,78:78)+100</f>
        <v>100</v>
      </c>
      <c r="K15" s="575"/>
      <c r="L15" s="2954"/>
      <c r="M15" s="2948"/>
      <c r="N15" s="2948"/>
      <c r="O15" s="2948"/>
      <c r="P15" s="3406" t="s">
        <v>2390</v>
      </c>
      <c r="Q15" s="1542" t="str">
        <f t="shared" si="6"/>
        <v>办公集聚程度</v>
      </c>
      <c r="R15" s="718" t="s">
        <v>17</v>
      </c>
      <c r="S15" s="719">
        <f t="shared" si="0"/>
        <v>100</v>
      </c>
      <c r="T15" s="718" t="s">
        <v>17</v>
      </c>
      <c r="U15" s="719">
        <f t="shared" si="1"/>
        <v>100</v>
      </c>
      <c r="V15" s="718" t="s">
        <v>17</v>
      </c>
      <c r="W15" s="719">
        <f t="shared" si="2"/>
        <v>100</v>
      </c>
      <c r="X15" s="1545"/>
      <c r="Y15" s="3399" t="s">
        <v>2390</v>
      </c>
      <c r="Z15" s="1546" t="str">
        <f t="shared" si="7"/>
        <v>办公集聚程度</v>
      </c>
      <c r="AA15" s="1543">
        <f t="shared" si="3"/>
        <v>1</v>
      </c>
      <c r="AB15" s="1543">
        <f t="shared" si="4"/>
        <v>1</v>
      </c>
      <c r="AC15" s="2154">
        <f t="shared" si="5"/>
        <v>1</v>
      </c>
    </row>
    <row r="16" spans="1:29" ht="15">
      <c r="A16" s="391"/>
      <c r="B16" s="590"/>
      <c r="C16" s="2096"/>
      <c r="D16" s="411"/>
      <c r="E16" s="410"/>
      <c r="F16" s="411"/>
      <c r="G16" s="2096"/>
      <c r="H16" s="413"/>
      <c r="I16" s="410"/>
      <c r="J16" s="411"/>
      <c r="K16" s="576"/>
      <c r="L16" s="2954"/>
      <c r="M16" s="2948"/>
      <c r="N16" s="2948"/>
      <c r="O16" s="2948"/>
      <c r="P16" s="3407"/>
      <c r="Q16" s="1542"/>
      <c r="R16" s="718"/>
      <c r="S16" s="719"/>
      <c r="T16" s="718"/>
      <c r="U16" s="719"/>
      <c r="V16" s="718"/>
      <c r="W16" s="719"/>
      <c r="X16" s="1545"/>
      <c r="Y16" s="3400"/>
      <c r="Z16" s="1546"/>
      <c r="AA16" s="1543">
        <v>1</v>
      </c>
      <c r="AB16" s="1543">
        <v>1</v>
      </c>
      <c r="AC16" s="2154">
        <v>1</v>
      </c>
    </row>
    <row r="17" spans="1:29" ht="82.8">
      <c r="A17" s="391"/>
      <c r="B17" s="591" t="s">
        <v>1947</v>
      </c>
      <c r="C17" s="2155" t="str">
        <f>估价对象房地状况!C6</f>
        <v>估价对象周边道路状况、公共交通通达情况、停车便捷程度，综合评价交通便捷度较好</v>
      </c>
      <c r="D17" s="413">
        <v>100</v>
      </c>
      <c r="E17" s="417"/>
      <c r="F17" s="413">
        <f>SUMIF(79:79,E18,80:80)-SUMIF(79:79,C18,80:80)+100</f>
        <v>100</v>
      </c>
      <c r="G17" s="415"/>
      <c r="H17" s="418">
        <f>SUMIF(79:79,G18,80:80)-SUMIF(79:79,C18,80:80)+100</f>
        <v>100</v>
      </c>
      <c r="I17" s="415"/>
      <c r="J17" s="418">
        <f>SUMIF(79:79,I18,80:80)-SUMIF(79:79,C18,80:80)+100</f>
        <v>100</v>
      </c>
      <c r="K17" s="575"/>
      <c r="L17" s="2954"/>
      <c r="M17" s="2948"/>
      <c r="N17" s="2948"/>
      <c r="O17" s="2948"/>
      <c r="P17" s="3407"/>
      <c r="Q17" s="1542" t="str">
        <f>B17</f>
        <v>交通便捷度</v>
      </c>
      <c r="R17" s="718" t="s">
        <v>17</v>
      </c>
      <c r="S17" s="719">
        <f>F17</f>
        <v>100</v>
      </c>
      <c r="T17" s="718" t="s">
        <v>17</v>
      </c>
      <c r="U17" s="719">
        <f>H17</f>
        <v>100</v>
      </c>
      <c r="V17" s="718" t="s">
        <v>17</v>
      </c>
      <c r="W17" s="719">
        <f>J17</f>
        <v>100</v>
      </c>
      <c r="X17" s="1545"/>
      <c r="Y17" s="3400"/>
      <c r="Z17" s="1546" t="str">
        <f>Q17</f>
        <v>交通便捷度</v>
      </c>
      <c r="AA17" s="1543">
        <f t="shared" si="3"/>
        <v>1</v>
      </c>
      <c r="AB17" s="1543">
        <f t="shared" si="4"/>
        <v>1</v>
      </c>
      <c r="AC17" s="2154">
        <f t="shared" si="5"/>
        <v>1</v>
      </c>
    </row>
    <row r="18" spans="1:29" ht="15">
      <c r="A18" s="391"/>
      <c r="B18" s="592"/>
      <c r="C18" s="2156"/>
      <c r="D18" s="413"/>
      <c r="E18" s="2094"/>
      <c r="F18" s="413"/>
      <c r="G18" s="2095"/>
      <c r="H18" s="411"/>
      <c r="I18" s="2095"/>
      <c r="J18" s="411"/>
      <c r="K18" s="576"/>
      <c r="L18" s="2954"/>
      <c r="M18" s="2948"/>
      <c r="N18" s="2948"/>
      <c r="O18" s="2948"/>
      <c r="P18" s="3407"/>
      <c r="Q18" s="1542"/>
      <c r="R18" s="718"/>
      <c r="S18" s="719"/>
      <c r="T18" s="718"/>
      <c r="U18" s="719"/>
      <c r="V18" s="718"/>
      <c r="W18" s="719"/>
      <c r="X18" s="1545"/>
      <c r="Y18" s="3400"/>
      <c r="Z18" s="1546"/>
      <c r="AA18" s="1543">
        <v>1</v>
      </c>
      <c r="AB18" s="1543">
        <v>1</v>
      </c>
      <c r="AC18" s="2154">
        <v>1</v>
      </c>
    </row>
    <row r="19" spans="1:29" ht="41.4">
      <c r="A19" s="391"/>
      <c r="B19" s="591" t="s">
        <v>2518</v>
      </c>
      <c r="C19" s="2155" t="str">
        <f>估价对象房地状况!C7</f>
        <v>估价对象所在区域公共配套设施齐备情况</v>
      </c>
      <c r="D19" s="418">
        <v>100</v>
      </c>
      <c r="E19" s="422"/>
      <c r="F19" s="418">
        <f>SUMIF(81:81,E20,82:82)-SUMIF(81:81,C20,82:82)+100</f>
        <v>100</v>
      </c>
      <c r="G19" s="420"/>
      <c r="H19" s="413">
        <f>SUMIF(81:81,G20,82:82)-SUMIF(81:81,C20,82:82)+100</f>
        <v>100</v>
      </c>
      <c r="I19" s="420"/>
      <c r="J19" s="413">
        <f>SUMIF(81:81,I20,82:82)-SUMIF(81:81,C20,82:82)+100</f>
        <v>100</v>
      </c>
      <c r="K19" s="575"/>
      <c r="L19" s="2954"/>
      <c r="M19" s="2948"/>
      <c r="N19" s="2948"/>
      <c r="O19" s="2948"/>
      <c r="P19" s="3407"/>
      <c r="Q19" s="1542" t="str">
        <f>B19</f>
        <v>公共配套设施</v>
      </c>
      <c r="R19" s="718" t="s">
        <v>17</v>
      </c>
      <c r="S19" s="719">
        <f>F19</f>
        <v>100</v>
      </c>
      <c r="T19" s="718" t="s">
        <v>17</v>
      </c>
      <c r="U19" s="719">
        <f>H19</f>
        <v>100</v>
      </c>
      <c r="V19" s="718" t="s">
        <v>17</v>
      </c>
      <c r="W19" s="719">
        <f>J19</f>
        <v>100</v>
      </c>
      <c r="X19" s="1545"/>
      <c r="Y19" s="3400"/>
      <c r="Z19" s="1546" t="str">
        <f>Q19</f>
        <v>公共配套设施</v>
      </c>
      <c r="AA19" s="1543">
        <f t="shared" si="3"/>
        <v>1</v>
      </c>
      <c r="AB19" s="1543">
        <f t="shared" si="4"/>
        <v>1</v>
      </c>
      <c r="AC19" s="2154">
        <f t="shared" si="5"/>
        <v>1</v>
      </c>
    </row>
    <row r="20" spans="1:29" ht="15">
      <c r="A20" s="391"/>
      <c r="B20" s="592"/>
      <c r="C20" s="2096"/>
      <c r="D20" s="411"/>
      <c r="E20" s="2089"/>
      <c r="F20" s="411"/>
      <c r="G20" s="2090"/>
      <c r="H20" s="411"/>
      <c r="I20" s="2090"/>
      <c r="J20" s="411"/>
      <c r="K20" s="576"/>
      <c r="L20" s="2954"/>
      <c r="M20" s="2948"/>
      <c r="N20" s="2948"/>
      <c r="O20" s="2948"/>
      <c r="P20" s="3407"/>
      <c r="Q20" s="1542"/>
      <c r="R20" s="718"/>
      <c r="S20" s="719"/>
      <c r="T20" s="718"/>
      <c r="U20" s="719"/>
      <c r="V20" s="718"/>
      <c r="W20" s="719"/>
      <c r="X20" s="1545"/>
      <c r="Y20" s="3400"/>
      <c r="Z20" s="1546"/>
      <c r="AA20" s="1543">
        <v>1</v>
      </c>
      <c r="AB20" s="1543">
        <v>1</v>
      </c>
      <c r="AC20" s="2154">
        <v>1</v>
      </c>
    </row>
    <row r="21" spans="1:29" ht="27.6">
      <c r="A21" s="391"/>
      <c r="B21" s="593" t="s">
        <v>2519</v>
      </c>
      <c r="C21" s="2155" t="str">
        <f>估价对象房地状况!C8</f>
        <v>估价对象所在区域基础设施水平</v>
      </c>
      <c r="D21" s="413">
        <v>100</v>
      </c>
      <c r="E21" s="422"/>
      <c r="F21" s="418">
        <f>SUMIF(83:83,E22,84:84)-SUMIF(83:83,C22,84:84)+100</f>
        <v>100</v>
      </c>
      <c r="G21" s="420"/>
      <c r="H21" s="413">
        <f>SUMIF(83:83,G22,84:84)-SUMIF(83:83,C22,84:84)+100</f>
        <v>100</v>
      </c>
      <c r="I21" s="420"/>
      <c r="J21" s="413">
        <f>SUMIF(83:83,I22,84:84)-SUMIF(83:83,C22,84:84)+100</f>
        <v>100</v>
      </c>
      <c r="K21" s="575"/>
      <c r="L21" s="2954"/>
      <c r="M21" s="2948"/>
      <c r="N21" s="2948"/>
      <c r="O21" s="2948"/>
      <c r="P21" s="3407"/>
      <c r="Q21" s="1542" t="str">
        <f>B21</f>
        <v>基础设施水平</v>
      </c>
      <c r="R21" s="718" t="s">
        <v>17</v>
      </c>
      <c r="S21" s="719">
        <f>F21</f>
        <v>100</v>
      </c>
      <c r="T21" s="718" t="s">
        <v>17</v>
      </c>
      <c r="U21" s="719">
        <f>H21</f>
        <v>100</v>
      </c>
      <c r="V21" s="718" t="s">
        <v>17</v>
      </c>
      <c r="W21" s="719">
        <f>J21</f>
        <v>100</v>
      </c>
      <c r="X21" s="1545"/>
      <c r="Y21" s="3400"/>
      <c r="Z21" s="1546" t="str">
        <f>Q21</f>
        <v>基础设施水平</v>
      </c>
      <c r="AA21" s="1543">
        <f t="shared" ref="AA21" si="8">D21/F21</f>
        <v>1</v>
      </c>
      <c r="AB21" s="1543">
        <f t="shared" ref="AB21" si="9">D21/H21</f>
        <v>1</v>
      </c>
      <c r="AC21" s="2154">
        <f t="shared" ref="AC21" si="10">D21/J21</f>
        <v>1</v>
      </c>
    </row>
    <row r="22" spans="1:29" ht="15">
      <c r="A22" s="391"/>
      <c r="B22" s="593"/>
      <c r="C22" s="2156"/>
      <c r="D22" s="411"/>
      <c r="E22" s="410"/>
      <c r="F22" s="411"/>
      <c r="G22" s="2096"/>
      <c r="H22" s="411"/>
      <c r="I22" s="2096"/>
      <c r="J22" s="411"/>
      <c r="K22" s="1296"/>
      <c r="L22" s="2954"/>
      <c r="M22" s="2948"/>
      <c r="N22" s="2948"/>
      <c r="O22" s="2948"/>
      <c r="P22" s="3407"/>
      <c r="Q22" s="1542"/>
      <c r="R22" s="718"/>
      <c r="S22" s="719"/>
      <c r="T22" s="718"/>
      <c r="U22" s="719"/>
      <c r="V22" s="718"/>
      <c r="W22" s="719"/>
      <c r="X22" s="1545"/>
      <c r="Y22" s="3400"/>
      <c r="Z22" s="1546"/>
      <c r="AA22" s="1543">
        <v>1</v>
      </c>
      <c r="AB22" s="1543">
        <v>1</v>
      </c>
      <c r="AC22" s="2154">
        <v>1</v>
      </c>
    </row>
    <row r="23" spans="1:29" ht="55.2">
      <c r="A23" s="391"/>
      <c r="B23" s="591" t="s">
        <v>2520</v>
      </c>
      <c r="C23" s="2155" t="str">
        <f>估价对象房地状况!C9</f>
        <v>区域自然环境：；人文环境；综合评价环境状况一般</v>
      </c>
      <c r="D23" s="413">
        <v>100</v>
      </c>
      <c r="E23" s="417"/>
      <c r="F23" s="413">
        <f>SUMIF(85:85,E24,86:86)-SUMIF(85:85,C24,86:86)+100</f>
        <v>100</v>
      </c>
      <c r="G23" s="415"/>
      <c r="H23" s="413">
        <f>SUMIF(85:85,G24,86:86)-SUMIF(85:85,C24,86:86)+100</f>
        <v>100</v>
      </c>
      <c r="I23" s="415"/>
      <c r="J23" s="413">
        <f>SUMIF(85:85,I24,86:86)-SUMIF(85:85,C24,86:86)+100</f>
        <v>100</v>
      </c>
      <c r="K23" s="575"/>
      <c r="L23" s="2954"/>
      <c r="M23" s="2948"/>
      <c r="N23" s="2948"/>
      <c r="O23" s="2948"/>
      <c r="P23" s="3407"/>
      <c r="Q23" s="1542" t="str">
        <f>B23</f>
        <v>环境质量</v>
      </c>
      <c r="R23" s="718" t="s">
        <v>17</v>
      </c>
      <c r="S23" s="719">
        <f>F23</f>
        <v>100</v>
      </c>
      <c r="T23" s="718" t="s">
        <v>17</v>
      </c>
      <c r="U23" s="719">
        <f>H23</f>
        <v>100</v>
      </c>
      <c r="V23" s="718" t="s">
        <v>17</v>
      </c>
      <c r="W23" s="719">
        <f>J23</f>
        <v>100</v>
      </c>
      <c r="X23" s="1545"/>
      <c r="Y23" s="3400"/>
      <c r="Z23" s="1546" t="str">
        <f>Q23</f>
        <v>环境质量</v>
      </c>
      <c r="AA23" s="1543">
        <f t="shared" si="3"/>
        <v>1</v>
      </c>
      <c r="AB23" s="1543">
        <f t="shared" si="4"/>
        <v>1</v>
      </c>
      <c r="AC23" s="2154">
        <f t="shared" si="5"/>
        <v>1</v>
      </c>
    </row>
    <row r="24" spans="1:29" ht="15">
      <c r="A24" s="391"/>
      <c r="B24" s="593"/>
      <c r="C24" s="2096"/>
      <c r="D24" s="411"/>
      <c r="E24" s="2089"/>
      <c r="F24" s="411"/>
      <c r="G24" s="2090"/>
      <c r="H24" s="411"/>
      <c r="I24" s="2090"/>
      <c r="J24" s="411"/>
      <c r="K24" s="576"/>
      <c r="L24" s="2954"/>
      <c r="M24" s="2948"/>
      <c r="N24" s="2948"/>
      <c r="O24" s="2948"/>
      <c r="P24" s="3407"/>
      <c r="Q24" s="1542"/>
      <c r="R24" s="718"/>
      <c r="S24" s="719"/>
      <c r="T24" s="718"/>
      <c r="U24" s="719"/>
      <c r="V24" s="718"/>
      <c r="W24" s="719"/>
      <c r="X24" s="1545"/>
      <c r="Y24" s="3400"/>
      <c r="Z24" s="1546"/>
      <c r="AA24" s="1543">
        <v>1</v>
      </c>
      <c r="AB24" s="1543">
        <v>1</v>
      </c>
      <c r="AC24" s="2154">
        <v>1</v>
      </c>
    </row>
    <row r="25" spans="1:29" ht="28.8">
      <c r="A25" s="368"/>
      <c r="B25" s="591" t="s">
        <v>2521</v>
      </c>
      <c r="C25" s="2100"/>
      <c r="D25" s="398">
        <v>100</v>
      </c>
      <c r="E25" s="397"/>
      <c r="F25" s="398">
        <f>SUMIF(87:87,E26,88:88)-SUMIF(87:87,C26,88:88)+100</f>
        <v>100</v>
      </c>
      <c r="G25" s="2100"/>
      <c r="H25" s="398">
        <f>SUMIF(87:87,G26,88:88)-SUMIF(87:87,C26,88:88)+100</f>
        <v>100</v>
      </c>
      <c r="I25" s="397"/>
      <c r="J25" s="398">
        <f>SUMIF(87:87,I26,88:88)-SUMIF(87:87,C26,88:88)+100</f>
        <v>100</v>
      </c>
      <c r="K25" s="575"/>
      <c r="L25" s="2954"/>
      <c r="M25" s="2948"/>
      <c r="N25" s="2948"/>
      <c r="O25" s="2948"/>
      <c r="P25" s="3407"/>
      <c r="Q25" s="1542" t="str">
        <f>B25</f>
        <v>毗邻道路的类型与等级</v>
      </c>
      <c r="R25" s="718" t="s">
        <v>17</v>
      </c>
      <c r="S25" s="719">
        <f>F25</f>
        <v>100</v>
      </c>
      <c r="T25" s="718" t="s">
        <v>17</v>
      </c>
      <c r="U25" s="719">
        <f>H25</f>
        <v>100</v>
      </c>
      <c r="V25" s="718" t="s">
        <v>17</v>
      </c>
      <c r="W25" s="719">
        <f>J25</f>
        <v>100</v>
      </c>
      <c r="X25" s="1545"/>
      <c r="Y25" s="3400"/>
      <c r="Z25" s="1546" t="str">
        <f>Q25</f>
        <v>毗邻道路的类型与等级</v>
      </c>
      <c r="AA25" s="1543">
        <f t="shared" si="3"/>
        <v>1</v>
      </c>
      <c r="AB25" s="1543">
        <f t="shared" si="4"/>
        <v>1</v>
      </c>
      <c r="AC25" s="2154">
        <f t="shared" si="5"/>
        <v>1</v>
      </c>
    </row>
    <row r="26" spans="1:29" ht="15">
      <c r="A26" s="368"/>
      <c r="B26" s="592"/>
      <c r="C26" s="594"/>
      <c r="D26" s="398"/>
      <c r="E26" s="577"/>
      <c r="F26" s="398"/>
      <c r="G26" s="594"/>
      <c r="H26" s="398"/>
      <c r="I26" s="577"/>
      <c r="J26" s="398"/>
      <c r="K26" s="576"/>
      <c r="L26" s="2954"/>
      <c r="M26" s="2948"/>
      <c r="N26" s="2948"/>
      <c r="O26" s="2948"/>
      <c r="P26" s="3407"/>
      <c r="Q26" s="1542"/>
      <c r="R26" s="718"/>
      <c r="S26" s="719"/>
      <c r="T26" s="718"/>
      <c r="U26" s="719"/>
      <c r="V26" s="718"/>
      <c r="W26" s="719"/>
      <c r="X26" s="1545"/>
      <c r="Y26" s="3400"/>
      <c r="Z26" s="1546"/>
      <c r="AA26" s="1543">
        <v>1</v>
      </c>
      <c r="AB26" s="1543">
        <v>1</v>
      </c>
      <c r="AC26" s="2154">
        <v>1</v>
      </c>
    </row>
    <row r="27" spans="1:29" ht="15">
      <c r="A27" s="391"/>
      <c r="B27" s="592" t="s">
        <v>2489</v>
      </c>
      <c r="C27" s="594"/>
      <c r="D27" s="398">
        <v>100</v>
      </c>
      <c r="E27" s="577"/>
      <c r="F27" s="398">
        <f>SUMIF(89:89,E27,90:90)-SUMIF(89:89,C27,90:90)+100</f>
        <v>100</v>
      </c>
      <c r="G27" s="594"/>
      <c r="H27" s="398">
        <f>SUMIF(89:89,G27,90:90)-SUMIF(89:89,C27,90:90)+100</f>
        <v>100</v>
      </c>
      <c r="I27" s="577"/>
      <c r="J27" s="398">
        <f>SUMIF(89:89,I27,90:90)-SUMIF(89:89,C27,90:90)+100</f>
        <v>100</v>
      </c>
      <c r="K27" s="573"/>
      <c r="L27" s="2954"/>
      <c r="M27" s="2948"/>
      <c r="N27" s="2948"/>
      <c r="O27" s="2948"/>
      <c r="P27" s="3407"/>
      <c r="Q27" s="1542" t="str">
        <f t="shared" ref="Q27:Q47" si="11">B27</f>
        <v>楼层</v>
      </c>
      <c r="R27" s="718" t="s">
        <v>17</v>
      </c>
      <c r="S27" s="719">
        <f>F27</f>
        <v>100</v>
      </c>
      <c r="T27" s="718" t="s">
        <v>17</v>
      </c>
      <c r="U27" s="719">
        <f>H27</f>
        <v>100</v>
      </c>
      <c r="V27" s="718" t="s">
        <v>17</v>
      </c>
      <c r="W27" s="719">
        <f>J27</f>
        <v>100</v>
      </c>
      <c r="X27" s="1545"/>
      <c r="Y27" s="3400"/>
      <c r="Z27" s="1546" t="str">
        <f>Q27</f>
        <v>楼层</v>
      </c>
      <c r="AA27" s="1543">
        <f t="shared" si="3"/>
        <v>1</v>
      </c>
      <c r="AB27" s="1543">
        <f t="shared" si="4"/>
        <v>1</v>
      </c>
      <c r="AC27" s="2154">
        <f t="shared" si="5"/>
        <v>1</v>
      </c>
    </row>
    <row r="28" spans="1:29" s="117" customFormat="1" ht="15">
      <c r="A28" s="394"/>
      <c r="B28" s="591" t="s">
        <v>2522</v>
      </c>
      <c r="C28" s="2157"/>
      <c r="D28" s="425">
        <v>100</v>
      </c>
      <c r="E28" s="2148"/>
      <c r="F28" s="425">
        <f>SUMIF(91:91,E28,92:92)-SUMIF(91:91,C28,92:92)+100</f>
        <v>100</v>
      </c>
      <c r="G28" s="2157"/>
      <c r="H28" s="425">
        <f>SUMIF(91:91,G28,92:92)-SUMIF(91:91,C28,92:92)+100</f>
        <v>100</v>
      </c>
      <c r="I28" s="2148"/>
      <c r="J28" s="425">
        <f>SUMIF(91:91,I28,92:92)-SUMIF(91:91,C28,92:92)+100</f>
        <v>100</v>
      </c>
      <c r="K28" s="573"/>
      <c r="L28" s="2949"/>
      <c r="M28" s="2950"/>
      <c r="N28" s="2950"/>
      <c r="O28" s="2950"/>
      <c r="P28" s="3407"/>
      <c r="Q28" s="1533" t="str">
        <f t="shared" si="11"/>
        <v>朝向</v>
      </c>
      <c r="R28" s="714" t="s">
        <v>17</v>
      </c>
      <c r="S28" s="715">
        <f>F28</f>
        <v>100</v>
      </c>
      <c r="T28" s="714" t="s">
        <v>17</v>
      </c>
      <c r="U28" s="715">
        <f>H28</f>
        <v>100</v>
      </c>
      <c r="V28" s="714" t="s">
        <v>17</v>
      </c>
      <c r="W28" s="715">
        <f>J28</f>
        <v>100</v>
      </c>
      <c r="X28" s="716"/>
      <c r="Y28" s="3400"/>
      <c r="Z28" s="55" t="str">
        <f>Q28</f>
        <v>朝向</v>
      </c>
      <c r="AA28" s="1543">
        <f>D28/F28</f>
        <v>1</v>
      </c>
      <c r="AB28" s="1543">
        <f>D28/H28</f>
        <v>1</v>
      </c>
      <c r="AC28" s="2154">
        <f>D28/J28</f>
        <v>1</v>
      </c>
    </row>
    <row r="29" spans="1:29" ht="15">
      <c r="A29" s="391"/>
      <c r="B29" s="2158">
        <v>111</v>
      </c>
      <c r="C29" s="2100"/>
      <c r="D29" s="398">
        <v>100</v>
      </c>
      <c r="E29" s="395"/>
      <c r="F29" s="398">
        <f>SUMIF(93:93,E29,94:94)-SUMIF(93:93,C29,94:94)+100</f>
        <v>100</v>
      </c>
      <c r="G29" s="2152"/>
      <c r="H29" s="398">
        <f>SUMIF(93:93,G29,94:94)-SUMIF(93:93,C29,94:94)+100</f>
        <v>100</v>
      </c>
      <c r="I29" s="395"/>
      <c r="J29" s="398">
        <f>SUMIF(93:93,I29,94:94)-SUMIF(93:93,C29,94:94)+100</f>
        <v>100</v>
      </c>
      <c r="K29" s="574"/>
      <c r="L29" s="2954"/>
      <c r="M29" s="2948"/>
      <c r="N29" s="2948"/>
      <c r="O29" s="2948"/>
      <c r="P29" s="3407"/>
      <c r="Q29" s="1542">
        <f t="shared" si="11"/>
        <v>111</v>
      </c>
      <c r="R29" s="718" t="s">
        <v>17</v>
      </c>
      <c r="S29" s="719">
        <f t="shared" ref="S29:S47" si="12">F29</f>
        <v>100</v>
      </c>
      <c r="T29" s="718" t="s">
        <v>17</v>
      </c>
      <c r="U29" s="719">
        <f t="shared" ref="U29:U47" si="13">H29</f>
        <v>100</v>
      </c>
      <c r="V29" s="718" t="s">
        <v>17</v>
      </c>
      <c r="W29" s="719">
        <f t="shared" ref="W29:W47" si="14">J29</f>
        <v>100</v>
      </c>
      <c r="X29" s="1545"/>
      <c r="Y29" s="3400"/>
      <c r="Z29" s="1546">
        <f t="shared" ref="Z29:Z47" si="15">Q29</f>
        <v>111</v>
      </c>
      <c r="AA29" s="1543">
        <f t="shared" si="3"/>
        <v>1</v>
      </c>
      <c r="AB29" s="1543">
        <f t="shared" si="4"/>
        <v>1</v>
      </c>
      <c r="AC29" s="2154">
        <f t="shared" si="5"/>
        <v>1</v>
      </c>
    </row>
    <row r="30" spans="1:29" ht="15">
      <c r="A30" s="391"/>
      <c r="B30" s="2158">
        <v>111</v>
      </c>
      <c r="C30" s="2100"/>
      <c r="D30" s="398">
        <v>100</v>
      </c>
      <c r="E30" s="395"/>
      <c r="F30" s="398">
        <f>SUMIF(95:95,E30,96:96)-SUMIF(95:95,C30,96:96)+100</f>
        <v>100</v>
      </c>
      <c r="G30" s="2152"/>
      <c r="H30" s="398">
        <f>SUMIF(95:95,G30,96:96)-SUMIF(95:95,C30,96:96)+100</f>
        <v>100</v>
      </c>
      <c r="I30" s="395"/>
      <c r="J30" s="398">
        <f>SUMIF(95:95,I30,96:96)-SUMIF(95:95,C30,96:96)+100</f>
        <v>100</v>
      </c>
      <c r="K30" s="574"/>
      <c r="L30" s="2954"/>
      <c r="M30" s="2948"/>
      <c r="N30" s="2948"/>
      <c r="O30" s="2948"/>
      <c r="P30" s="3407"/>
      <c r="Q30" s="1542">
        <f t="shared" si="11"/>
        <v>111</v>
      </c>
      <c r="R30" s="718" t="s">
        <v>17</v>
      </c>
      <c r="S30" s="719">
        <f t="shared" si="12"/>
        <v>100</v>
      </c>
      <c r="T30" s="718" t="s">
        <v>17</v>
      </c>
      <c r="U30" s="719">
        <f t="shared" si="13"/>
        <v>100</v>
      </c>
      <c r="V30" s="718" t="s">
        <v>17</v>
      </c>
      <c r="W30" s="719">
        <f t="shared" si="14"/>
        <v>100</v>
      </c>
      <c r="X30" s="1545"/>
      <c r="Y30" s="3400"/>
      <c r="Z30" s="1546">
        <f t="shared" si="15"/>
        <v>111</v>
      </c>
      <c r="AA30" s="1543">
        <f t="shared" si="3"/>
        <v>1</v>
      </c>
      <c r="AB30" s="1543">
        <f t="shared" si="4"/>
        <v>1</v>
      </c>
      <c r="AC30" s="2154">
        <f t="shared" si="5"/>
        <v>1</v>
      </c>
    </row>
    <row r="31" spans="1:29" ht="15">
      <c r="A31" s="391"/>
      <c r="B31" s="2158">
        <v>111</v>
      </c>
      <c r="C31" s="2100"/>
      <c r="D31" s="398">
        <v>100</v>
      </c>
      <c r="E31" s="395"/>
      <c r="F31" s="398">
        <f>SUMIF(97:97,E31,98:98)-SUMIF(97:97,C31,98:98)+100</f>
        <v>100</v>
      </c>
      <c r="G31" s="2152"/>
      <c r="H31" s="398">
        <f>SUMIF(97:97,G31,98:98)-SUMIF(97:97,C31,98:98)+100</f>
        <v>100</v>
      </c>
      <c r="I31" s="395"/>
      <c r="J31" s="398">
        <f>SUMIF(97:97,I31,98:98)-SUMIF(97:97,C31,98:98)+100</f>
        <v>100</v>
      </c>
      <c r="K31" s="574"/>
      <c r="L31" s="2954"/>
      <c r="M31" s="2948"/>
      <c r="N31" s="2948"/>
      <c r="O31" s="2948"/>
      <c r="P31" s="3407"/>
      <c r="Q31" s="1542">
        <f t="shared" si="11"/>
        <v>111</v>
      </c>
      <c r="R31" s="718" t="s">
        <v>17</v>
      </c>
      <c r="S31" s="719">
        <f t="shared" si="12"/>
        <v>100</v>
      </c>
      <c r="T31" s="718" t="s">
        <v>17</v>
      </c>
      <c r="U31" s="719">
        <f t="shared" si="13"/>
        <v>100</v>
      </c>
      <c r="V31" s="718" t="s">
        <v>17</v>
      </c>
      <c r="W31" s="719">
        <f t="shared" si="14"/>
        <v>100</v>
      </c>
      <c r="X31" s="1545"/>
      <c r="Y31" s="3400"/>
      <c r="Z31" s="1546">
        <f t="shared" si="15"/>
        <v>111</v>
      </c>
      <c r="AA31" s="1543">
        <f t="shared" si="3"/>
        <v>1</v>
      </c>
      <c r="AB31" s="1543">
        <f t="shared" si="4"/>
        <v>1</v>
      </c>
      <c r="AC31" s="2154">
        <f t="shared" si="5"/>
        <v>1</v>
      </c>
    </row>
    <row r="32" spans="1:29" ht="15.6" thickBot="1">
      <c r="A32" s="399"/>
      <c r="B32" s="595">
        <v>111</v>
      </c>
      <c r="C32" s="2101"/>
      <c r="D32" s="401">
        <v>100</v>
      </c>
      <c r="E32" s="588"/>
      <c r="F32" s="401">
        <f>SUMIF(99:99,E32,100:100)-SUMIF(99:99,C32,100:100)+100</f>
        <v>100</v>
      </c>
      <c r="G32" s="2152"/>
      <c r="H32" s="401">
        <f>SUMIF(99:99,G32,100:100)-SUMIF(99:99,C32,100:100)+100</f>
        <v>100</v>
      </c>
      <c r="I32" s="395"/>
      <c r="J32" s="401">
        <f>SUMIF(99:99,I32,100:100)-SUMIF(99:99,C32,100:100)+100</f>
        <v>100</v>
      </c>
      <c r="K32" s="574"/>
      <c r="L32" s="2954"/>
      <c r="M32" s="2948"/>
      <c r="N32" s="2948"/>
      <c r="O32" s="2948"/>
      <c r="P32" s="3407"/>
      <c r="Q32" s="1542">
        <f t="shared" si="11"/>
        <v>111</v>
      </c>
      <c r="R32" s="718" t="s">
        <v>17</v>
      </c>
      <c r="S32" s="719">
        <f t="shared" si="12"/>
        <v>100</v>
      </c>
      <c r="T32" s="718" t="s">
        <v>17</v>
      </c>
      <c r="U32" s="719">
        <f t="shared" si="13"/>
        <v>100</v>
      </c>
      <c r="V32" s="718" t="s">
        <v>17</v>
      </c>
      <c r="W32" s="719">
        <f t="shared" si="14"/>
        <v>100</v>
      </c>
      <c r="X32" s="1545"/>
      <c r="Y32" s="3400"/>
      <c r="Z32" s="1546">
        <f t="shared" si="15"/>
        <v>111</v>
      </c>
      <c r="AA32" s="1543">
        <f t="shared" si="3"/>
        <v>1</v>
      </c>
      <c r="AB32" s="1543">
        <f t="shared" si="4"/>
        <v>1</v>
      </c>
      <c r="AC32" s="2154">
        <f t="shared" si="5"/>
        <v>1</v>
      </c>
    </row>
    <row r="33" spans="1:29" ht="15">
      <c r="A33" s="403" t="s">
        <v>2393</v>
      </c>
      <c r="B33" s="71" t="s">
        <v>2523</v>
      </c>
      <c r="C33" s="2159"/>
      <c r="D33" s="430">
        <v>100</v>
      </c>
      <c r="E33" s="2159"/>
      <c r="F33" s="424">
        <f>SUMIF(101:101,E33,102:102)-SUMIF(101:101,C33,102:102)+100</f>
        <v>100</v>
      </c>
      <c r="G33" s="2159"/>
      <c r="H33" s="398">
        <f>SUMIF(101:101,G33,102:102)-SUMIF(101:101,C33,102:102)+100</f>
        <v>100</v>
      </c>
      <c r="I33" s="2159"/>
      <c r="J33" s="430">
        <f>SUMIF(101:101,I33,102:102)-SUMIF(101:101,C33,102:102)+100</f>
        <v>100</v>
      </c>
      <c r="K33" s="573"/>
      <c r="L33" s="2954"/>
      <c r="M33" s="2948"/>
      <c r="N33" s="2948"/>
      <c r="O33" s="2948"/>
      <c r="P33" s="3401" t="s">
        <v>2395</v>
      </c>
      <c r="Q33" s="1542" t="str">
        <f t="shared" si="11"/>
        <v>建筑类型</v>
      </c>
      <c r="R33" s="718" t="s">
        <v>17</v>
      </c>
      <c r="S33" s="719">
        <f t="shared" si="12"/>
        <v>100</v>
      </c>
      <c r="T33" s="718" t="s">
        <v>17</v>
      </c>
      <c r="U33" s="719">
        <f t="shared" si="13"/>
        <v>100</v>
      </c>
      <c r="V33" s="718" t="s">
        <v>17</v>
      </c>
      <c r="W33" s="719">
        <f t="shared" si="14"/>
        <v>100</v>
      </c>
      <c r="X33" s="1545"/>
      <c r="Y33" s="3404" t="s">
        <v>2395</v>
      </c>
      <c r="Z33" s="1546" t="str">
        <f t="shared" si="15"/>
        <v>建筑类型</v>
      </c>
      <c r="AA33" s="1543">
        <f t="shared" si="3"/>
        <v>1</v>
      </c>
      <c r="AB33" s="1543">
        <f t="shared" si="4"/>
        <v>1</v>
      </c>
      <c r="AC33" s="2154">
        <f t="shared" si="5"/>
        <v>1</v>
      </c>
    </row>
    <row r="34" spans="1:29" s="434" customFormat="1" ht="15">
      <c r="A34" s="431"/>
      <c r="B34" s="385" t="s">
        <v>2396</v>
      </c>
      <c r="C34" s="432"/>
      <c r="D34" s="136">
        <v>100</v>
      </c>
      <c r="E34" s="393"/>
      <c r="F34" s="388" t="e">
        <f>LOOKUP(E34,104:104,105:105)-LOOKUP(C34,104:104,105:105)+100</f>
        <v>#N/A</v>
      </c>
      <c r="G34" s="392"/>
      <c r="H34" s="136" t="e">
        <f>LOOKUP(G34,104:104,105:105)-LOOKUP(C34,104:104,105:105)+100</f>
        <v>#N/A</v>
      </c>
      <c r="I34" s="392"/>
      <c r="J34" s="136" t="e">
        <f>LOOKUP(I34,104:104,105:105)-LOOKUP(C34,104:104,105:105)+100</f>
        <v>#N/A</v>
      </c>
      <c r="K34" s="574"/>
      <c r="L34" s="2953"/>
      <c r="M34" s="2955"/>
      <c r="N34" s="2955"/>
      <c r="O34" s="2955"/>
      <c r="P34" s="3402"/>
      <c r="Q34" s="720" t="str">
        <f t="shared" si="11"/>
        <v>项目建筑规模</v>
      </c>
      <c r="R34" s="721" t="s">
        <v>17</v>
      </c>
      <c r="S34" s="722" t="e">
        <f t="shared" si="12"/>
        <v>#N/A</v>
      </c>
      <c r="T34" s="721" t="s">
        <v>17</v>
      </c>
      <c r="U34" s="722" t="e">
        <f t="shared" si="13"/>
        <v>#N/A</v>
      </c>
      <c r="V34" s="721" t="s">
        <v>17</v>
      </c>
      <c r="W34" s="722" t="e">
        <f t="shared" si="14"/>
        <v>#N/A</v>
      </c>
      <c r="X34" s="723"/>
      <c r="Y34" s="3404"/>
      <c r="Z34" s="724" t="str">
        <f t="shared" si="15"/>
        <v>项目建筑规模</v>
      </c>
      <c r="AA34" s="1543" t="e">
        <f t="shared" si="3"/>
        <v>#N/A</v>
      </c>
      <c r="AB34" s="1543" t="e">
        <f t="shared" si="4"/>
        <v>#N/A</v>
      </c>
      <c r="AC34" s="2154" t="e">
        <f t="shared" si="5"/>
        <v>#N/A</v>
      </c>
    </row>
    <row r="35" spans="1:29" ht="15">
      <c r="A35" s="435"/>
      <c r="B35" s="385" t="s">
        <v>2397</v>
      </c>
      <c r="C35" s="423"/>
      <c r="D35" s="398">
        <v>100</v>
      </c>
      <c r="E35" s="423"/>
      <c r="F35" s="424">
        <f>SUMIF(106:106,E35,107:107)-SUMIF(106:106,C35,107:107)+100</f>
        <v>100</v>
      </c>
      <c r="G35" s="423"/>
      <c r="H35" s="398">
        <f>SUMIF(106:106,G35,107:107)-SUMIF(106:106,C35,107:107)+100</f>
        <v>100</v>
      </c>
      <c r="I35" s="423"/>
      <c r="J35" s="398">
        <f>SUMIF(106:106,I35,107:107)-SUMIF(106:106,C35,107:107)+100</f>
        <v>100</v>
      </c>
      <c r="K35" s="573"/>
      <c r="L35" s="2954"/>
      <c r="M35" s="2948"/>
      <c r="N35" s="2948"/>
      <c r="O35" s="2948"/>
      <c r="P35" s="3402"/>
      <c r="Q35" s="1542" t="str">
        <f t="shared" si="11"/>
        <v>建筑结构</v>
      </c>
      <c r="R35" s="718" t="s">
        <v>17</v>
      </c>
      <c r="S35" s="719">
        <f t="shared" si="12"/>
        <v>100</v>
      </c>
      <c r="T35" s="718" t="s">
        <v>17</v>
      </c>
      <c r="U35" s="719">
        <f t="shared" si="13"/>
        <v>100</v>
      </c>
      <c r="V35" s="718" t="s">
        <v>17</v>
      </c>
      <c r="W35" s="719">
        <f t="shared" si="14"/>
        <v>100</v>
      </c>
      <c r="X35" s="1545"/>
      <c r="Y35" s="3404"/>
      <c r="Z35" s="1546" t="str">
        <f t="shared" si="15"/>
        <v>建筑结构</v>
      </c>
      <c r="AA35" s="1543">
        <f t="shared" si="3"/>
        <v>1</v>
      </c>
      <c r="AB35" s="1543">
        <f t="shared" si="4"/>
        <v>1</v>
      </c>
      <c r="AC35" s="2154">
        <f t="shared" si="5"/>
        <v>1</v>
      </c>
    </row>
    <row r="36" spans="1:29" ht="15">
      <c r="A36" s="435"/>
      <c r="B36" s="385" t="s">
        <v>2491</v>
      </c>
      <c r="C36" s="423"/>
      <c r="D36" s="398">
        <v>100</v>
      </c>
      <c r="E36" s="423"/>
      <c r="F36" s="424">
        <f>SUMIF(108:108,E36,109:109)-SUMIF(108:108,C36,109:109)+100</f>
        <v>100</v>
      </c>
      <c r="G36" s="423"/>
      <c r="H36" s="398">
        <f>SUMIF(108:108,G36,109:109)-SUMIF(108:108,C36,109:109)+100</f>
        <v>100</v>
      </c>
      <c r="I36" s="423"/>
      <c r="J36" s="398">
        <f>SUMIF(108:108,I36,109:109)-SUMIF(108:108,C36,109:109)+100</f>
        <v>100</v>
      </c>
      <c r="K36" s="573"/>
      <c r="L36" s="2954"/>
      <c r="M36" s="2948"/>
      <c r="N36" s="2948"/>
      <c r="O36" s="2948"/>
      <c r="P36" s="3402"/>
      <c r="Q36" s="1542" t="str">
        <f t="shared" si="11"/>
        <v>公共部分装修</v>
      </c>
      <c r="R36" s="718" t="s">
        <v>17</v>
      </c>
      <c r="S36" s="719">
        <f t="shared" si="12"/>
        <v>100</v>
      </c>
      <c r="T36" s="718" t="s">
        <v>17</v>
      </c>
      <c r="U36" s="719">
        <f t="shared" si="13"/>
        <v>100</v>
      </c>
      <c r="V36" s="718" t="s">
        <v>17</v>
      </c>
      <c r="W36" s="719">
        <f t="shared" si="14"/>
        <v>100</v>
      </c>
      <c r="X36" s="1545"/>
      <c r="Y36" s="3404"/>
      <c r="Z36" s="1546" t="str">
        <f t="shared" si="15"/>
        <v>公共部分装修</v>
      </c>
      <c r="AA36" s="1543">
        <f t="shared" si="3"/>
        <v>1</v>
      </c>
      <c r="AB36" s="1543">
        <f t="shared" si="4"/>
        <v>1</v>
      </c>
      <c r="AC36" s="2154">
        <f t="shared" si="5"/>
        <v>1</v>
      </c>
    </row>
    <row r="37" spans="1:29" ht="15">
      <c r="A37" s="435"/>
      <c r="B37" s="385" t="s">
        <v>2492</v>
      </c>
      <c r="C37" s="437"/>
      <c r="D37" s="398">
        <v>100</v>
      </c>
      <c r="E37" s="437"/>
      <c r="F37" s="424" t="e">
        <f>LOOKUP(E37,111:111,112:112)-LOOKUP(C37,111:111,112:112)+100</f>
        <v>#N/A</v>
      </c>
      <c r="G37" s="437"/>
      <c r="H37" s="424" t="e">
        <f>LOOKUP(G37,111:111,112:112)-LOOKUP(C37,111:111,112:112)+100</f>
        <v>#N/A</v>
      </c>
      <c r="I37" s="437"/>
      <c r="J37" s="398" t="e">
        <f>LOOKUP(I37,111:111,112:112)-LOOKUP(C37,111:111,112:112)+100</f>
        <v>#N/A</v>
      </c>
      <c r="K37" s="573"/>
      <c r="L37" s="2954"/>
      <c r="M37" s="2948"/>
      <c r="N37" s="2948"/>
      <c r="O37" s="2948"/>
      <c r="P37" s="3402"/>
      <c r="Q37" s="1542" t="str">
        <f t="shared" si="11"/>
        <v>成新度</v>
      </c>
      <c r="R37" s="718" t="s">
        <v>17</v>
      </c>
      <c r="S37" s="719" t="e">
        <f t="shared" si="12"/>
        <v>#N/A</v>
      </c>
      <c r="T37" s="718" t="s">
        <v>17</v>
      </c>
      <c r="U37" s="719" t="e">
        <f t="shared" si="13"/>
        <v>#N/A</v>
      </c>
      <c r="V37" s="718" t="s">
        <v>17</v>
      </c>
      <c r="W37" s="719" t="e">
        <f t="shared" si="14"/>
        <v>#N/A</v>
      </c>
      <c r="X37" s="1545"/>
      <c r="Y37" s="3404"/>
      <c r="Z37" s="1546" t="str">
        <f t="shared" si="15"/>
        <v>成新度</v>
      </c>
      <c r="AA37" s="1543" t="e">
        <f t="shared" si="3"/>
        <v>#N/A</v>
      </c>
      <c r="AB37" s="1543" t="e">
        <f t="shared" si="4"/>
        <v>#N/A</v>
      </c>
      <c r="AC37" s="2154" t="e">
        <f t="shared" si="5"/>
        <v>#N/A</v>
      </c>
    </row>
    <row r="38" spans="1:29" s="117" customFormat="1" ht="15">
      <c r="A38" s="436"/>
      <c r="B38" s="385" t="s">
        <v>2524</v>
      </c>
      <c r="C38" s="423"/>
      <c r="D38" s="136">
        <v>100</v>
      </c>
      <c r="E38" s="423"/>
      <c r="F38" s="424">
        <f>SUMIF(113:113,E38,114:114)-SUMIF(113:113,C38,114:114)+100</f>
        <v>100</v>
      </c>
      <c r="G38" s="423"/>
      <c r="H38" s="398">
        <f>SUMIF(113:113,G38,114:114)-SUMIF(113:113,C38,114:114)+100</f>
        <v>100</v>
      </c>
      <c r="I38" s="423"/>
      <c r="J38" s="398">
        <f>SUMIF(113:113,I38,114:114)-SUMIF(113:113,C38,114:114)+100</f>
        <v>100</v>
      </c>
      <c r="K38" s="573"/>
      <c r="L38" s="2949"/>
      <c r="M38" s="2950"/>
      <c r="N38" s="2950"/>
      <c r="O38" s="2950"/>
      <c r="P38" s="3402"/>
      <c r="Q38" s="1533" t="str">
        <f t="shared" si="11"/>
        <v>写字楼等级</v>
      </c>
      <c r="R38" s="714" t="s">
        <v>17</v>
      </c>
      <c r="S38" s="715">
        <f t="shared" si="12"/>
        <v>100</v>
      </c>
      <c r="T38" s="714" t="s">
        <v>17</v>
      </c>
      <c r="U38" s="715">
        <f t="shared" si="13"/>
        <v>100</v>
      </c>
      <c r="V38" s="714" t="s">
        <v>17</v>
      </c>
      <c r="W38" s="715">
        <f t="shared" si="14"/>
        <v>100</v>
      </c>
      <c r="X38" s="716"/>
      <c r="Y38" s="3404"/>
      <c r="Z38" s="55" t="str">
        <f t="shared" si="15"/>
        <v>写字楼等级</v>
      </c>
      <c r="AA38" s="717">
        <f t="shared" si="3"/>
        <v>1</v>
      </c>
      <c r="AB38" s="717">
        <f t="shared" si="4"/>
        <v>1</v>
      </c>
      <c r="AC38" s="2151">
        <f t="shared" si="5"/>
        <v>1</v>
      </c>
    </row>
    <row r="39" spans="1:29" ht="15">
      <c r="A39" s="435"/>
      <c r="B39" s="385" t="s">
        <v>2525</v>
      </c>
      <c r="C39" s="423"/>
      <c r="D39" s="398">
        <v>100</v>
      </c>
      <c r="E39" s="423"/>
      <c r="F39" s="424">
        <f>SUMIF(115:115,E39,116:116)-SUMIF(115:115,C39,116:116)+100</f>
        <v>100</v>
      </c>
      <c r="G39" s="423"/>
      <c r="H39" s="398">
        <f>SUMIF(115:115,G39,116:116)-SUMIF(115:115,C39,116:116)+100</f>
        <v>100</v>
      </c>
      <c r="I39" s="423"/>
      <c r="J39" s="398">
        <f>SUMIF(115:115,I39,116:116)-SUMIF(115:115,C39,116:116)+100</f>
        <v>100</v>
      </c>
      <c r="K39" s="573"/>
      <c r="L39" s="2954"/>
      <c r="M39" s="2948"/>
      <c r="N39" s="2948"/>
      <c r="O39" s="2948"/>
      <c r="P39" s="3402" t="s">
        <v>2395</v>
      </c>
      <c r="Q39" s="1542" t="str">
        <f t="shared" si="11"/>
        <v>物业管理</v>
      </c>
      <c r="R39" s="718" t="s">
        <v>17</v>
      </c>
      <c r="S39" s="719">
        <f t="shared" si="12"/>
        <v>100</v>
      </c>
      <c r="T39" s="718" t="s">
        <v>17</v>
      </c>
      <c r="U39" s="719">
        <f t="shared" si="13"/>
        <v>100</v>
      </c>
      <c r="V39" s="718" t="s">
        <v>17</v>
      </c>
      <c r="W39" s="719">
        <f t="shared" si="14"/>
        <v>100</v>
      </c>
      <c r="X39" s="1545"/>
      <c r="Y39" s="3404" t="s">
        <v>2395</v>
      </c>
      <c r="Z39" s="1546" t="str">
        <f t="shared" si="15"/>
        <v>物业管理</v>
      </c>
      <c r="AA39" s="1543">
        <f t="shared" si="3"/>
        <v>1</v>
      </c>
      <c r="AB39" s="1543">
        <f t="shared" si="4"/>
        <v>1</v>
      </c>
      <c r="AC39" s="2154">
        <f t="shared" si="5"/>
        <v>1</v>
      </c>
    </row>
    <row r="40" spans="1:29" ht="15">
      <c r="A40" s="435"/>
      <c r="B40" s="385" t="s">
        <v>2493</v>
      </c>
      <c r="C40" s="423"/>
      <c r="D40" s="398">
        <v>100</v>
      </c>
      <c r="E40" s="423"/>
      <c r="F40" s="424">
        <f>SUMIF(117:117,E40,118:118)-SUMIF(117:117,C40,118:118)+100</f>
        <v>100</v>
      </c>
      <c r="G40" s="423"/>
      <c r="H40" s="398">
        <f>SUMIF(117:117,G40,118:118)-SUMIF(117:117,C40,118:118)+100</f>
        <v>100</v>
      </c>
      <c r="I40" s="423"/>
      <c r="J40" s="398">
        <f>SUMIF(117:117,I40,118:118)-SUMIF(117:117,C40,118:118)+100</f>
        <v>100</v>
      </c>
      <c r="K40" s="573"/>
      <c r="L40" s="2954"/>
      <c r="M40" s="2948"/>
      <c r="N40" s="2948"/>
      <c r="O40" s="2948"/>
      <c r="P40" s="3402"/>
      <c r="Q40" s="1542" t="str">
        <f t="shared" si="11"/>
        <v>市政基础设施</v>
      </c>
      <c r="R40" s="718" t="s">
        <v>17</v>
      </c>
      <c r="S40" s="719">
        <f t="shared" si="12"/>
        <v>100</v>
      </c>
      <c r="T40" s="718" t="s">
        <v>17</v>
      </c>
      <c r="U40" s="719">
        <f t="shared" si="13"/>
        <v>100</v>
      </c>
      <c r="V40" s="718" t="s">
        <v>17</v>
      </c>
      <c r="W40" s="719">
        <f t="shared" si="14"/>
        <v>100</v>
      </c>
      <c r="X40" s="1545"/>
      <c r="Y40" s="3404"/>
      <c r="Z40" s="1546" t="str">
        <f t="shared" si="15"/>
        <v>市政基础设施</v>
      </c>
      <c r="AA40" s="1543">
        <f t="shared" si="3"/>
        <v>1</v>
      </c>
      <c r="AB40" s="1543">
        <f t="shared" si="4"/>
        <v>1</v>
      </c>
      <c r="AC40" s="2154">
        <f t="shared" si="5"/>
        <v>1</v>
      </c>
    </row>
    <row r="41" spans="1:29" ht="15">
      <c r="A41" s="435"/>
      <c r="B41" s="385" t="s">
        <v>2495</v>
      </c>
      <c r="C41" s="577"/>
      <c r="D41" s="398">
        <v>100</v>
      </c>
      <c r="E41" s="577"/>
      <c r="F41" s="424">
        <f>SUMIF(119:119,E41,120:120)-SUMIF(119:119,C41,120:120)+100</f>
        <v>100</v>
      </c>
      <c r="G41" s="577"/>
      <c r="H41" s="398">
        <f>SUMIF(119:119,G41,120:120)-SUMIF(119:119,C41,120:120)+100</f>
        <v>100</v>
      </c>
      <c r="I41" s="577"/>
      <c r="J41" s="398">
        <f>SUMIF(119:119,I41,120:120)-SUMIF(119:119,C41,120:120)+100</f>
        <v>100</v>
      </c>
      <c r="K41" s="573"/>
      <c r="L41" s="2954"/>
      <c r="M41" s="2948"/>
      <c r="N41" s="2948"/>
      <c r="O41" s="2948"/>
      <c r="P41" s="3402"/>
      <c r="Q41" s="1542" t="str">
        <f t="shared" si="11"/>
        <v>层高</v>
      </c>
      <c r="R41" s="718" t="s">
        <v>17</v>
      </c>
      <c r="S41" s="719">
        <f t="shared" si="12"/>
        <v>100</v>
      </c>
      <c r="T41" s="718" t="s">
        <v>17</v>
      </c>
      <c r="U41" s="719">
        <f t="shared" si="13"/>
        <v>100</v>
      </c>
      <c r="V41" s="718" t="s">
        <v>17</v>
      </c>
      <c r="W41" s="719">
        <f t="shared" si="14"/>
        <v>100</v>
      </c>
      <c r="X41" s="1545"/>
      <c r="Y41" s="3404"/>
      <c r="Z41" s="1546" t="str">
        <f t="shared" si="15"/>
        <v>层高</v>
      </c>
      <c r="AA41" s="1543">
        <f t="shared" si="3"/>
        <v>1</v>
      </c>
      <c r="AB41" s="1543">
        <f t="shared" si="4"/>
        <v>1</v>
      </c>
      <c r="AC41" s="2154">
        <f t="shared" si="5"/>
        <v>1</v>
      </c>
    </row>
    <row r="42" spans="1:29" s="434" customFormat="1" ht="15">
      <c r="A42" s="431"/>
      <c r="B42" s="1544" t="s">
        <v>2526</v>
      </c>
      <c r="C42" s="397"/>
      <c r="D42" s="398">
        <v>100</v>
      </c>
      <c r="E42" s="397"/>
      <c r="F42" s="424">
        <f>SUMIF(121:121,E42,122:122)-SUMIF(121:121,C42,122:122)+100</f>
        <v>100</v>
      </c>
      <c r="G42" s="397"/>
      <c r="H42" s="398">
        <f>SUMIF(121:121,G42,122:122)-SUMIF(121:121,C42,122:122)+100</f>
        <v>100</v>
      </c>
      <c r="I42" s="397"/>
      <c r="J42" s="398">
        <f>SUMIF(121:121,I42,122:122)-SUMIF(121:121,C42,122:122)+100</f>
        <v>100</v>
      </c>
      <c r="K42" s="574"/>
      <c r="L42" s="2953"/>
      <c r="M42" s="2955"/>
      <c r="N42" s="2955"/>
      <c r="O42" s="2955"/>
      <c r="P42" s="3402"/>
      <c r="Q42" s="720" t="str">
        <f t="shared" si="11"/>
        <v>单套建筑面积</v>
      </c>
      <c r="R42" s="721" t="s">
        <v>17</v>
      </c>
      <c r="S42" s="722">
        <f t="shared" si="12"/>
        <v>100</v>
      </c>
      <c r="T42" s="721" t="s">
        <v>17</v>
      </c>
      <c r="U42" s="722">
        <f t="shared" si="13"/>
        <v>100</v>
      </c>
      <c r="V42" s="721" t="s">
        <v>17</v>
      </c>
      <c r="W42" s="722">
        <f t="shared" si="14"/>
        <v>100</v>
      </c>
      <c r="X42" s="723"/>
      <c r="Y42" s="3404"/>
      <c r="Z42" s="724" t="str">
        <f t="shared" si="15"/>
        <v>单套建筑面积</v>
      </c>
      <c r="AA42" s="1543">
        <f t="shared" si="3"/>
        <v>1</v>
      </c>
      <c r="AB42" s="1543">
        <f t="shared" si="4"/>
        <v>1</v>
      </c>
      <c r="AC42" s="2154">
        <f t="shared" si="5"/>
        <v>1</v>
      </c>
    </row>
    <row r="43" spans="1:29" ht="15">
      <c r="A43" s="435"/>
      <c r="B43" s="385" t="s">
        <v>2498</v>
      </c>
      <c r="C43" s="423"/>
      <c r="D43" s="398">
        <v>100</v>
      </c>
      <c r="E43" s="423"/>
      <c r="F43" s="424">
        <f>SUMIF(123:123,E43,124:124)-SUMIF(123:123,C43,124:124)+100</f>
        <v>100</v>
      </c>
      <c r="G43" s="423"/>
      <c r="H43" s="398">
        <f>SUMIF(123:123,G43,124:124)-SUMIF(123:123,C43,124:124)+100</f>
        <v>100</v>
      </c>
      <c r="I43" s="423"/>
      <c r="J43" s="398">
        <f>SUMIF(123:123,I43,124:124)-SUMIF(123:123,C43,124:124)+100</f>
        <v>100</v>
      </c>
      <c r="K43" s="573"/>
      <c r="L43" s="2954"/>
      <c r="M43" s="2948"/>
      <c r="N43" s="2948"/>
      <c r="O43" s="2948"/>
      <c r="P43" s="3402"/>
      <c r="Q43" s="1542" t="str">
        <f t="shared" si="11"/>
        <v>内部装修</v>
      </c>
      <c r="R43" s="718" t="s">
        <v>17</v>
      </c>
      <c r="S43" s="719">
        <f t="shared" si="12"/>
        <v>100</v>
      </c>
      <c r="T43" s="718" t="s">
        <v>17</v>
      </c>
      <c r="U43" s="719">
        <f t="shared" si="13"/>
        <v>100</v>
      </c>
      <c r="V43" s="718" t="s">
        <v>17</v>
      </c>
      <c r="W43" s="719">
        <f t="shared" si="14"/>
        <v>100</v>
      </c>
      <c r="X43" s="1545"/>
      <c r="Y43" s="3404"/>
      <c r="Z43" s="1546" t="str">
        <f t="shared" si="15"/>
        <v>内部装修</v>
      </c>
      <c r="AA43" s="1543">
        <f t="shared" si="3"/>
        <v>1</v>
      </c>
      <c r="AB43" s="1543">
        <f t="shared" si="4"/>
        <v>1</v>
      </c>
      <c r="AC43" s="2154">
        <f t="shared" si="5"/>
        <v>1</v>
      </c>
    </row>
    <row r="44" spans="1:29" ht="28.8">
      <c r="A44" s="435"/>
      <c r="B44" s="385" t="s">
        <v>2406</v>
      </c>
      <c r="C44" s="423"/>
      <c r="D44" s="398">
        <v>100</v>
      </c>
      <c r="E44" s="2098"/>
      <c r="F44" s="424">
        <f>SUMIF(125:125,E44,126:126)-SUMIF(125:125,C44,126:126)+100</f>
        <v>100</v>
      </c>
      <c r="G44" s="2098"/>
      <c r="H44" s="398">
        <f>SUMIF(125:125,G44,126:126)-SUMIF(125:125,C44,126:126)+100</f>
        <v>100</v>
      </c>
      <c r="I44" s="2098"/>
      <c r="J44" s="398">
        <f>SUMIF(125:125,I44,126:126)-SUMIF(125:125,C44,126:126)+100</f>
        <v>100</v>
      </c>
      <c r="K44" s="573"/>
      <c r="L44" s="2954"/>
      <c r="M44" s="2948"/>
      <c r="N44" s="2948"/>
      <c r="O44" s="2948"/>
      <c r="P44" s="3402"/>
      <c r="Q44" s="1542" t="str">
        <f t="shared" si="11"/>
        <v>内部装修维护情况</v>
      </c>
      <c r="R44" s="718" t="s">
        <v>17</v>
      </c>
      <c r="S44" s="719">
        <f t="shared" si="12"/>
        <v>100</v>
      </c>
      <c r="T44" s="718" t="s">
        <v>17</v>
      </c>
      <c r="U44" s="719">
        <f t="shared" si="13"/>
        <v>100</v>
      </c>
      <c r="V44" s="718" t="s">
        <v>17</v>
      </c>
      <c r="W44" s="719">
        <f t="shared" si="14"/>
        <v>100</v>
      </c>
      <c r="X44" s="1545"/>
      <c r="Y44" s="3404"/>
      <c r="Z44" s="1546" t="str">
        <f t="shared" si="15"/>
        <v>内部装修维护情况</v>
      </c>
      <c r="AA44" s="1543">
        <f t="shared" si="3"/>
        <v>1</v>
      </c>
      <c r="AB44" s="1543">
        <f t="shared" si="4"/>
        <v>1</v>
      </c>
      <c r="AC44" s="2154">
        <f t="shared" si="5"/>
        <v>1</v>
      </c>
    </row>
    <row r="45" spans="1:29" s="117" customFormat="1" ht="15">
      <c r="A45" s="436"/>
      <c r="B45" s="1299">
        <v>111</v>
      </c>
      <c r="C45" s="432"/>
      <c r="D45" s="136">
        <v>100</v>
      </c>
      <c r="E45" s="395"/>
      <c r="F45" s="388">
        <f>SUMIF(127:127,E45,128:128)-SUMIF(127:127,C45,128:128)+100</f>
        <v>100</v>
      </c>
      <c r="G45" s="395"/>
      <c r="H45" s="136">
        <f>SUMIF(127:127,G45,128:128)-SUMIF(127:127,C45,128:128)+100</f>
        <v>100</v>
      </c>
      <c r="I45" s="395"/>
      <c r="J45" s="136">
        <f>SUMIF(127:127,I45,128:128)-SUMIF(127:127,C45,128:128)+100</f>
        <v>100</v>
      </c>
      <c r="K45" s="574"/>
      <c r="L45" s="2949"/>
      <c r="M45" s="2950"/>
      <c r="N45" s="2950"/>
      <c r="O45" s="2950"/>
      <c r="P45" s="3402"/>
      <c r="Q45" s="1533">
        <f t="shared" si="11"/>
        <v>111</v>
      </c>
      <c r="R45" s="714" t="s">
        <v>17</v>
      </c>
      <c r="S45" s="715">
        <f t="shared" si="12"/>
        <v>100</v>
      </c>
      <c r="T45" s="714" t="s">
        <v>17</v>
      </c>
      <c r="U45" s="715">
        <f t="shared" si="13"/>
        <v>100</v>
      </c>
      <c r="V45" s="714" t="s">
        <v>17</v>
      </c>
      <c r="W45" s="715">
        <f t="shared" si="14"/>
        <v>100</v>
      </c>
      <c r="X45" s="716"/>
      <c r="Y45" s="3404"/>
      <c r="Z45" s="55">
        <f t="shared" si="15"/>
        <v>111</v>
      </c>
      <c r="AA45" s="717">
        <f t="shared" si="3"/>
        <v>1</v>
      </c>
      <c r="AB45" s="717">
        <f t="shared" si="4"/>
        <v>1</v>
      </c>
      <c r="AC45" s="2151">
        <f t="shared" si="5"/>
        <v>1</v>
      </c>
    </row>
    <row r="46" spans="1:29" ht="15">
      <c r="A46" s="435"/>
      <c r="B46" s="1299">
        <v>111</v>
      </c>
      <c r="C46" s="397"/>
      <c r="D46" s="398">
        <v>100</v>
      </c>
      <c r="E46" s="395"/>
      <c r="F46" s="424">
        <f>SUMIF(129:129,E46,130:130)-SUMIF(129:129,C46,130:130)+100</f>
        <v>100</v>
      </c>
      <c r="G46" s="395"/>
      <c r="H46" s="398">
        <f>SUMIF(129:129,G46,130:130)-SUMIF(129:129,C46,130:130)+100</f>
        <v>100</v>
      </c>
      <c r="I46" s="395"/>
      <c r="J46" s="398">
        <f>SUMIF(129:129,I46,130:130)-SUMIF(129:129,C46,130:130)+100</f>
        <v>100</v>
      </c>
      <c r="K46" s="574"/>
      <c r="L46" s="2954"/>
      <c r="M46" s="2948"/>
      <c r="N46" s="2948"/>
      <c r="O46" s="2948"/>
      <c r="P46" s="3402"/>
      <c r="Q46" s="1542">
        <f t="shared" si="11"/>
        <v>111</v>
      </c>
      <c r="R46" s="718" t="s">
        <v>17</v>
      </c>
      <c r="S46" s="719">
        <f t="shared" si="12"/>
        <v>100</v>
      </c>
      <c r="T46" s="718" t="s">
        <v>17</v>
      </c>
      <c r="U46" s="719">
        <f t="shared" si="13"/>
        <v>100</v>
      </c>
      <c r="V46" s="718" t="s">
        <v>17</v>
      </c>
      <c r="W46" s="719">
        <f t="shared" si="14"/>
        <v>100</v>
      </c>
      <c r="X46" s="1545"/>
      <c r="Y46" s="3404"/>
      <c r="Z46" s="1546">
        <f t="shared" si="15"/>
        <v>111</v>
      </c>
      <c r="AA46" s="1543">
        <f t="shared" si="3"/>
        <v>1</v>
      </c>
      <c r="AB46" s="1543">
        <f t="shared" si="4"/>
        <v>1</v>
      </c>
      <c r="AC46" s="2154">
        <f t="shared" si="5"/>
        <v>1</v>
      </c>
    </row>
    <row r="47" spans="1:29" ht="15.6" thickBot="1">
      <c r="A47" s="441"/>
      <c r="B47" s="2087">
        <v>111</v>
      </c>
      <c r="C47" s="400"/>
      <c r="D47" s="401">
        <v>100</v>
      </c>
      <c r="E47" s="395"/>
      <c r="F47" s="402">
        <f>SUMIF(131:131,E47,132:132)-SUMIF(131:131,C47,132:132)+100</f>
        <v>100</v>
      </c>
      <c r="G47" s="395"/>
      <c r="H47" s="401">
        <f>SUMIF(131:131,G47,132:132)-SUMIF(131:131,C47,132:132)+100</f>
        <v>100</v>
      </c>
      <c r="I47" s="395"/>
      <c r="J47" s="401">
        <f>SUMIF(131:131,I47,132:132)-SUMIF(131:131,C47,132:132)+100</f>
        <v>100</v>
      </c>
      <c r="K47" s="574"/>
      <c r="L47" s="2954"/>
      <c r="M47" s="2948"/>
      <c r="N47" s="2948"/>
      <c r="O47" s="2948"/>
      <c r="P47" s="3403"/>
      <c r="Q47" s="1542">
        <f t="shared" si="11"/>
        <v>111</v>
      </c>
      <c r="R47" s="718" t="s">
        <v>17</v>
      </c>
      <c r="S47" s="719">
        <f t="shared" si="12"/>
        <v>100</v>
      </c>
      <c r="T47" s="718" t="s">
        <v>17</v>
      </c>
      <c r="U47" s="719">
        <f t="shared" si="13"/>
        <v>100</v>
      </c>
      <c r="V47" s="718" t="s">
        <v>17</v>
      </c>
      <c r="W47" s="719">
        <f t="shared" si="14"/>
        <v>100</v>
      </c>
      <c r="X47" s="1545"/>
      <c r="Y47" s="3405"/>
      <c r="Z47" s="1546">
        <f t="shared" si="15"/>
        <v>111</v>
      </c>
      <c r="AA47" s="1543">
        <f t="shared" si="3"/>
        <v>1</v>
      </c>
      <c r="AB47" s="1543">
        <f t="shared" si="4"/>
        <v>1</v>
      </c>
      <c r="AC47" s="2154">
        <f t="shared" si="5"/>
        <v>1</v>
      </c>
    </row>
    <row r="48" spans="1:29" ht="14.4">
      <c r="A48" s="442" t="s">
        <v>2407</v>
      </c>
      <c r="B48" s="443"/>
      <c r="C48" s="1320" t="s">
        <v>1</v>
      </c>
      <c r="D48" s="1321"/>
      <c r="E48" s="1322"/>
      <c r="F48" s="1323"/>
      <c r="G48" s="1324"/>
      <c r="H48" s="1325"/>
      <c r="I48" s="1322"/>
      <c r="J48" s="448"/>
      <c r="K48" s="727"/>
      <c r="L48" s="2956"/>
      <c r="M48" s="2948"/>
      <c r="N48" s="2948"/>
      <c r="O48" s="2948"/>
      <c r="P48" s="3379" t="str">
        <f>A48</f>
        <v>成交单价（元/平方米）</v>
      </c>
      <c r="Q48" s="3397"/>
      <c r="R48" s="3398">
        <f>E48</f>
        <v>0</v>
      </c>
      <c r="S48" s="3398"/>
      <c r="T48" s="3398">
        <f>G48</f>
        <v>0</v>
      </c>
      <c r="U48" s="3398"/>
      <c r="V48" s="3398">
        <f>I48</f>
        <v>0</v>
      </c>
      <c r="W48" s="3398"/>
      <c r="X48" s="409"/>
      <c r="Y48" s="725"/>
      <c r="Z48" s="409"/>
      <c r="AA48" s="409"/>
      <c r="AB48" s="409"/>
      <c r="AC48" s="590"/>
    </row>
    <row r="49" spans="1:29" ht="15" thickBot="1">
      <c r="A49" s="449" t="s">
        <v>2499</v>
      </c>
      <c r="B49" s="450"/>
      <c r="C49" s="1326" t="e">
        <f>R50</f>
        <v>#DIV/0!</v>
      </c>
      <c r="D49" s="2544" t="s">
        <v>2891</v>
      </c>
      <c r="E49" s="1327" t="e">
        <f>R49</f>
        <v>#DIV/0!</v>
      </c>
      <c r="F49" s="2545"/>
      <c r="G49" s="1326" t="e">
        <f>T49</f>
        <v>#DIV/0!</v>
      </c>
      <c r="H49" s="2545"/>
      <c r="I49" s="1327" t="e">
        <f>V49</f>
        <v>#DIV/0!</v>
      </c>
      <c r="J49" s="2545"/>
      <c r="K49" s="2547">
        <f>F49+H49+J49</f>
        <v>0</v>
      </c>
      <c r="L49" s="2956"/>
      <c r="M49" s="2948"/>
      <c r="N49" s="2948"/>
      <c r="O49" s="2948"/>
      <c r="P49" s="3379" t="str">
        <f>A49</f>
        <v>比较价值（元/平方米）</v>
      </c>
      <c r="Q49" s="3397"/>
      <c r="R49" s="3398" t="e">
        <f>IF(F1="售价",ROUND(PRODUCT(R48,AA7:AA47),0),ROUND(PRODUCT(R48,AA7:AA47),1))</f>
        <v>#DIV/0!</v>
      </c>
      <c r="S49" s="3398"/>
      <c r="T49" s="3398" t="e">
        <f>IF(F1="售价",ROUND(PRODUCT(T48,AB7:AB47),0),ROUND(PRODUCT(T48,AB7:AB47),1))</f>
        <v>#DIV/0!</v>
      </c>
      <c r="U49" s="3398"/>
      <c r="V49" s="3398" t="e">
        <f>IF(F1="售价",ROUND(PRODUCT(V48,AC7:AC47),0),ROUND(PRODUCT(V48,AC7:AC47),1))</f>
        <v>#DIV/0!</v>
      </c>
      <c r="W49" s="3398"/>
      <c r="X49" s="409"/>
      <c r="Y49" s="409"/>
      <c r="Z49" s="409"/>
      <c r="AA49" s="409"/>
      <c r="AB49" s="409"/>
      <c r="AC49" s="590"/>
    </row>
    <row r="50" spans="1:29" ht="15" thickBot="1">
      <c r="A50" s="453" t="s">
        <v>2500</v>
      </c>
      <c r="B50" s="454"/>
      <c r="C50" s="1329" t="e">
        <f>R50</f>
        <v>#DIV/0!</v>
      </c>
      <c r="D50" s="1329"/>
      <c r="E50" s="1329"/>
      <c r="F50" s="1329"/>
      <c r="G50" s="1329"/>
      <c r="H50" s="1329"/>
      <c r="I50" s="1329"/>
      <c r="J50" s="455"/>
      <c r="K50" s="728"/>
      <c r="L50" s="2956"/>
      <c r="M50" s="2948"/>
      <c r="N50" s="2948"/>
      <c r="O50" s="2948"/>
      <c r="P50" s="3420" t="str">
        <f>A50</f>
        <v>估价对象XX用房的比较价值（楼面单价，元/平方米）</v>
      </c>
      <c r="Q50" s="3421"/>
      <c r="R50" s="3422" t="e">
        <f>IF(F1="售价",ROUND(IF(D49="简单平均",AVERAGE(R49:V49),R49*F49+T49*H49+V49*J49),0),ROUND(IF(D49="简单平均",AVERAGE(R49:V49),R49*F49+T49*H49+V49*J49),1))</f>
        <v>#DIV/0!</v>
      </c>
      <c r="S50" s="3422"/>
      <c r="T50" s="3422"/>
      <c r="U50" s="3422"/>
      <c r="V50" s="3422"/>
      <c r="W50" s="3422"/>
      <c r="X50" s="2138"/>
      <c r="Y50" s="2138"/>
      <c r="Z50" s="2138"/>
      <c r="AA50" s="2138"/>
      <c r="AB50" s="2138"/>
      <c r="AC50" s="2139"/>
    </row>
    <row r="51" spans="1:29">
      <c r="A51" s="2957"/>
      <c r="B51" s="2957"/>
      <c r="C51" s="2957"/>
      <c r="D51" s="2957"/>
      <c r="E51" s="2957"/>
      <c r="F51" s="2957"/>
      <c r="G51" s="2961"/>
      <c r="H51" s="2957"/>
      <c r="I51" s="2957"/>
      <c r="J51" s="2957"/>
      <c r="K51" s="2962"/>
      <c r="L51" s="2958"/>
      <c r="M51" s="2957"/>
      <c r="N51" s="2957"/>
      <c r="O51" s="2957"/>
      <c r="P51" s="2988"/>
      <c r="Q51" s="2957"/>
      <c r="R51" s="2957"/>
      <c r="S51" s="2957"/>
      <c r="T51" s="2957"/>
      <c r="U51" s="2957"/>
      <c r="V51" s="2957"/>
      <c r="W51" s="2957"/>
      <c r="X51" s="2957"/>
      <c r="Y51" s="2957"/>
      <c r="Z51" s="2957"/>
      <c r="AA51" s="2957"/>
      <c r="AB51" s="2957"/>
      <c r="AC51" s="2957"/>
    </row>
    <row r="52" spans="1:29">
      <c r="A52" s="2957"/>
      <c r="B52" s="2957"/>
      <c r="C52" s="2957"/>
      <c r="D52" s="2957"/>
      <c r="E52" s="2957"/>
      <c r="F52" s="2957"/>
      <c r="G52" s="2957"/>
      <c r="H52" s="2957"/>
      <c r="I52" s="2957"/>
      <c r="J52" s="2957"/>
      <c r="K52" s="2962"/>
      <c r="L52" s="2958"/>
      <c r="M52" s="2957"/>
      <c r="N52" s="2957"/>
      <c r="O52" s="2957"/>
      <c r="P52" s="2988"/>
      <c r="Q52" s="2957"/>
      <c r="R52" s="2957"/>
      <c r="S52" s="2957"/>
      <c r="T52" s="2957"/>
      <c r="U52" s="2957"/>
      <c r="V52" s="2957"/>
      <c r="W52" s="2957"/>
      <c r="X52" s="2957"/>
      <c r="Y52" s="2957"/>
      <c r="Z52" s="2957"/>
      <c r="AA52" s="2957"/>
      <c r="AB52" s="2957"/>
      <c r="AC52" s="2957"/>
    </row>
    <row r="53" spans="1:29" ht="13.5" customHeight="1">
      <c r="A53" s="2957"/>
      <c r="B53" s="2957"/>
      <c r="C53" s="458" t="s">
        <v>2501</v>
      </c>
      <c r="D53" s="459"/>
      <c r="E53" s="460" t="e">
        <f>IF(E48&lt;E49,E49/E48-1,E48/E49-1)</f>
        <v>#DIV/0!</v>
      </c>
      <c r="F53" s="461" t="e">
        <f>IF(OR(E53&gt;=0.3,E53&lt;=-0.3),"超过30%","")</f>
        <v>#DIV/0!</v>
      </c>
      <c r="G53" s="460" t="e">
        <f>IF(G48&lt;G49,G49/G48-1,G48/G49-1)</f>
        <v>#DIV/0!</v>
      </c>
      <c r="H53" s="461" t="e">
        <f>IF(OR(G53&gt;=0.3,G53&lt;=-0.3),"超过30%","")</f>
        <v>#DIV/0!</v>
      </c>
      <c r="I53" s="460" t="e">
        <f>IF(I48&lt;I49,I49/I48-1,I48/I49-1)</f>
        <v>#DIV/0!</v>
      </c>
      <c r="J53" s="461" t="e">
        <f>IF(OR(I53&gt;=0.3,I53&lt;=-0.3),"超过30%","")</f>
        <v>#DIV/0!</v>
      </c>
      <c r="K53" s="2962"/>
      <c r="L53" s="2958"/>
      <c r="M53" s="2957"/>
      <c r="N53" s="2957"/>
      <c r="O53" s="2957"/>
      <c r="P53" s="2988"/>
      <c r="Q53" s="2957"/>
      <c r="R53" s="2957"/>
      <c r="S53" s="2957"/>
      <c r="T53" s="2957"/>
      <c r="U53" s="2957"/>
      <c r="V53" s="2957"/>
      <c r="W53" s="2957"/>
      <c r="X53" s="2957"/>
      <c r="Y53" s="2957"/>
      <c r="Z53" s="2957"/>
      <c r="AA53" s="2957"/>
      <c r="AB53" s="2957"/>
      <c r="AC53" s="2957"/>
    </row>
    <row r="54" spans="1:29" ht="13.5" customHeight="1">
      <c r="A54" s="2957"/>
      <c r="B54" s="2957"/>
      <c r="C54" s="458" t="s">
        <v>2502</v>
      </c>
      <c r="D54" s="462"/>
      <c r="E54" s="460" t="e">
        <f>IF(E49&lt;G49,G49/E49-1,E49/G49-1)</f>
        <v>#DIV/0!</v>
      </c>
      <c r="F54" s="461" t="e">
        <f>IF(OR(E54&gt;=0.2,E54&lt;=-0.2),"超过20%","")</f>
        <v>#DIV/0!</v>
      </c>
      <c r="G54" s="460" t="e">
        <f>IF(G49&lt;I49,I49/G49-1,G49/I49-1)</f>
        <v>#DIV/0!</v>
      </c>
      <c r="H54" s="461" t="e">
        <f>IF(OR(G54&gt;=0.2,G54&lt;=-0.2),"超过20%","")</f>
        <v>#DIV/0!</v>
      </c>
      <c r="I54" s="460" t="e">
        <f>IF(I49&lt;E49,E49/I49-1,I49/E49-1)</f>
        <v>#DIV/0!</v>
      </c>
      <c r="J54" s="461" t="e">
        <f>IF(OR(I54&gt;=0.2,I54&lt;=-0.2),"超过20%","")</f>
        <v>#DIV/0!</v>
      </c>
      <c r="K54" s="2962"/>
      <c r="L54" s="2958"/>
      <c r="M54" s="2957"/>
      <c r="N54" s="2957"/>
      <c r="O54" s="2957"/>
      <c r="P54" s="2988"/>
      <c r="Q54" s="2957"/>
      <c r="R54" s="2957"/>
      <c r="S54" s="2957"/>
      <c r="T54" s="2957"/>
      <c r="U54" s="2957"/>
      <c r="V54" s="2957"/>
      <c r="W54" s="2957"/>
      <c r="X54" s="2957"/>
      <c r="Y54" s="2957"/>
      <c r="Z54" s="2957"/>
      <c r="AA54" s="2957"/>
      <c r="AB54" s="2957"/>
      <c r="AC54" s="2957"/>
    </row>
    <row r="55" spans="1:29" s="463" customFormat="1" ht="13.5" customHeight="1">
      <c r="A55" s="2960"/>
      <c r="B55" s="2960"/>
      <c r="C55" s="458" t="s">
        <v>2503</v>
      </c>
      <c r="D55" s="462"/>
      <c r="E55" s="460" t="e">
        <f>IF(E48&lt;G48,G48/E48-1,E48/G48-1)</f>
        <v>#DIV/0!</v>
      </c>
      <c r="F55" s="461" t="e">
        <f>IF(OR(E55&gt;=0.3,E55&lt;=-0.3),"超过30%","")</f>
        <v>#DIV/0!</v>
      </c>
      <c r="G55" s="460" t="e">
        <f>IF(G48&lt;I48,I48/G48-1,G48/I48-1)</f>
        <v>#DIV/0!</v>
      </c>
      <c r="H55" s="461" t="e">
        <f>IF(OR(G55&gt;=0.3,G55&lt;=-0.3),"超过30%","")</f>
        <v>#DIV/0!</v>
      </c>
      <c r="I55" s="460" t="e">
        <f>IF(I48&lt;E48,E48/I48-1,I48/E48-1)</f>
        <v>#DIV/0!</v>
      </c>
      <c r="J55" s="461" t="e">
        <f>IF(OR(I55&gt;=0.3,I55&lt;=-0.3),"超过30%","")</f>
        <v>#DIV/0!</v>
      </c>
      <c r="K55" s="2965"/>
      <c r="L55" s="2959"/>
      <c r="M55" s="2960"/>
      <c r="N55" s="2960"/>
      <c r="O55" s="2960"/>
      <c r="P55" s="2989"/>
      <c r="Q55" s="2960"/>
      <c r="R55" s="2960"/>
      <c r="S55" s="2960"/>
      <c r="T55" s="2960"/>
      <c r="U55" s="2960"/>
      <c r="V55" s="2960"/>
      <c r="W55" s="2960"/>
      <c r="X55" s="2960"/>
      <c r="Y55" s="2960"/>
      <c r="Z55" s="2960"/>
      <c r="AA55" s="2960"/>
      <c r="AB55" s="2960"/>
      <c r="AC55" s="2960"/>
    </row>
    <row r="56" spans="1:29" s="463" customFormat="1">
      <c r="A56" s="2960"/>
      <c r="B56" s="2963"/>
      <c r="C56" s="2964"/>
      <c r="D56" s="2960"/>
      <c r="E56" s="2960"/>
      <c r="F56" s="2960"/>
      <c r="G56" s="2960"/>
      <c r="H56" s="2960"/>
      <c r="I56" s="2960"/>
      <c r="J56" s="2960"/>
      <c r="K56" s="2965"/>
      <c r="L56" s="2959"/>
      <c r="M56" s="2960"/>
      <c r="N56" s="2960"/>
      <c r="O56" s="2960"/>
      <c r="P56" s="2989"/>
      <c r="Q56" s="2960"/>
      <c r="R56" s="2960"/>
      <c r="S56" s="2960"/>
      <c r="T56" s="2960"/>
      <c r="U56" s="2960"/>
      <c r="V56" s="2960"/>
      <c r="W56" s="2960"/>
      <c r="X56" s="2960"/>
      <c r="Y56" s="2960"/>
      <c r="Z56" s="2960"/>
      <c r="AA56" s="2960"/>
      <c r="AB56" s="2960"/>
      <c r="AC56" s="2960"/>
    </row>
    <row r="57" spans="1:29">
      <c r="A57" s="2957"/>
      <c r="B57" s="2963"/>
      <c r="C57" s="2964"/>
      <c r="D57" s="2957"/>
      <c r="E57" s="2957"/>
      <c r="F57" s="2957"/>
      <c r="G57" s="2957"/>
      <c r="H57" s="2957"/>
      <c r="I57" s="2957"/>
      <c r="J57" s="2957"/>
      <c r="K57" s="2962"/>
      <c r="L57" s="2958"/>
      <c r="M57" s="2957"/>
      <c r="N57" s="2957"/>
      <c r="O57" s="2957"/>
      <c r="P57" s="2988"/>
      <c r="Q57" s="2957"/>
      <c r="R57" s="2957"/>
      <c r="S57" s="2957"/>
      <c r="T57" s="2957"/>
      <c r="U57" s="2957"/>
      <c r="V57" s="2957"/>
      <c r="W57" s="2957"/>
      <c r="X57" s="2957"/>
      <c r="Y57" s="2957"/>
      <c r="Z57" s="2957"/>
      <c r="AA57" s="2957"/>
      <c r="AB57" s="2957"/>
      <c r="AC57" s="2957"/>
    </row>
    <row r="58" spans="1:29" ht="22.2" thickBot="1">
      <c r="A58" s="707" t="s">
        <v>2504</v>
      </c>
      <c r="B58" s="703"/>
      <c r="C58" s="708"/>
      <c r="D58" s="708"/>
      <c r="E58" s="708"/>
      <c r="F58" s="709"/>
      <c r="G58" s="709"/>
      <c r="H58" s="708"/>
      <c r="I58" s="708"/>
      <c r="J58" s="708"/>
      <c r="K58" s="710"/>
      <c r="L58" s="1077"/>
      <c r="M58" s="1075"/>
      <c r="N58" s="3001"/>
      <c r="O58" s="3001"/>
      <c r="P58" s="2990"/>
      <c r="Q58" s="2971"/>
      <c r="R58" s="2957"/>
      <c r="S58" s="2957"/>
      <c r="T58" s="2957"/>
      <c r="U58" s="2957"/>
      <c r="V58" s="2957"/>
      <c r="W58" s="2957"/>
      <c r="X58" s="2957"/>
      <c r="Y58" s="2957"/>
      <c r="Z58" s="2957"/>
      <c r="AA58" s="2957"/>
      <c r="AB58" s="2957"/>
      <c r="AC58" s="2957"/>
    </row>
    <row r="59" spans="1:29" s="469" customFormat="1" ht="14.4">
      <c r="A59" s="466" t="s">
        <v>2378</v>
      </c>
      <c r="B59" s="467"/>
      <c r="C59" s="1350" t="str">
        <f>YEAR(C7)&amp;"-"&amp;MONTH(C7)</f>
        <v>2020-8</v>
      </c>
      <c r="D59" s="1351">
        <f>EDATE(C59,-1)</f>
        <v>44013</v>
      </c>
      <c r="E59" s="1351">
        <f>EDATE(D59,-1)</f>
        <v>43983</v>
      </c>
      <c r="F59" s="1351">
        <f t="shared" ref="F59:O59" si="16">EDATE(E59,-1)</f>
        <v>43952</v>
      </c>
      <c r="G59" s="1351">
        <f t="shared" si="16"/>
        <v>43922</v>
      </c>
      <c r="H59" s="1351">
        <f t="shared" si="16"/>
        <v>43891</v>
      </c>
      <c r="I59" s="1351">
        <f t="shared" si="16"/>
        <v>43862</v>
      </c>
      <c r="J59" s="1351">
        <f t="shared" si="16"/>
        <v>43831</v>
      </c>
      <c r="K59" s="1351">
        <f t="shared" si="16"/>
        <v>43800</v>
      </c>
      <c r="L59" s="1351">
        <f t="shared" si="16"/>
        <v>43770</v>
      </c>
      <c r="M59" s="1351">
        <f t="shared" si="16"/>
        <v>43739</v>
      </c>
      <c r="N59" s="1351">
        <f t="shared" si="16"/>
        <v>43709</v>
      </c>
      <c r="O59" s="1351">
        <f t="shared" si="16"/>
        <v>43678</v>
      </c>
      <c r="P59" s="2991"/>
      <c r="Q59" s="2973"/>
      <c r="R59" s="2973"/>
      <c r="S59" s="2973"/>
      <c r="T59" s="2973"/>
      <c r="U59" s="2973"/>
      <c r="V59" s="2973"/>
      <c r="W59" s="2973"/>
      <c r="X59" s="2973"/>
      <c r="Y59" s="2973"/>
      <c r="Z59" s="2973"/>
      <c r="AA59" s="2973"/>
      <c r="AB59" s="2973"/>
      <c r="AC59" s="2973"/>
    </row>
    <row r="60" spans="1:29" s="117" customFormat="1">
      <c r="A60" s="470"/>
      <c r="B60" s="471"/>
      <c r="C60" s="1349">
        <v>100</v>
      </c>
      <c r="D60" s="473"/>
      <c r="E60" s="473"/>
      <c r="F60" s="473"/>
      <c r="G60" s="473"/>
      <c r="H60" s="473"/>
      <c r="I60" s="473"/>
      <c r="J60" s="473"/>
      <c r="K60" s="473"/>
      <c r="L60" s="473"/>
      <c r="M60" s="474"/>
      <c r="N60" s="473"/>
      <c r="O60" s="474"/>
      <c r="P60" s="2992"/>
      <c r="Q60" s="2889"/>
      <c r="R60" s="2889"/>
      <c r="S60" s="2889"/>
      <c r="T60" s="2889"/>
      <c r="U60" s="2889"/>
      <c r="V60" s="2889"/>
      <c r="W60" s="2889"/>
      <c r="X60" s="2889"/>
      <c r="Y60" s="2889"/>
      <c r="Z60" s="2889"/>
      <c r="AA60" s="2889"/>
      <c r="AB60" s="2889"/>
      <c r="AC60" s="2889"/>
    </row>
    <row r="61" spans="1:29" s="117" customFormat="1" ht="15" thickBot="1">
      <c r="A61" s="476" t="s">
        <v>2415</v>
      </c>
      <c r="B61" s="477"/>
      <c r="C61" s="478"/>
      <c r="D61" s="479"/>
      <c r="E61" s="479"/>
      <c r="F61" s="479"/>
      <c r="G61" s="479"/>
      <c r="H61" s="479"/>
      <c r="I61" s="479"/>
      <c r="J61" s="479"/>
      <c r="K61" s="479"/>
      <c r="L61" s="479"/>
      <c r="M61" s="480"/>
      <c r="N61" s="479"/>
      <c r="O61" s="480"/>
      <c r="P61" s="2992"/>
      <c r="Q61" s="2971"/>
      <c r="R61" s="2889"/>
      <c r="S61" s="2889"/>
      <c r="T61" s="2889"/>
      <c r="U61" s="2889"/>
      <c r="V61" s="2889"/>
      <c r="W61" s="2889"/>
      <c r="X61" s="2889"/>
      <c r="Y61" s="2889"/>
      <c r="Z61" s="2889"/>
      <c r="AA61" s="2889"/>
      <c r="AB61" s="2889"/>
      <c r="AC61" s="2889"/>
    </row>
    <row r="62" spans="1:29" s="117" customFormat="1" ht="14.4">
      <c r="A62" s="482" t="s">
        <v>2380</v>
      </c>
      <c r="B62" s="471"/>
      <c r="C62" s="483" t="s">
        <v>2482</v>
      </c>
      <c r="D62" s="484"/>
      <c r="E62" s="484"/>
      <c r="F62" s="484"/>
      <c r="G62" s="484"/>
      <c r="H62" s="484"/>
      <c r="I62" s="484"/>
      <c r="J62" s="484"/>
      <c r="K62" s="484"/>
      <c r="L62" s="485"/>
      <c r="M62" s="486"/>
      <c r="N62" s="2984"/>
      <c r="O62" s="2984"/>
      <c r="P62" s="2993"/>
      <c r="Q62" s="2971"/>
      <c r="R62" s="2889"/>
      <c r="S62" s="2889"/>
      <c r="T62" s="2889"/>
      <c r="U62" s="2889"/>
      <c r="V62" s="2889"/>
      <c r="W62" s="2889"/>
      <c r="X62" s="2889"/>
      <c r="Y62" s="2889"/>
      <c r="Z62" s="2889"/>
      <c r="AA62" s="2889"/>
      <c r="AB62" s="2889"/>
      <c r="AC62" s="2889"/>
    </row>
    <row r="63" spans="1:29" s="117" customFormat="1" ht="14.4" thickBot="1">
      <c r="A63" s="482"/>
      <c r="B63" s="471"/>
      <c r="C63" s="472">
        <v>100</v>
      </c>
      <c r="D63" s="473"/>
      <c r="E63" s="473"/>
      <c r="F63" s="473"/>
      <c r="G63" s="473"/>
      <c r="H63" s="473"/>
      <c r="I63" s="473"/>
      <c r="J63" s="473"/>
      <c r="K63" s="473"/>
      <c r="L63" s="473"/>
      <c r="M63" s="475"/>
      <c r="N63" s="2984"/>
      <c r="O63" s="2984"/>
      <c r="P63" s="2992"/>
      <c r="Q63" s="2971"/>
      <c r="R63" s="2889"/>
      <c r="S63" s="2889"/>
      <c r="T63" s="2889"/>
      <c r="U63" s="2889"/>
      <c r="V63" s="2889"/>
      <c r="W63" s="2889"/>
      <c r="X63" s="2889"/>
      <c r="Y63" s="2889"/>
      <c r="Z63" s="2889"/>
      <c r="AA63" s="2889"/>
      <c r="AB63" s="2889"/>
      <c r="AC63" s="2889"/>
    </row>
    <row r="64" spans="1:29" ht="14.4">
      <c r="A64" s="488" t="s">
        <v>2418</v>
      </c>
      <c r="B64" s="489" t="s">
        <v>2384</v>
      </c>
      <c r="C64" s="490">
        <f>C9</f>
        <v>0</v>
      </c>
      <c r="D64" s="491"/>
      <c r="E64" s="491"/>
      <c r="F64" s="491"/>
      <c r="G64" s="491"/>
      <c r="H64" s="491"/>
      <c r="I64" s="491"/>
      <c r="J64" s="491"/>
      <c r="K64" s="492"/>
      <c r="L64" s="493"/>
      <c r="M64" s="494"/>
      <c r="N64" s="2985"/>
      <c r="O64" s="2985"/>
      <c r="P64" s="2994"/>
      <c r="Q64" s="2971"/>
      <c r="R64" s="2957"/>
      <c r="S64" s="2957"/>
      <c r="T64" s="2957"/>
      <c r="U64" s="2957"/>
      <c r="V64" s="2957"/>
      <c r="W64" s="2957"/>
      <c r="X64" s="2957"/>
      <c r="Y64" s="2957"/>
      <c r="Z64" s="2957"/>
      <c r="AA64" s="2957"/>
      <c r="AB64" s="2957"/>
      <c r="AC64" s="2957"/>
    </row>
    <row r="65" spans="1:29" ht="14.4" thickBot="1">
      <c r="A65" s="495"/>
      <c r="B65" s="496"/>
      <c r="C65" s="497">
        <v>100</v>
      </c>
      <c r="D65" s="497"/>
      <c r="E65" s="497"/>
      <c r="F65" s="497"/>
      <c r="G65" s="497"/>
      <c r="H65" s="497"/>
      <c r="I65" s="497"/>
      <c r="J65" s="497"/>
      <c r="K65" s="497"/>
      <c r="L65" s="497"/>
      <c r="M65" s="498"/>
      <c r="N65" s="2986"/>
      <c r="O65" s="2986"/>
      <c r="P65" s="2994"/>
      <c r="Q65" s="2971"/>
      <c r="R65" s="2957"/>
      <c r="S65" s="2957"/>
      <c r="T65" s="2957"/>
      <c r="U65" s="2957"/>
      <c r="V65" s="2957"/>
      <c r="W65" s="2957"/>
      <c r="X65" s="2957"/>
      <c r="Y65" s="2957"/>
      <c r="Z65" s="2957"/>
      <c r="AA65" s="2957"/>
      <c r="AB65" s="2957"/>
      <c r="AC65" s="2957"/>
    </row>
    <row r="66" spans="1:29" ht="29.4" thickTop="1">
      <c r="A66" s="495"/>
      <c r="B66" s="499" t="s">
        <v>2387</v>
      </c>
      <c r="C66" s="500" t="s">
        <v>2419</v>
      </c>
      <c r="D66" s="500" t="s">
        <v>2420</v>
      </c>
      <c r="E66" s="500" t="s">
        <v>2421</v>
      </c>
      <c r="F66" s="500" t="s">
        <v>2422</v>
      </c>
      <c r="G66" s="500" t="s">
        <v>2423</v>
      </c>
      <c r="H66" s="500" t="s">
        <v>2424</v>
      </c>
      <c r="I66" s="500" t="s">
        <v>2425</v>
      </c>
      <c r="J66" s="500"/>
      <c r="K66" s="501"/>
      <c r="L66" s="502"/>
      <c r="M66" s="503"/>
      <c r="N66" s="2985"/>
      <c r="O66" s="2985"/>
      <c r="P66" s="2994"/>
      <c r="Q66" s="2971"/>
      <c r="R66" s="2957"/>
      <c r="S66" s="2957"/>
      <c r="T66" s="2957"/>
      <c r="U66" s="2957"/>
      <c r="V66" s="2957"/>
      <c r="W66" s="2957"/>
      <c r="X66" s="2957"/>
      <c r="Y66" s="2957"/>
      <c r="Z66" s="2957"/>
      <c r="AA66" s="2957"/>
      <c r="AB66" s="2957"/>
      <c r="AC66" s="2957"/>
    </row>
    <row r="67" spans="1:29" ht="14.4" thickBot="1">
      <c r="A67" s="495"/>
      <c r="B67" s="504"/>
      <c r="C67" s="505" t="s">
        <v>24</v>
      </c>
      <c r="D67" s="505" t="s">
        <v>25</v>
      </c>
      <c r="E67" s="505">
        <v>100</v>
      </c>
      <c r="F67" s="505">
        <f>E67-$K10</f>
        <v>100</v>
      </c>
      <c r="G67" s="505">
        <f>F67-$K10</f>
        <v>100</v>
      </c>
      <c r="H67" s="505">
        <f>G67-$K10</f>
        <v>100</v>
      </c>
      <c r="I67" s="505">
        <f>H67-$K10</f>
        <v>100</v>
      </c>
      <c r="J67" s="505"/>
      <c r="K67" s="505"/>
      <c r="L67" s="505"/>
      <c r="M67" s="506"/>
      <c r="N67" s="2986"/>
      <c r="O67" s="2986"/>
      <c r="P67" s="2994"/>
      <c r="Q67" s="2971"/>
      <c r="R67" s="2957"/>
      <c r="S67" s="2957"/>
      <c r="T67" s="2957"/>
      <c r="U67" s="2957"/>
      <c r="V67" s="2957"/>
      <c r="W67" s="2957"/>
      <c r="X67" s="2957"/>
      <c r="Y67" s="2957"/>
      <c r="Z67" s="2957"/>
      <c r="AA67" s="2957"/>
      <c r="AB67" s="2957"/>
      <c r="AC67" s="2957"/>
    </row>
    <row r="68" spans="1:29" ht="15" thickTop="1">
      <c r="A68" s="495"/>
      <c r="B68" s="507" t="s">
        <v>2388</v>
      </c>
      <c r="C68" s="508" t="str">
        <f>C69&amp;"（含）"&amp;"-"&amp;D69</f>
        <v>（含）-</v>
      </c>
      <c r="D68" s="508" t="str">
        <f t="shared" ref="D68:L68" si="17">D69&amp;"（含）"&amp;"-"&amp;E69</f>
        <v>（含）-</v>
      </c>
      <c r="E68" s="508" t="str">
        <f t="shared" si="17"/>
        <v>（含）-</v>
      </c>
      <c r="F68" s="508" t="str">
        <f t="shared" si="17"/>
        <v>（含）-</v>
      </c>
      <c r="G68" s="508" t="str">
        <f t="shared" si="17"/>
        <v>（含）-</v>
      </c>
      <c r="H68" s="508" t="str">
        <f t="shared" si="17"/>
        <v>（含）-</v>
      </c>
      <c r="I68" s="508" t="str">
        <f t="shared" si="17"/>
        <v>（含）-</v>
      </c>
      <c r="J68" s="508" t="str">
        <f t="shared" si="17"/>
        <v>（含）-</v>
      </c>
      <c r="K68" s="508" t="str">
        <f t="shared" si="17"/>
        <v>（含）-</v>
      </c>
      <c r="L68" s="508" t="str">
        <f t="shared" si="17"/>
        <v>（含）-</v>
      </c>
      <c r="M68" s="411" t="str">
        <f>M69&amp;"（含）"&amp;"-"&amp;P69</f>
        <v>（含）-</v>
      </c>
      <c r="N68" s="2986"/>
      <c r="O68" s="2986"/>
      <c r="P68" s="2994"/>
      <c r="Q68" s="2971"/>
      <c r="R68" s="2957"/>
      <c r="S68" s="2957"/>
      <c r="T68" s="2957"/>
      <c r="U68" s="2957"/>
      <c r="V68" s="2957"/>
      <c r="W68" s="2957"/>
      <c r="X68" s="2957"/>
      <c r="Y68" s="2957"/>
      <c r="Z68" s="2957"/>
      <c r="AA68" s="2957"/>
      <c r="AB68" s="2957"/>
      <c r="AC68" s="2957"/>
    </row>
    <row r="69" spans="1:29">
      <c r="A69" s="495"/>
      <c r="B69" s="509"/>
      <c r="C69" s="510"/>
      <c r="D69" s="510"/>
      <c r="E69" s="510"/>
      <c r="F69" s="510"/>
      <c r="G69" s="510"/>
      <c r="H69" s="510"/>
      <c r="I69" s="510"/>
      <c r="J69" s="510"/>
      <c r="K69" s="511"/>
      <c r="L69" s="512"/>
      <c r="M69" s="513"/>
      <c r="N69" s="2985"/>
      <c r="O69" s="2985"/>
      <c r="P69" s="2994"/>
      <c r="Q69" s="2971"/>
      <c r="R69" s="2957"/>
      <c r="S69" s="2957"/>
      <c r="T69" s="2957"/>
      <c r="U69" s="2957"/>
      <c r="V69" s="2957"/>
      <c r="W69" s="2957"/>
      <c r="X69" s="2957"/>
      <c r="Y69" s="2957"/>
      <c r="Z69" s="2957"/>
      <c r="AA69" s="2957"/>
      <c r="AB69" s="2957"/>
      <c r="AC69" s="2957"/>
    </row>
    <row r="70" spans="1:29" ht="14.4" thickBot="1">
      <c r="A70" s="495"/>
      <c r="B70" s="496"/>
      <c r="C70" s="505">
        <v>100</v>
      </c>
      <c r="D70" s="505">
        <f t="shared" ref="D70:M70" si="18">C70-$K11</f>
        <v>100</v>
      </c>
      <c r="E70" s="505">
        <f t="shared" si="18"/>
        <v>100</v>
      </c>
      <c r="F70" s="505">
        <f t="shared" si="18"/>
        <v>100</v>
      </c>
      <c r="G70" s="505">
        <f t="shared" si="18"/>
        <v>100</v>
      </c>
      <c r="H70" s="505">
        <f t="shared" si="18"/>
        <v>100</v>
      </c>
      <c r="I70" s="505">
        <f t="shared" si="18"/>
        <v>100</v>
      </c>
      <c r="J70" s="505">
        <f t="shared" si="18"/>
        <v>100</v>
      </c>
      <c r="K70" s="505">
        <f t="shared" si="18"/>
        <v>100</v>
      </c>
      <c r="L70" s="505">
        <f t="shared" si="18"/>
        <v>100</v>
      </c>
      <c r="M70" s="506">
        <f t="shared" si="18"/>
        <v>100</v>
      </c>
      <c r="N70" s="2986"/>
      <c r="O70" s="2986"/>
      <c r="P70" s="2994"/>
      <c r="Q70" s="2971"/>
      <c r="R70" s="2957"/>
      <c r="S70" s="2957"/>
      <c r="T70" s="2957"/>
      <c r="U70" s="2957"/>
      <c r="V70" s="2957"/>
      <c r="W70" s="2957"/>
      <c r="X70" s="2957"/>
      <c r="Y70" s="2957"/>
      <c r="Z70" s="2957"/>
      <c r="AA70" s="2957"/>
      <c r="AB70" s="2957"/>
      <c r="AC70" s="2957"/>
    </row>
    <row r="71" spans="1:29" s="434" customFormat="1" ht="14.4" thickTop="1">
      <c r="A71" s="514"/>
      <c r="B71" s="499">
        <f>B12</f>
        <v>111</v>
      </c>
      <c r="C71" s="515"/>
      <c r="D71" s="515"/>
      <c r="E71" s="515"/>
      <c r="F71" s="515"/>
      <c r="G71" s="515"/>
      <c r="H71" s="516"/>
      <c r="I71" s="516"/>
      <c r="J71" s="516"/>
      <c r="K71" s="516"/>
      <c r="L71" s="517"/>
      <c r="M71" s="518"/>
      <c r="N71" s="2987"/>
      <c r="O71" s="2987"/>
      <c r="P71" s="2995"/>
      <c r="Q71" s="2978"/>
      <c r="R71" s="2979"/>
      <c r="S71" s="2979"/>
      <c r="T71" s="2979"/>
      <c r="U71" s="2979"/>
      <c r="V71" s="2979"/>
      <c r="W71" s="2979"/>
      <c r="X71" s="2979"/>
      <c r="Y71" s="2979"/>
      <c r="Z71" s="2979"/>
      <c r="AA71" s="2979"/>
      <c r="AB71" s="2979"/>
      <c r="AC71" s="2979"/>
    </row>
    <row r="72" spans="1:29" s="434" customFormat="1" ht="14.4" thickBot="1">
      <c r="A72" s="514"/>
      <c r="B72" s="504"/>
      <c r="C72" s="521"/>
      <c r="D72" s="497"/>
      <c r="E72" s="497"/>
      <c r="F72" s="497"/>
      <c r="G72" s="497"/>
      <c r="H72" s="497"/>
      <c r="I72" s="497"/>
      <c r="J72" s="497"/>
      <c r="K72" s="497"/>
      <c r="L72" s="497"/>
      <c r="M72" s="498"/>
      <c r="N72" s="2986"/>
      <c r="O72" s="2986"/>
      <c r="P72" s="2995"/>
      <c r="Q72" s="2978"/>
      <c r="R72" s="2979"/>
      <c r="S72" s="2979"/>
      <c r="T72" s="2979"/>
      <c r="U72" s="2979"/>
      <c r="V72" s="2979"/>
      <c r="W72" s="2979"/>
      <c r="X72" s="2979"/>
      <c r="Y72" s="2979"/>
      <c r="Z72" s="2979"/>
      <c r="AA72" s="2979"/>
      <c r="AB72" s="2979"/>
      <c r="AC72" s="2979"/>
    </row>
    <row r="73" spans="1:29" s="434" customFormat="1" ht="14.4" thickTop="1">
      <c r="A73" s="514"/>
      <c r="B73" s="499">
        <f>B13</f>
        <v>111</v>
      </c>
      <c r="C73" s="515"/>
      <c r="D73" s="515"/>
      <c r="E73" s="515"/>
      <c r="F73" s="515"/>
      <c r="G73" s="515"/>
      <c r="H73" s="516"/>
      <c r="I73" s="516"/>
      <c r="J73" s="516"/>
      <c r="K73" s="516"/>
      <c r="L73" s="517"/>
      <c r="M73" s="518"/>
      <c r="N73" s="2987"/>
      <c r="O73" s="2987"/>
      <c r="P73" s="2996"/>
      <c r="Q73" s="2981"/>
      <c r="R73" s="2979"/>
      <c r="S73" s="2979"/>
      <c r="T73" s="2979"/>
      <c r="U73" s="2979"/>
      <c r="V73" s="2979"/>
      <c r="W73" s="2979"/>
      <c r="X73" s="2979"/>
      <c r="Y73" s="2979"/>
      <c r="Z73" s="2979"/>
      <c r="AA73" s="2979"/>
      <c r="AB73" s="2979"/>
      <c r="AC73" s="2979"/>
    </row>
    <row r="74" spans="1:29" s="434" customFormat="1" ht="14.4" thickBot="1">
      <c r="A74" s="514"/>
      <c r="B74" s="504"/>
      <c r="C74" s="521"/>
      <c r="D74" s="521"/>
      <c r="E74" s="521"/>
      <c r="F74" s="521"/>
      <c r="G74" s="521"/>
      <c r="H74" s="523"/>
      <c r="I74" s="523"/>
      <c r="J74" s="523"/>
      <c r="K74" s="523"/>
      <c r="L74" s="523"/>
      <c r="M74" s="524"/>
      <c r="N74" s="2987"/>
      <c r="O74" s="2987"/>
      <c r="P74" s="2995"/>
      <c r="Q74" s="2978"/>
      <c r="R74" s="2979"/>
      <c r="S74" s="2979"/>
      <c r="T74" s="2979"/>
      <c r="U74" s="2979"/>
      <c r="V74" s="2979"/>
      <c r="W74" s="2979"/>
      <c r="X74" s="2979"/>
      <c r="Y74" s="2979"/>
      <c r="Z74" s="2979"/>
      <c r="AA74" s="2979"/>
      <c r="AB74" s="2979"/>
      <c r="AC74" s="2979"/>
    </row>
    <row r="75" spans="1:29" s="434" customFormat="1" ht="14.4" thickTop="1">
      <c r="A75" s="514"/>
      <c r="B75" s="507">
        <f>B14</f>
        <v>111</v>
      </c>
      <c r="C75" s="484"/>
      <c r="D75" s="484"/>
      <c r="E75" s="484"/>
      <c r="F75" s="484"/>
      <c r="G75" s="484"/>
      <c r="H75" s="525"/>
      <c r="I75" s="525"/>
      <c r="J75" s="525"/>
      <c r="K75" s="525"/>
      <c r="L75" s="526"/>
      <c r="M75" s="527"/>
      <c r="N75" s="2987"/>
      <c r="O75" s="2987"/>
      <c r="P75" s="2997"/>
      <c r="Q75" s="2978"/>
      <c r="R75" s="2979"/>
      <c r="S75" s="2979"/>
      <c r="T75" s="2979"/>
      <c r="U75" s="2979"/>
      <c r="V75" s="2979"/>
      <c r="W75" s="2979"/>
      <c r="X75" s="2979"/>
      <c r="Y75" s="2979"/>
      <c r="Z75" s="2979"/>
      <c r="AA75" s="2979"/>
      <c r="AB75" s="2979"/>
      <c r="AC75" s="2979"/>
    </row>
    <row r="76" spans="1:29" s="434" customFormat="1" ht="14.4" thickBot="1">
      <c r="A76" s="529"/>
      <c r="B76" s="530"/>
      <c r="C76" s="531"/>
      <c r="D76" s="531"/>
      <c r="E76" s="531"/>
      <c r="F76" s="531"/>
      <c r="G76" s="531"/>
      <c r="H76" s="532"/>
      <c r="I76" s="532"/>
      <c r="J76" s="532"/>
      <c r="K76" s="532"/>
      <c r="L76" s="532"/>
      <c r="M76" s="533"/>
      <c r="N76" s="2987"/>
      <c r="O76" s="2987"/>
      <c r="P76" s="2995"/>
      <c r="Q76" s="2978"/>
      <c r="R76" s="2979"/>
      <c r="S76" s="2979"/>
      <c r="T76" s="2979"/>
      <c r="U76" s="2979"/>
      <c r="V76" s="2979"/>
      <c r="W76" s="2979"/>
      <c r="X76" s="2979"/>
      <c r="Y76" s="2979"/>
      <c r="Z76" s="2979"/>
      <c r="AA76" s="2979"/>
      <c r="AB76" s="2979"/>
      <c r="AC76" s="2979"/>
    </row>
    <row r="77" spans="1:29" ht="14.4">
      <c r="A77" s="488" t="s">
        <v>2389</v>
      </c>
      <c r="B77" s="489" t="s">
        <v>2527</v>
      </c>
      <c r="C77" s="534" t="s">
        <v>2427</v>
      </c>
      <c r="D77" s="534" t="s">
        <v>2428</v>
      </c>
      <c r="E77" s="534" t="s">
        <v>2429</v>
      </c>
      <c r="F77" s="534" t="s">
        <v>2430</v>
      </c>
      <c r="G77" s="534" t="s">
        <v>2431</v>
      </c>
      <c r="H77" s="490"/>
      <c r="I77" s="490"/>
      <c r="J77" s="490"/>
      <c r="K77" s="535"/>
      <c r="L77" s="536"/>
      <c r="M77" s="537"/>
      <c r="N77" s="2985"/>
      <c r="O77" s="2985"/>
      <c r="P77" s="2998"/>
      <c r="Q77" s="2971"/>
      <c r="R77" s="2957"/>
      <c r="S77" s="2957"/>
      <c r="T77" s="2957"/>
      <c r="U77" s="2957"/>
      <c r="V77" s="2957"/>
      <c r="W77" s="2957"/>
      <c r="X77" s="2957"/>
      <c r="Y77" s="2957"/>
      <c r="Z77" s="2957"/>
      <c r="AA77" s="2957"/>
      <c r="AB77" s="2957"/>
      <c r="AC77" s="2957"/>
    </row>
    <row r="78" spans="1:29" ht="14.4" thickBot="1">
      <c r="A78" s="495"/>
      <c r="B78" s="504"/>
      <c r="C78" s="505">
        <v>100</v>
      </c>
      <c r="D78" s="505">
        <f>C78-$K15</f>
        <v>100</v>
      </c>
      <c r="E78" s="505">
        <f>D78-$K15</f>
        <v>100</v>
      </c>
      <c r="F78" s="505">
        <f>E78-$K15</f>
        <v>100</v>
      </c>
      <c r="G78" s="505">
        <f>F78-$K15</f>
        <v>100</v>
      </c>
      <c r="H78" s="505"/>
      <c r="I78" s="505"/>
      <c r="J78" s="505"/>
      <c r="K78" s="505"/>
      <c r="L78" s="505"/>
      <c r="M78" s="506"/>
      <c r="N78" s="2986"/>
      <c r="O78" s="2986"/>
      <c r="P78" s="2994"/>
      <c r="Q78" s="2971"/>
      <c r="R78" s="2957"/>
      <c r="S78" s="2957"/>
      <c r="T78" s="2957"/>
      <c r="U78" s="2957"/>
      <c r="V78" s="2957"/>
      <c r="W78" s="2957"/>
      <c r="X78" s="2957"/>
      <c r="Y78" s="2957"/>
      <c r="Z78" s="2957"/>
      <c r="AA78" s="2957"/>
      <c r="AB78" s="2957"/>
      <c r="AC78" s="2957"/>
    </row>
    <row r="79" spans="1:29" ht="15" thickTop="1">
      <c r="A79" s="495"/>
      <c r="B79" s="499" t="s">
        <v>2432</v>
      </c>
      <c r="C79" s="539" t="s">
        <v>2427</v>
      </c>
      <c r="D79" s="539" t="s">
        <v>2428</v>
      </c>
      <c r="E79" s="539" t="s">
        <v>2429</v>
      </c>
      <c r="F79" s="539" t="s">
        <v>2430</v>
      </c>
      <c r="G79" s="539" t="s">
        <v>2431</v>
      </c>
      <c r="H79" s="500"/>
      <c r="I79" s="500"/>
      <c r="J79" s="500"/>
      <c r="K79" s="501"/>
      <c r="L79" s="502"/>
      <c r="M79" s="503"/>
      <c r="N79" s="2985"/>
      <c r="O79" s="2985"/>
      <c r="P79" s="2994"/>
      <c r="Q79" s="2971"/>
      <c r="R79" s="2957"/>
      <c r="S79" s="2957"/>
      <c r="T79" s="2957"/>
      <c r="U79" s="2957"/>
      <c r="V79" s="2957"/>
      <c r="W79" s="2957"/>
      <c r="X79" s="2957"/>
      <c r="Y79" s="2957"/>
      <c r="Z79" s="2957"/>
      <c r="AA79" s="2957"/>
      <c r="AB79" s="2957"/>
      <c r="AC79" s="2957"/>
    </row>
    <row r="80" spans="1:29" ht="14.4" thickBot="1">
      <c r="A80" s="495"/>
      <c r="B80" s="504"/>
      <c r="C80" s="505">
        <v>100</v>
      </c>
      <c r="D80" s="505">
        <f>C80-$K17</f>
        <v>100</v>
      </c>
      <c r="E80" s="505">
        <f>D80-$K17</f>
        <v>100</v>
      </c>
      <c r="F80" s="505">
        <f>E80-$K17</f>
        <v>100</v>
      </c>
      <c r="G80" s="505">
        <f>F80-$K17</f>
        <v>100</v>
      </c>
      <c r="H80" s="505"/>
      <c r="I80" s="505"/>
      <c r="J80" s="505"/>
      <c r="K80" s="505"/>
      <c r="L80" s="505"/>
      <c r="M80" s="506"/>
      <c r="N80" s="2986"/>
      <c r="O80" s="2986"/>
      <c r="P80" s="2994"/>
      <c r="Q80" s="2971"/>
      <c r="R80" s="2957"/>
      <c r="S80" s="2957"/>
      <c r="T80" s="2957"/>
      <c r="U80" s="2957"/>
      <c r="V80" s="2957"/>
      <c r="W80" s="2957"/>
      <c r="X80" s="2957"/>
      <c r="Y80" s="2957"/>
      <c r="Z80" s="2957"/>
      <c r="AA80" s="2957"/>
      <c r="AB80" s="2957"/>
      <c r="AC80" s="2957"/>
    </row>
    <row r="81" spans="1:29" ht="15" thickTop="1">
      <c r="A81" s="495"/>
      <c r="B81" s="499" t="s">
        <v>2433</v>
      </c>
      <c r="C81" s="539" t="s">
        <v>2427</v>
      </c>
      <c r="D81" s="539" t="s">
        <v>2428</v>
      </c>
      <c r="E81" s="539" t="s">
        <v>2429</v>
      </c>
      <c r="F81" s="539" t="s">
        <v>2430</v>
      </c>
      <c r="G81" s="539" t="s">
        <v>2431</v>
      </c>
      <c r="H81" s="500"/>
      <c r="I81" s="500"/>
      <c r="J81" s="500"/>
      <c r="K81" s="501"/>
      <c r="L81" s="502"/>
      <c r="M81" s="503"/>
      <c r="N81" s="2985"/>
      <c r="O81" s="2985"/>
      <c r="P81" s="2994"/>
      <c r="Q81" s="2971"/>
      <c r="R81" s="2957"/>
      <c r="S81" s="2957"/>
      <c r="T81" s="2957"/>
      <c r="U81" s="2957"/>
      <c r="V81" s="2957"/>
      <c r="W81" s="2957"/>
      <c r="X81" s="2957"/>
      <c r="Y81" s="2957"/>
      <c r="Z81" s="2957"/>
      <c r="AA81" s="2957"/>
      <c r="AB81" s="2957"/>
      <c r="AC81" s="2957"/>
    </row>
    <row r="82" spans="1:29" ht="14.4" thickBot="1">
      <c r="A82" s="495"/>
      <c r="B82" s="504"/>
      <c r="C82" s="505">
        <v>100</v>
      </c>
      <c r="D82" s="505">
        <f>C82-$K19</f>
        <v>100</v>
      </c>
      <c r="E82" s="505">
        <f>D82-$K19</f>
        <v>100</v>
      </c>
      <c r="F82" s="505">
        <f>E82-$K19</f>
        <v>100</v>
      </c>
      <c r="G82" s="505">
        <f>F82-$K19</f>
        <v>100</v>
      </c>
      <c r="H82" s="505"/>
      <c r="I82" s="505"/>
      <c r="J82" s="505"/>
      <c r="K82" s="505"/>
      <c r="L82" s="505"/>
      <c r="M82" s="506"/>
      <c r="N82" s="2986"/>
      <c r="O82" s="2986"/>
      <c r="P82" s="2994"/>
      <c r="Q82" s="2971"/>
      <c r="R82" s="2957"/>
      <c r="S82" s="2957"/>
      <c r="T82" s="2957"/>
      <c r="U82" s="2957"/>
      <c r="V82" s="2957"/>
      <c r="W82" s="2957"/>
      <c r="X82" s="2957"/>
      <c r="Y82" s="2957"/>
      <c r="Z82" s="2957"/>
      <c r="AA82" s="2957"/>
      <c r="AB82" s="2957"/>
      <c r="AC82" s="2957"/>
    </row>
    <row r="83" spans="1:29" ht="15" thickTop="1">
      <c r="A83" s="495"/>
      <c r="B83" s="507" t="s">
        <v>2519</v>
      </c>
      <c r="C83" s="620" t="s">
        <v>2505</v>
      </c>
      <c r="D83" s="620" t="s">
        <v>2506</v>
      </c>
      <c r="E83" s="620" t="s">
        <v>2507</v>
      </c>
      <c r="F83" s="620" t="s">
        <v>2508</v>
      </c>
      <c r="G83" s="620" t="s">
        <v>2509</v>
      </c>
      <c r="H83" s="500"/>
      <c r="I83" s="500"/>
      <c r="J83" s="500"/>
      <c r="K83" s="500"/>
      <c r="L83" s="500"/>
      <c r="M83" s="1295"/>
      <c r="N83" s="2986"/>
      <c r="O83" s="2986"/>
      <c r="P83" s="2994"/>
      <c r="Q83" s="2971"/>
      <c r="R83" s="2957"/>
      <c r="S83" s="2957"/>
      <c r="T83" s="2957"/>
      <c r="U83" s="2957"/>
      <c r="V83" s="2957"/>
      <c r="W83" s="2957"/>
      <c r="X83" s="2957"/>
      <c r="Y83" s="2957"/>
      <c r="Z83" s="2957"/>
      <c r="AA83" s="2957"/>
      <c r="AB83" s="2957"/>
      <c r="AC83" s="2957"/>
    </row>
    <row r="84" spans="1:29" ht="14.4" thickBot="1">
      <c r="A84" s="495"/>
      <c r="B84" s="507"/>
      <c r="C84" s="505">
        <v>100</v>
      </c>
      <c r="D84" s="505">
        <f>C84-$K21</f>
        <v>100</v>
      </c>
      <c r="E84" s="505">
        <f>D84-$K21</f>
        <v>100</v>
      </c>
      <c r="F84" s="505">
        <f>E84-$K21</f>
        <v>100</v>
      </c>
      <c r="G84" s="505">
        <f>F84-$K21</f>
        <v>100</v>
      </c>
      <c r="H84" s="620"/>
      <c r="I84" s="620"/>
      <c r="J84" s="620"/>
      <c r="K84" s="620"/>
      <c r="L84" s="620"/>
      <c r="M84" s="413"/>
      <c r="N84" s="2986"/>
      <c r="O84" s="2986"/>
      <c r="P84" s="2994"/>
      <c r="Q84" s="2971"/>
      <c r="R84" s="2957"/>
      <c r="S84" s="2957"/>
      <c r="T84" s="2957"/>
      <c r="U84" s="2957"/>
      <c r="V84" s="2957"/>
      <c r="W84" s="2957"/>
      <c r="X84" s="2957"/>
      <c r="Y84" s="2957"/>
      <c r="Z84" s="2957"/>
      <c r="AA84" s="2957"/>
      <c r="AB84" s="2957"/>
      <c r="AC84" s="2957"/>
    </row>
    <row r="85" spans="1:29" ht="15" thickTop="1">
      <c r="A85" s="495"/>
      <c r="B85" s="499" t="s">
        <v>2528</v>
      </c>
      <c r="C85" s="539" t="s">
        <v>2427</v>
      </c>
      <c r="D85" s="539" t="s">
        <v>2428</v>
      </c>
      <c r="E85" s="539" t="s">
        <v>2429</v>
      </c>
      <c r="F85" s="539" t="s">
        <v>2430</v>
      </c>
      <c r="G85" s="539" t="s">
        <v>2431</v>
      </c>
      <c r="H85" s="500"/>
      <c r="I85" s="500"/>
      <c r="J85" s="500"/>
      <c r="K85" s="501"/>
      <c r="L85" s="502"/>
      <c r="M85" s="503"/>
      <c r="N85" s="2985"/>
      <c r="O85" s="2985"/>
      <c r="P85" s="2994"/>
      <c r="Q85" s="2971"/>
      <c r="R85" s="2957"/>
      <c r="S85" s="2957"/>
      <c r="T85" s="2957"/>
      <c r="U85" s="2957"/>
      <c r="V85" s="2957"/>
      <c r="W85" s="2957"/>
      <c r="X85" s="2957"/>
      <c r="Y85" s="2957"/>
      <c r="Z85" s="2957"/>
      <c r="AA85" s="2957"/>
      <c r="AB85" s="2957"/>
      <c r="AC85" s="2957"/>
    </row>
    <row r="86" spans="1:29" ht="14.4" thickBot="1">
      <c r="A86" s="495"/>
      <c r="B86" s="504"/>
      <c r="C86" s="505">
        <v>100</v>
      </c>
      <c r="D86" s="505">
        <f>C86-$K23</f>
        <v>100</v>
      </c>
      <c r="E86" s="505">
        <f>D86-$K23</f>
        <v>100</v>
      </c>
      <c r="F86" s="505">
        <f>E86-$K23</f>
        <v>100</v>
      </c>
      <c r="G86" s="505">
        <f>F86-$K23</f>
        <v>100</v>
      </c>
      <c r="H86" s="505"/>
      <c r="I86" s="505"/>
      <c r="J86" s="505"/>
      <c r="K86" s="505"/>
      <c r="L86" s="505"/>
      <c r="M86" s="506"/>
      <c r="N86" s="2986"/>
      <c r="O86" s="2986"/>
      <c r="P86" s="2994"/>
      <c r="Q86" s="2971"/>
      <c r="R86" s="2957"/>
      <c r="S86" s="2957"/>
      <c r="T86" s="2957"/>
      <c r="U86" s="2957"/>
      <c r="V86" s="2957"/>
      <c r="W86" s="2957"/>
      <c r="X86" s="2957"/>
      <c r="Y86" s="2957"/>
      <c r="Z86" s="2957"/>
      <c r="AA86" s="2957"/>
      <c r="AB86" s="2957"/>
      <c r="AC86" s="2957"/>
    </row>
    <row r="87" spans="1:29" s="117" customFormat="1" ht="29.4" thickTop="1">
      <c r="A87" s="540"/>
      <c r="B87" s="499" t="s">
        <v>2529</v>
      </c>
      <c r="C87" s="515"/>
      <c r="D87" s="515"/>
      <c r="E87" s="515"/>
      <c r="F87" s="515"/>
      <c r="G87" s="515"/>
      <c r="H87" s="515"/>
      <c r="I87" s="515"/>
      <c r="J87" s="515"/>
      <c r="K87" s="515"/>
      <c r="L87" s="541"/>
      <c r="M87" s="542"/>
      <c r="N87" s="2984"/>
      <c r="O87" s="2984"/>
      <c r="P87" s="2994"/>
      <c r="Q87" s="2971"/>
      <c r="R87" s="2889"/>
      <c r="S87" s="2889"/>
      <c r="T87" s="2889"/>
      <c r="U87" s="2889"/>
      <c r="V87" s="2889"/>
      <c r="W87" s="2889"/>
      <c r="X87" s="2889"/>
      <c r="Y87" s="2889"/>
      <c r="Z87" s="2889"/>
      <c r="AA87" s="2889"/>
      <c r="AB87" s="2889"/>
      <c r="AC87" s="2889"/>
    </row>
    <row r="88" spans="1:29" s="117" customFormat="1" ht="14.4" thickBot="1">
      <c r="A88" s="540"/>
      <c r="B88" s="504"/>
      <c r="C88" s="543">
        <v>100</v>
      </c>
      <c r="D88" s="505">
        <f t="shared" ref="D88:M88" si="19">C88-$K25</f>
        <v>100</v>
      </c>
      <c r="E88" s="505">
        <f t="shared" si="19"/>
        <v>100</v>
      </c>
      <c r="F88" s="505">
        <f t="shared" si="19"/>
        <v>100</v>
      </c>
      <c r="G88" s="505">
        <f t="shared" si="19"/>
        <v>100</v>
      </c>
      <c r="H88" s="505">
        <f t="shared" si="19"/>
        <v>100</v>
      </c>
      <c r="I88" s="505">
        <f t="shared" si="19"/>
        <v>100</v>
      </c>
      <c r="J88" s="505">
        <f t="shared" si="19"/>
        <v>100</v>
      </c>
      <c r="K88" s="505">
        <f t="shared" si="19"/>
        <v>100</v>
      </c>
      <c r="L88" s="505">
        <f t="shared" si="19"/>
        <v>100</v>
      </c>
      <c r="M88" s="505">
        <f t="shared" si="19"/>
        <v>100</v>
      </c>
      <c r="N88" s="2986"/>
      <c r="O88" s="2986"/>
      <c r="P88" s="2994"/>
      <c r="Q88" s="2971"/>
      <c r="R88" s="2889"/>
      <c r="S88" s="2889"/>
      <c r="T88" s="2889"/>
      <c r="U88" s="2889"/>
      <c r="V88" s="2889"/>
      <c r="W88" s="2889"/>
      <c r="X88" s="2889"/>
      <c r="Y88" s="2889"/>
      <c r="Z88" s="2889"/>
      <c r="AA88" s="2889"/>
      <c r="AB88" s="2889"/>
      <c r="AC88" s="2889"/>
    </row>
    <row r="89" spans="1:29" s="117" customFormat="1" ht="14.4" thickTop="1">
      <c r="A89" s="540"/>
      <c r="B89" s="499" t="str">
        <f>B27</f>
        <v>楼层</v>
      </c>
      <c r="C89" s="515"/>
      <c r="D89" s="515"/>
      <c r="E89" s="515"/>
      <c r="F89" s="2119"/>
      <c r="G89" s="515"/>
      <c r="H89" s="515"/>
      <c r="I89" s="515"/>
      <c r="J89" s="515"/>
      <c r="K89" s="515"/>
      <c r="L89" s="515"/>
      <c r="M89" s="542"/>
      <c r="N89" s="2984"/>
      <c r="O89" s="2984"/>
      <c r="P89" s="2994"/>
      <c r="Q89" s="2971"/>
      <c r="R89" s="2889"/>
      <c r="S89" s="2889"/>
      <c r="T89" s="2889"/>
      <c r="U89" s="2889"/>
      <c r="V89" s="2889"/>
      <c r="W89" s="2889"/>
      <c r="X89" s="2889"/>
      <c r="Y89" s="2889"/>
      <c r="Z89" s="2889"/>
      <c r="AA89" s="2889"/>
      <c r="AB89" s="2889"/>
      <c r="AC89" s="2889"/>
    </row>
    <row r="90" spans="1:29" s="117" customFormat="1" ht="14.4" thickBot="1">
      <c r="A90" s="540"/>
      <c r="B90" s="504"/>
      <c r="C90" s="543">
        <v>100</v>
      </c>
      <c r="D90" s="505">
        <f>C90-$K27</f>
        <v>100</v>
      </c>
      <c r="E90" s="505">
        <f t="shared" ref="E90:M90" si="20">D90-$K27</f>
        <v>100</v>
      </c>
      <c r="F90" s="505">
        <f t="shared" si="20"/>
        <v>100</v>
      </c>
      <c r="G90" s="505">
        <f t="shared" si="20"/>
        <v>100</v>
      </c>
      <c r="H90" s="505">
        <f t="shared" si="20"/>
        <v>100</v>
      </c>
      <c r="I90" s="505">
        <f t="shared" si="20"/>
        <v>100</v>
      </c>
      <c r="J90" s="505">
        <f t="shared" si="20"/>
        <v>100</v>
      </c>
      <c r="K90" s="505">
        <f t="shared" si="20"/>
        <v>100</v>
      </c>
      <c r="L90" s="505">
        <f t="shared" si="20"/>
        <v>100</v>
      </c>
      <c r="M90" s="505">
        <f t="shared" si="20"/>
        <v>100</v>
      </c>
      <c r="N90" s="2986"/>
      <c r="O90" s="2986"/>
      <c r="P90" s="2994"/>
      <c r="Q90" s="2971"/>
      <c r="R90" s="2889"/>
      <c r="S90" s="2889"/>
      <c r="T90" s="2889"/>
      <c r="U90" s="2889"/>
      <c r="V90" s="2889"/>
      <c r="W90" s="2889"/>
      <c r="X90" s="2889"/>
      <c r="Y90" s="2889"/>
      <c r="Z90" s="2889"/>
      <c r="AA90" s="2889"/>
      <c r="AB90" s="2889"/>
      <c r="AC90" s="2889"/>
    </row>
    <row r="91" spans="1:29" s="434" customFormat="1" ht="14.4" thickTop="1">
      <c r="A91" s="514"/>
      <c r="B91" s="499" t="str">
        <f>B28</f>
        <v>朝向</v>
      </c>
      <c r="C91" s="515"/>
      <c r="D91" s="515"/>
      <c r="E91" s="515"/>
      <c r="F91" s="515"/>
      <c r="G91" s="515"/>
      <c r="H91" s="516"/>
      <c r="I91" s="516"/>
      <c r="J91" s="516"/>
      <c r="K91" s="516"/>
      <c r="L91" s="517"/>
      <c r="M91" s="518"/>
      <c r="N91" s="2987"/>
      <c r="O91" s="2987"/>
      <c r="P91" s="2995"/>
      <c r="Q91" s="2978"/>
      <c r="R91" s="2979"/>
      <c r="S91" s="2979"/>
      <c r="T91" s="2979"/>
      <c r="U91" s="2979"/>
      <c r="V91" s="2979"/>
      <c r="W91" s="2979"/>
      <c r="X91" s="2979"/>
      <c r="Y91" s="2979"/>
      <c r="Z91" s="2979"/>
      <c r="AA91" s="2979"/>
      <c r="AB91" s="2979"/>
      <c r="AC91" s="2979"/>
    </row>
    <row r="92" spans="1:29" s="434" customFormat="1" ht="14.4" thickBot="1">
      <c r="A92" s="514"/>
      <c r="B92" s="504"/>
      <c r="C92" s="543">
        <v>100</v>
      </c>
      <c r="D92" s="505">
        <f t="shared" ref="D92:M92" si="21">C92-$K28</f>
        <v>100</v>
      </c>
      <c r="E92" s="505">
        <f t="shared" si="21"/>
        <v>100</v>
      </c>
      <c r="F92" s="505">
        <f t="shared" si="21"/>
        <v>100</v>
      </c>
      <c r="G92" s="505">
        <f t="shared" si="21"/>
        <v>100</v>
      </c>
      <c r="H92" s="505">
        <f t="shared" si="21"/>
        <v>100</v>
      </c>
      <c r="I92" s="505">
        <f t="shared" si="21"/>
        <v>100</v>
      </c>
      <c r="J92" s="505">
        <f t="shared" si="21"/>
        <v>100</v>
      </c>
      <c r="K92" s="505">
        <f t="shared" si="21"/>
        <v>100</v>
      </c>
      <c r="L92" s="505">
        <f t="shared" si="21"/>
        <v>100</v>
      </c>
      <c r="M92" s="505">
        <f t="shared" si="21"/>
        <v>100</v>
      </c>
      <c r="N92" s="2987"/>
      <c r="O92" s="2987"/>
      <c r="P92" s="2995"/>
      <c r="Q92" s="2978"/>
      <c r="R92" s="2979"/>
      <c r="S92" s="2979"/>
      <c r="T92" s="2979"/>
      <c r="U92" s="2979"/>
      <c r="V92" s="2979"/>
      <c r="W92" s="2979"/>
      <c r="X92" s="2979"/>
      <c r="Y92" s="2979"/>
      <c r="Z92" s="2979"/>
      <c r="AA92" s="2979"/>
      <c r="AB92" s="2979"/>
      <c r="AC92" s="2979"/>
    </row>
    <row r="93" spans="1:29" ht="14.4" thickTop="1">
      <c r="A93" s="495"/>
      <c r="B93" s="499">
        <f>B29</f>
        <v>111</v>
      </c>
      <c r="C93" s="515"/>
      <c r="D93" s="515"/>
      <c r="E93" s="515"/>
      <c r="F93" s="515"/>
      <c r="G93" s="515"/>
      <c r="H93" s="515"/>
      <c r="I93" s="515"/>
      <c r="J93" s="515"/>
      <c r="K93" s="515"/>
      <c r="L93" s="541"/>
      <c r="M93" s="542"/>
      <c r="N93" s="2985"/>
      <c r="O93" s="2985"/>
      <c r="P93" s="2994"/>
      <c r="Q93" s="2971"/>
      <c r="R93" s="2957"/>
      <c r="S93" s="2957"/>
      <c r="T93" s="2957"/>
      <c r="U93" s="2957"/>
      <c r="V93" s="2957"/>
      <c r="W93" s="2957"/>
      <c r="X93" s="2957"/>
      <c r="Y93" s="2957"/>
      <c r="Z93" s="2957"/>
      <c r="AA93" s="2957"/>
      <c r="AB93" s="2957"/>
      <c r="AC93" s="2957"/>
    </row>
    <row r="94" spans="1:29" ht="14.4" thickBot="1">
      <c r="A94" s="495"/>
      <c r="B94" s="504"/>
      <c r="C94" s="521"/>
      <c r="D94" s="497"/>
      <c r="E94" s="497"/>
      <c r="F94" s="497"/>
      <c r="G94" s="497"/>
      <c r="H94" s="497"/>
      <c r="I94" s="497"/>
      <c r="J94" s="497"/>
      <c r="K94" s="497"/>
      <c r="L94" s="497"/>
      <c r="M94" s="498"/>
      <c r="N94" s="2986"/>
      <c r="O94" s="2986"/>
      <c r="P94" s="2994"/>
      <c r="Q94" s="2971"/>
      <c r="R94" s="2957"/>
      <c r="S94" s="2957"/>
      <c r="T94" s="2957"/>
      <c r="U94" s="2957"/>
      <c r="V94" s="2957"/>
      <c r="W94" s="2957"/>
      <c r="X94" s="2957"/>
      <c r="Y94" s="2957"/>
      <c r="Z94" s="2957"/>
      <c r="AA94" s="2957"/>
      <c r="AB94" s="2957"/>
      <c r="AC94" s="2957"/>
    </row>
    <row r="95" spans="1:29" ht="14.4" thickTop="1">
      <c r="A95" s="495"/>
      <c r="B95" s="499">
        <f>B30</f>
        <v>111</v>
      </c>
      <c r="C95" s="515"/>
      <c r="D95" s="515"/>
      <c r="E95" s="515"/>
      <c r="F95" s="515"/>
      <c r="G95" s="544"/>
      <c r="H95" s="544"/>
      <c r="I95" s="544"/>
      <c r="J95" s="544"/>
      <c r="K95" s="545"/>
      <c r="L95" s="546"/>
      <c r="M95" s="547"/>
      <c r="N95" s="2985"/>
      <c r="O95" s="2985"/>
      <c r="P95" s="2994"/>
      <c r="Q95" s="2971"/>
      <c r="R95" s="2957"/>
      <c r="S95" s="2957"/>
      <c r="T95" s="2957"/>
      <c r="U95" s="2957"/>
      <c r="V95" s="2957"/>
      <c r="W95" s="2957"/>
      <c r="X95" s="2957"/>
      <c r="Y95" s="2957"/>
      <c r="Z95" s="2957"/>
      <c r="AA95" s="2957"/>
      <c r="AB95" s="2957"/>
      <c r="AC95" s="2957"/>
    </row>
    <row r="96" spans="1:29" ht="14.4" thickBot="1">
      <c r="A96" s="495"/>
      <c r="B96" s="504"/>
      <c r="C96" s="521"/>
      <c r="D96" s="521"/>
      <c r="E96" s="521"/>
      <c r="F96" s="521"/>
      <c r="G96" s="497"/>
      <c r="H96" s="497"/>
      <c r="I96" s="497"/>
      <c r="J96" s="497"/>
      <c r="K96" s="497"/>
      <c r="L96" s="497"/>
      <c r="M96" s="498"/>
      <c r="N96" s="2986"/>
      <c r="O96" s="2986"/>
      <c r="P96" s="2994"/>
      <c r="Q96" s="2971"/>
      <c r="R96" s="2957"/>
      <c r="S96" s="2957"/>
      <c r="T96" s="2957"/>
      <c r="U96" s="2957"/>
      <c r="V96" s="2957"/>
      <c r="W96" s="2957"/>
      <c r="X96" s="2957"/>
      <c r="Y96" s="2957"/>
      <c r="Z96" s="2957"/>
      <c r="AA96" s="2957"/>
      <c r="AB96" s="2957"/>
      <c r="AC96" s="2957"/>
    </row>
    <row r="97" spans="1:29" ht="14.4" thickTop="1">
      <c r="A97" s="495"/>
      <c r="B97" s="499">
        <f>B31</f>
        <v>111</v>
      </c>
      <c r="C97" s="515"/>
      <c r="D97" s="515"/>
      <c r="E97" s="515"/>
      <c r="F97" s="515"/>
      <c r="G97" s="544"/>
      <c r="H97" s="544"/>
      <c r="I97" s="544"/>
      <c r="J97" s="544"/>
      <c r="K97" s="545"/>
      <c r="L97" s="546"/>
      <c r="M97" s="547"/>
      <c r="N97" s="2985"/>
      <c r="O97" s="2985"/>
      <c r="P97" s="2994"/>
      <c r="Q97" s="2971"/>
      <c r="R97" s="2957"/>
      <c r="S97" s="2957"/>
      <c r="T97" s="2957"/>
      <c r="U97" s="2957"/>
      <c r="V97" s="2957"/>
      <c r="W97" s="2957"/>
      <c r="X97" s="2957"/>
      <c r="Y97" s="2957"/>
      <c r="Z97" s="2957"/>
      <c r="AA97" s="2957"/>
      <c r="AB97" s="2957"/>
      <c r="AC97" s="2957"/>
    </row>
    <row r="98" spans="1:29" ht="14.4" thickBot="1">
      <c r="A98" s="495"/>
      <c r="B98" s="504"/>
      <c r="C98" s="521"/>
      <c r="D98" s="497"/>
      <c r="E98" s="497"/>
      <c r="F98" s="497"/>
      <c r="G98" s="497"/>
      <c r="H98" s="497"/>
      <c r="I98" s="497"/>
      <c r="J98" s="497"/>
      <c r="K98" s="497"/>
      <c r="L98" s="497"/>
      <c r="M98" s="498"/>
      <c r="N98" s="2986"/>
      <c r="O98" s="2986"/>
      <c r="P98" s="2994"/>
      <c r="Q98" s="2971"/>
      <c r="R98" s="2957"/>
      <c r="S98" s="2957"/>
      <c r="T98" s="2957"/>
      <c r="U98" s="2957"/>
      <c r="V98" s="2957"/>
      <c r="W98" s="2957"/>
      <c r="X98" s="2957"/>
      <c r="Y98" s="2957"/>
      <c r="Z98" s="2957"/>
      <c r="AA98" s="2957"/>
      <c r="AB98" s="2957"/>
      <c r="AC98" s="2957"/>
    </row>
    <row r="99" spans="1:29" ht="14.4" thickTop="1">
      <c r="A99" s="495"/>
      <c r="B99" s="507">
        <f>B32</f>
        <v>111</v>
      </c>
      <c r="C99" s="484"/>
      <c r="D99" s="484"/>
      <c r="E99" s="484"/>
      <c r="F99" s="484"/>
      <c r="G99" s="548"/>
      <c r="H99" s="548"/>
      <c r="I99" s="548"/>
      <c r="J99" s="548"/>
      <c r="K99" s="549"/>
      <c r="L99" s="550"/>
      <c r="M99" s="551"/>
      <c r="N99" s="2985"/>
      <c r="O99" s="2985"/>
      <c r="P99" s="2994"/>
      <c r="Q99" s="2971"/>
      <c r="R99" s="2957"/>
      <c r="S99" s="2957"/>
      <c r="T99" s="2957"/>
      <c r="U99" s="2957"/>
      <c r="V99" s="2957"/>
      <c r="W99" s="2957"/>
      <c r="X99" s="2957"/>
      <c r="Y99" s="2957"/>
      <c r="Z99" s="2957"/>
      <c r="AA99" s="2957"/>
      <c r="AB99" s="2957"/>
      <c r="AC99" s="2957"/>
    </row>
    <row r="100" spans="1:29" ht="14.4" thickBot="1">
      <c r="A100" s="2120"/>
      <c r="B100" s="530"/>
      <c r="C100" s="531"/>
      <c r="D100" s="531"/>
      <c r="E100" s="531"/>
      <c r="F100" s="531"/>
      <c r="G100" s="552"/>
      <c r="H100" s="552"/>
      <c r="I100" s="552"/>
      <c r="J100" s="552"/>
      <c r="K100" s="552"/>
      <c r="L100" s="552"/>
      <c r="M100" s="553"/>
      <c r="N100" s="2986"/>
      <c r="O100" s="2986"/>
      <c r="P100" s="2994"/>
      <c r="Q100" s="2971"/>
      <c r="R100" s="2957"/>
      <c r="S100" s="2957"/>
      <c r="T100" s="2957"/>
      <c r="U100" s="2957"/>
      <c r="V100" s="2957"/>
      <c r="W100" s="2957"/>
      <c r="X100" s="2957"/>
      <c r="Y100" s="2957"/>
      <c r="Z100" s="2957"/>
      <c r="AA100" s="2957"/>
      <c r="AB100" s="2957"/>
      <c r="AC100" s="2957"/>
    </row>
    <row r="101" spans="1:29" ht="14.4">
      <c r="A101" s="488" t="s">
        <v>2393</v>
      </c>
      <c r="B101" s="489" t="s">
        <v>2442</v>
      </c>
      <c r="C101" s="491"/>
      <c r="D101" s="491"/>
      <c r="E101" s="491"/>
      <c r="F101" s="491"/>
      <c r="G101" s="491"/>
      <c r="H101" s="491"/>
      <c r="I101" s="491"/>
      <c r="J101" s="491"/>
      <c r="K101" s="492"/>
      <c r="L101" s="493"/>
      <c r="M101" s="494"/>
      <c r="N101" s="2985"/>
      <c r="O101" s="2985"/>
      <c r="P101" s="2994"/>
      <c r="Q101" s="2971"/>
      <c r="R101" s="2957"/>
      <c r="S101" s="2957"/>
      <c r="T101" s="2957"/>
      <c r="U101" s="2957"/>
      <c r="V101" s="2957"/>
      <c r="W101" s="2957"/>
      <c r="X101" s="2957"/>
      <c r="Y101" s="2957"/>
      <c r="Z101" s="2957"/>
      <c r="AA101" s="2957"/>
      <c r="AB101" s="2957"/>
      <c r="AC101" s="2957"/>
    </row>
    <row r="102" spans="1:29" ht="14.4" thickBot="1">
      <c r="A102" s="495"/>
      <c r="B102" s="504"/>
      <c r="C102" s="505">
        <v>100</v>
      </c>
      <c r="D102" s="505">
        <f t="shared" ref="D102:M102" si="22">C102-$K33</f>
        <v>100</v>
      </c>
      <c r="E102" s="505">
        <f t="shared" si="22"/>
        <v>100</v>
      </c>
      <c r="F102" s="505">
        <f t="shared" si="22"/>
        <v>100</v>
      </c>
      <c r="G102" s="505">
        <f t="shared" si="22"/>
        <v>100</v>
      </c>
      <c r="H102" s="505">
        <f t="shared" si="22"/>
        <v>100</v>
      </c>
      <c r="I102" s="505">
        <f t="shared" si="22"/>
        <v>100</v>
      </c>
      <c r="J102" s="505">
        <f t="shared" si="22"/>
        <v>100</v>
      </c>
      <c r="K102" s="505">
        <f t="shared" si="22"/>
        <v>100</v>
      </c>
      <c r="L102" s="505">
        <f t="shared" si="22"/>
        <v>100</v>
      </c>
      <c r="M102" s="506">
        <f t="shared" si="22"/>
        <v>100</v>
      </c>
      <c r="N102" s="2986"/>
      <c r="O102" s="2986"/>
      <c r="P102" s="2994"/>
      <c r="Q102" s="2971"/>
      <c r="R102" s="2957"/>
      <c r="S102" s="2957"/>
      <c r="T102" s="2957"/>
      <c r="U102" s="2957"/>
      <c r="V102" s="2957"/>
      <c r="W102" s="2957"/>
      <c r="X102" s="2957"/>
      <c r="Y102" s="2957"/>
      <c r="Z102" s="2957"/>
      <c r="AA102" s="2957"/>
      <c r="AB102" s="2957"/>
      <c r="AC102" s="2957"/>
    </row>
    <row r="103" spans="1:29" ht="15" thickTop="1">
      <c r="A103" s="495"/>
      <c r="B103" s="499" t="s">
        <v>2443</v>
      </c>
      <c r="C103" s="539" t="str">
        <f>C104&amp;"(含)"&amp;"-"&amp;D104</f>
        <v>(含)-</v>
      </c>
      <c r="D103" s="539" t="str">
        <f t="shared" ref="D103:L103" si="23">D104&amp;"(含)"&amp;"-"&amp;E104</f>
        <v>(含)-</v>
      </c>
      <c r="E103" s="539" t="str">
        <f t="shared" si="23"/>
        <v>(含)-</v>
      </c>
      <c r="F103" s="539" t="str">
        <f t="shared" si="23"/>
        <v>(含)-</v>
      </c>
      <c r="G103" s="539" t="str">
        <f t="shared" si="23"/>
        <v>(含)-</v>
      </c>
      <c r="H103" s="539" t="str">
        <f t="shared" si="23"/>
        <v>(含)-</v>
      </c>
      <c r="I103" s="539" t="str">
        <f t="shared" si="23"/>
        <v>(含)-</v>
      </c>
      <c r="J103" s="539" t="str">
        <f t="shared" si="23"/>
        <v>(含)-</v>
      </c>
      <c r="K103" s="539" t="str">
        <f t="shared" si="23"/>
        <v>(含)-</v>
      </c>
      <c r="L103" s="539" t="str">
        <f t="shared" si="23"/>
        <v>(含)-</v>
      </c>
      <c r="M103" s="582" t="str">
        <f>M104&amp;"(含)"&amp;"-"&amp;P104</f>
        <v>(含)-</v>
      </c>
      <c r="N103" s="2984"/>
      <c r="O103" s="2984"/>
      <c r="P103" s="2994"/>
      <c r="Q103" s="2971"/>
      <c r="R103" s="2957"/>
      <c r="S103" s="2957"/>
      <c r="T103" s="2957"/>
      <c r="U103" s="2957"/>
      <c r="V103" s="2957"/>
      <c r="W103" s="2957"/>
      <c r="X103" s="2957"/>
      <c r="Y103" s="2957"/>
      <c r="Z103" s="2957"/>
      <c r="AA103" s="2957"/>
      <c r="AB103" s="2957"/>
      <c r="AC103" s="2957"/>
    </row>
    <row r="104" spans="1:29" s="434" customFormat="1">
      <c r="A104" s="554"/>
      <c r="B104" s="555"/>
      <c r="C104" s="556"/>
      <c r="D104" s="556"/>
      <c r="E104" s="556"/>
      <c r="F104" s="556"/>
      <c r="G104" s="556"/>
      <c r="H104" s="556"/>
      <c r="I104" s="556"/>
      <c r="J104" s="557"/>
      <c r="K104" s="557"/>
      <c r="L104" s="558"/>
      <c r="M104" s="559"/>
      <c r="N104" s="2987"/>
      <c r="O104" s="2987"/>
      <c r="P104" s="2995"/>
      <c r="Q104" s="2978"/>
      <c r="R104" s="2979"/>
      <c r="S104" s="2979"/>
      <c r="T104" s="2979"/>
      <c r="U104" s="2979"/>
      <c r="V104" s="2979"/>
      <c r="W104" s="2979"/>
      <c r="X104" s="2979"/>
      <c r="Y104" s="2979"/>
      <c r="Z104" s="2979"/>
      <c r="AA104" s="2979"/>
      <c r="AB104" s="2979"/>
      <c r="AC104" s="2979"/>
    </row>
    <row r="105" spans="1:29" s="434" customFormat="1" ht="14.4" thickBot="1">
      <c r="A105" s="514"/>
      <c r="B105" s="504"/>
      <c r="C105" s="521"/>
      <c r="D105" s="497"/>
      <c r="E105" s="497"/>
      <c r="F105" s="497"/>
      <c r="G105" s="497"/>
      <c r="H105" s="497"/>
      <c r="I105" s="497"/>
      <c r="J105" s="497"/>
      <c r="K105" s="497"/>
      <c r="L105" s="497"/>
      <c r="M105" s="498"/>
      <c r="N105" s="2986"/>
      <c r="O105" s="2986"/>
      <c r="P105" s="2995"/>
      <c r="Q105" s="2978"/>
      <c r="R105" s="2979"/>
      <c r="S105" s="2979"/>
      <c r="T105" s="2979"/>
      <c r="U105" s="2979"/>
      <c r="V105" s="2979"/>
      <c r="W105" s="2979"/>
      <c r="X105" s="2979"/>
      <c r="Y105" s="2979"/>
      <c r="Z105" s="2979"/>
      <c r="AA105" s="2979"/>
      <c r="AB105" s="2979"/>
      <c r="AC105" s="2979"/>
    </row>
    <row r="106" spans="1:29" ht="15" thickTop="1">
      <c r="A106" s="560"/>
      <c r="B106" s="499" t="s">
        <v>2444</v>
      </c>
      <c r="C106" s="515"/>
      <c r="D106" s="515"/>
      <c r="E106" s="544"/>
      <c r="F106" s="544"/>
      <c r="G106" s="544"/>
      <c r="H106" s="544"/>
      <c r="I106" s="544"/>
      <c r="J106" s="544"/>
      <c r="K106" s="545"/>
      <c r="L106" s="546"/>
      <c r="M106" s="547"/>
      <c r="N106" s="2985"/>
      <c r="O106" s="2985"/>
      <c r="P106" s="2994"/>
      <c r="Q106" s="2971"/>
      <c r="R106" s="2957"/>
      <c r="S106" s="2957"/>
      <c r="T106" s="2957"/>
      <c r="U106" s="2957"/>
      <c r="V106" s="2957"/>
      <c r="W106" s="2957"/>
      <c r="X106" s="2957"/>
      <c r="Y106" s="2957"/>
      <c r="Z106" s="2957"/>
      <c r="AA106" s="2957"/>
      <c r="AB106" s="2957"/>
      <c r="AC106" s="2957"/>
    </row>
    <row r="107" spans="1:29" ht="14.4" thickBot="1">
      <c r="A107" s="495"/>
      <c r="B107" s="504"/>
      <c r="C107" s="505">
        <v>100</v>
      </c>
      <c r="D107" s="505">
        <f t="shared" ref="D107:M107" si="24">C107-$K35</f>
        <v>100</v>
      </c>
      <c r="E107" s="505">
        <f t="shared" si="24"/>
        <v>100</v>
      </c>
      <c r="F107" s="505">
        <f t="shared" si="24"/>
        <v>100</v>
      </c>
      <c r="G107" s="505">
        <f t="shared" si="24"/>
        <v>100</v>
      </c>
      <c r="H107" s="505">
        <f t="shared" si="24"/>
        <v>100</v>
      </c>
      <c r="I107" s="505">
        <f t="shared" si="24"/>
        <v>100</v>
      </c>
      <c r="J107" s="505">
        <f t="shared" si="24"/>
        <v>100</v>
      </c>
      <c r="K107" s="505">
        <f t="shared" si="24"/>
        <v>100</v>
      </c>
      <c r="L107" s="505">
        <f t="shared" si="24"/>
        <v>100</v>
      </c>
      <c r="M107" s="506">
        <f t="shared" si="24"/>
        <v>100</v>
      </c>
      <c r="N107" s="2986"/>
      <c r="O107" s="2986"/>
      <c r="P107" s="2994"/>
      <c r="Q107" s="2971"/>
      <c r="R107" s="2957"/>
      <c r="S107" s="2957"/>
      <c r="T107" s="2957"/>
      <c r="U107" s="2957"/>
      <c r="V107" s="2957"/>
      <c r="W107" s="2957"/>
      <c r="X107" s="2957"/>
      <c r="Y107" s="2957"/>
      <c r="Z107" s="2957"/>
      <c r="AA107" s="2957"/>
      <c r="AB107" s="2957"/>
      <c r="AC107" s="2957"/>
    </row>
    <row r="108" spans="1:29" ht="15" thickTop="1">
      <c r="A108" s="560"/>
      <c r="B108" s="499" t="s">
        <v>2446</v>
      </c>
      <c r="C108" s="515"/>
      <c r="D108" s="515"/>
      <c r="E108" s="515"/>
      <c r="F108" s="544"/>
      <c r="G108" s="544"/>
      <c r="H108" s="544"/>
      <c r="I108" s="544"/>
      <c r="J108" s="544"/>
      <c r="K108" s="545"/>
      <c r="L108" s="546"/>
      <c r="M108" s="547"/>
      <c r="N108" s="2985"/>
      <c r="O108" s="2985"/>
      <c r="P108" s="2994"/>
      <c r="Q108" s="2971"/>
      <c r="R108" s="2957"/>
      <c r="S108" s="2957"/>
      <c r="T108" s="2957"/>
      <c r="U108" s="2957"/>
      <c r="V108" s="2957"/>
      <c r="W108" s="2957"/>
      <c r="X108" s="2957"/>
      <c r="Y108" s="2957"/>
      <c r="Z108" s="2957"/>
      <c r="AA108" s="2957"/>
      <c r="AB108" s="2957"/>
      <c r="AC108" s="2957"/>
    </row>
    <row r="109" spans="1:29" ht="14.4" thickBot="1">
      <c r="A109" s="495"/>
      <c r="B109" s="504"/>
      <c r="C109" s="505">
        <v>100</v>
      </c>
      <c r="D109" s="505">
        <f t="shared" ref="D109:M109" si="25">C109-$K36</f>
        <v>100</v>
      </c>
      <c r="E109" s="505">
        <f t="shared" si="25"/>
        <v>100</v>
      </c>
      <c r="F109" s="505">
        <f t="shared" si="25"/>
        <v>100</v>
      </c>
      <c r="G109" s="505">
        <f t="shared" si="25"/>
        <v>100</v>
      </c>
      <c r="H109" s="505">
        <f t="shared" si="25"/>
        <v>100</v>
      </c>
      <c r="I109" s="505">
        <f t="shared" si="25"/>
        <v>100</v>
      </c>
      <c r="J109" s="505">
        <f t="shared" si="25"/>
        <v>100</v>
      </c>
      <c r="K109" s="505">
        <f t="shared" si="25"/>
        <v>100</v>
      </c>
      <c r="L109" s="505">
        <f t="shared" si="25"/>
        <v>100</v>
      </c>
      <c r="M109" s="506">
        <f t="shared" si="25"/>
        <v>100</v>
      </c>
      <c r="N109" s="2986"/>
      <c r="O109" s="2986"/>
      <c r="P109" s="2994"/>
      <c r="Q109" s="2971"/>
      <c r="R109" s="2957"/>
      <c r="S109" s="2957"/>
      <c r="T109" s="2957"/>
      <c r="U109" s="2957"/>
      <c r="V109" s="2957"/>
      <c r="W109" s="2957"/>
      <c r="X109" s="2957"/>
      <c r="Y109" s="2957"/>
      <c r="Z109" s="2957"/>
      <c r="AA109" s="2957"/>
      <c r="AB109" s="2957"/>
      <c r="AC109" s="2957"/>
    </row>
    <row r="110" spans="1:29" ht="15" thickTop="1">
      <c r="A110" s="560"/>
      <c r="B110" s="499" t="s">
        <v>1876</v>
      </c>
      <c r="C110" s="539" t="str">
        <f>C111&amp;"(含)"&amp;"-"&amp;D111</f>
        <v>0.5(含)-0.6</v>
      </c>
      <c r="D110" s="539" t="str">
        <f>D111&amp;"(含)"&amp;"-"&amp;E111</f>
        <v>0.6(含)-0.7</v>
      </c>
      <c r="E110" s="539" t="str">
        <f>E111&amp;"(含)"&amp;"-"&amp;F111</f>
        <v>0.7(含)-0.8</v>
      </c>
      <c r="F110" s="539" t="str">
        <f>F111&amp;"(含)"&amp;"-"&amp;G111</f>
        <v>0.8(含)-0.9</v>
      </c>
      <c r="G110" s="539" t="str">
        <f>G111&amp;"(含)"&amp;"-"&amp;ROUND(H111,0)&amp;"(含)"</f>
        <v>0.9(含)-1(含)</v>
      </c>
      <c r="H110" s="539"/>
      <c r="I110" s="544"/>
      <c r="J110" s="544"/>
      <c r="K110" s="545"/>
      <c r="L110" s="546"/>
      <c r="M110" s="547"/>
      <c r="N110" s="2985"/>
      <c r="O110" s="2985"/>
      <c r="P110" s="2994"/>
      <c r="Q110" s="2971"/>
      <c r="R110" s="2957"/>
      <c r="S110" s="2957"/>
      <c r="T110" s="2957"/>
      <c r="U110" s="2957"/>
      <c r="V110" s="2957"/>
      <c r="W110" s="2957"/>
      <c r="X110" s="2957"/>
      <c r="Y110" s="2957"/>
      <c r="Z110" s="2957"/>
      <c r="AA110" s="2957"/>
      <c r="AB110" s="2957"/>
      <c r="AC110" s="2957"/>
    </row>
    <row r="111" spans="1:29">
      <c r="A111" s="560"/>
      <c r="B111" s="507"/>
      <c r="C111" s="564">
        <v>0.5</v>
      </c>
      <c r="D111" s="564">
        <v>0.6</v>
      </c>
      <c r="E111" s="564">
        <v>0.7</v>
      </c>
      <c r="F111" s="564">
        <v>0.8</v>
      </c>
      <c r="G111" s="564">
        <v>0.9</v>
      </c>
      <c r="H111" s="564">
        <v>1.0001</v>
      </c>
      <c r="I111" s="583"/>
      <c r="J111" s="583"/>
      <c r="K111" s="584"/>
      <c r="L111" s="585"/>
      <c r="M111" s="586"/>
      <c r="N111" s="2985"/>
      <c r="O111" s="2985"/>
      <c r="P111" s="2994"/>
      <c r="Q111" s="2971"/>
      <c r="R111" s="2957"/>
      <c r="S111" s="2957"/>
      <c r="T111" s="2957"/>
      <c r="U111" s="2957"/>
      <c r="V111" s="2957"/>
      <c r="W111" s="2957"/>
      <c r="X111" s="2957"/>
      <c r="Y111" s="2957"/>
      <c r="Z111" s="2957"/>
      <c r="AA111" s="2957"/>
      <c r="AB111" s="2957"/>
      <c r="AC111" s="2957"/>
    </row>
    <row r="112" spans="1:29" ht="14.4" thickBot="1">
      <c r="A112" s="495"/>
      <c r="B112" s="504"/>
      <c r="C112" s="543">
        <v>100</v>
      </c>
      <c r="D112" s="505">
        <f>C112+$K37</f>
        <v>100</v>
      </c>
      <c r="E112" s="505">
        <f t="shared" ref="E112:M112" si="26">D112+$K37</f>
        <v>100</v>
      </c>
      <c r="F112" s="505">
        <f t="shared" si="26"/>
        <v>100</v>
      </c>
      <c r="G112" s="505">
        <f t="shared" si="26"/>
        <v>100</v>
      </c>
      <c r="H112" s="505">
        <f t="shared" si="26"/>
        <v>100</v>
      </c>
      <c r="I112" s="505">
        <f t="shared" si="26"/>
        <v>100</v>
      </c>
      <c r="J112" s="505">
        <f t="shared" si="26"/>
        <v>100</v>
      </c>
      <c r="K112" s="505">
        <f t="shared" si="26"/>
        <v>100</v>
      </c>
      <c r="L112" s="505">
        <f t="shared" si="26"/>
        <v>100</v>
      </c>
      <c r="M112" s="505">
        <f t="shared" si="26"/>
        <v>100</v>
      </c>
      <c r="N112" s="2986"/>
      <c r="O112" s="2986"/>
      <c r="P112" s="2994"/>
      <c r="Q112" s="2971"/>
      <c r="R112" s="2957"/>
      <c r="S112" s="2957"/>
      <c r="T112" s="2957"/>
      <c r="U112" s="2957"/>
      <c r="V112" s="2957"/>
      <c r="W112" s="2957"/>
      <c r="X112" s="2957"/>
      <c r="Y112" s="2957"/>
      <c r="Z112" s="2957"/>
      <c r="AA112" s="2957"/>
      <c r="AB112" s="2957"/>
      <c r="AC112" s="2957"/>
    </row>
    <row r="113" spans="1:29" s="434" customFormat="1" ht="15" thickTop="1">
      <c r="A113" s="554"/>
      <c r="B113" s="499" t="s">
        <v>2530</v>
      </c>
      <c r="C113" s="515"/>
      <c r="D113" s="515"/>
      <c r="E113" s="515"/>
      <c r="F113" s="515"/>
      <c r="G113" s="515"/>
      <c r="H113" s="544"/>
      <c r="I113" s="544"/>
      <c r="J113" s="544"/>
      <c r="K113" s="545"/>
      <c r="L113" s="546"/>
      <c r="M113" s="547"/>
      <c r="N113" s="2987"/>
      <c r="O113" s="2987"/>
      <c r="P113" s="2995"/>
      <c r="Q113" s="2978"/>
      <c r="R113" s="2979"/>
      <c r="S113" s="2979"/>
      <c r="T113" s="2979"/>
      <c r="U113" s="2979"/>
      <c r="V113" s="2979"/>
      <c r="W113" s="2979"/>
      <c r="X113" s="2979"/>
      <c r="Y113" s="2979"/>
      <c r="Z113" s="2979"/>
      <c r="AA113" s="2979"/>
      <c r="AB113" s="2979"/>
      <c r="AC113" s="2979"/>
    </row>
    <row r="114" spans="1:29" s="434" customFormat="1" ht="14.4" thickBot="1">
      <c r="A114" s="514"/>
      <c r="B114" s="504"/>
      <c r="C114" s="505">
        <v>100</v>
      </c>
      <c r="D114" s="505">
        <f>C114-$K38</f>
        <v>100</v>
      </c>
      <c r="E114" s="505">
        <f t="shared" ref="E114:M114" si="27">D114-$K38</f>
        <v>100</v>
      </c>
      <c r="F114" s="505">
        <f t="shared" si="27"/>
        <v>100</v>
      </c>
      <c r="G114" s="505">
        <f t="shared" si="27"/>
        <v>100</v>
      </c>
      <c r="H114" s="505">
        <f t="shared" si="27"/>
        <v>100</v>
      </c>
      <c r="I114" s="505">
        <f t="shared" si="27"/>
        <v>100</v>
      </c>
      <c r="J114" s="505">
        <f t="shared" si="27"/>
        <v>100</v>
      </c>
      <c r="K114" s="505">
        <f t="shared" si="27"/>
        <v>100</v>
      </c>
      <c r="L114" s="505">
        <f t="shared" si="27"/>
        <v>100</v>
      </c>
      <c r="M114" s="505">
        <f t="shared" si="27"/>
        <v>100</v>
      </c>
      <c r="N114" s="2987"/>
      <c r="O114" s="2987"/>
      <c r="P114" s="2995"/>
      <c r="Q114" s="2978"/>
      <c r="R114" s="2979"/>
      <c r="S114" s="2979"/>
      <c r="T114" s="2979"/>
      <c r="U114" s="2979"/>
      <c r="V114" s="2979"/>
      <c r="W114" s="2979"/>
      <c r="X114" s="2979"/>
      <c r="Y114" s="2979"/>
      <c r="Z114" s="2979"/>
      <c r="AA114" s="2979"/>
      <c r="AB114" s="2979"/>
      <c r="AC114" s="2979"/>
    </row>
    <row r="115" spans="1:29" ht="15" thickTop="1">
      <c r="A115" s="560"/>
      <c r="B115" s="499" t="s">
        <v>2447</v>
      </c>
      <c r="C115" s="515"/>
      <c r="D115" s="515"/>
      <c r="E115" s="544"/>
      <c r="F115" s="544"/>
      <c r="G115" s="544"/>
      <c r="H115" s="544"/>
      <c r="I115" s="544"/>
      <c r="J115" s="544"/>
      <c r="K115" s="545"/>
      <c r="L115" s="546"/>
      <c r="M115" s="547"/>
      <c r="N115" s="2985"/>
      <c r="O115" s="2985"/>
      <c r="P115" s="2994"/>
      <c r="Q115" s="2971"/>
      <c r="R115" s="2957"/>
      <c r="S115" s="2957"/>
      <c r="T115" s="2957"/>
      <c r="U115" s="2957"/>
      <c r="V115" s="2957"/>
      <c r="W115" s="2957"/>
      <c r="X115" s="2957"/>
      <c r="Y115" s="2957"/>
      <c r="Z115" s="2957"/>
      <c r="AA115" s="2957"/>
      <c r="AB115" s="2957"/>
      <c r="AC115" s="2957"/>
    </row>
    <row r="116" spans="1:29" ht="14.4" thickBot="1">
      <c r="A116" s="495"/>
      <c r="B116" s="504"/>
      <c r="C116" s="505">
        <v>100</v>
      </c>
      <c r="D116" s="505">
        <f t="shared" ref="D116:M116" si="28">C116-$K39</f>
        <v>100</v>
      </c>
      <c r="E116" s="505">
        <f t="shared" si="28"/>
        <v>100</v>
      </c>
      <c r="F116" s="505">
        <f t="shared" si="28"/>
        <v>100</v>
      </c>
      <c r="G116" s="505">
        <f t="shared" si="28"/>
        <v>100</v>
      </c>
      <c r="H116" s="505">
        <f t="shared" si="28"/>
        <v>100</v>
      </c>
      <c r="I116" s="505">
        <f t="shared" si="28"/>
        <v>100</v>
      </c>
      <c r="J116" s="505">
        <f t="shared" si="28"/>
        <v>100</v>
      </c>
      <c r="K116" s="505">
        <f t="shared" si="28"/>
        <v>100</v>
      </c>
      <c r="L116" s="505">
        <f t="shared" si="28"/>
        <v>100</v>
      </c>
      <c r="M116" s="506">
        <f t="shared" si="28"/>
        <v>100</v>
      </c>
      <c r="N116" s="2986"/>
      <c r="O116" s="2986"/>
      <c r="P116" s="2994"/>
      <c r="Q116" s="2971"/>
      <c r="R116" s="2957"/>
      <c r="S116" s="2957"/>
      <c r="T116" s="2957"/>
      <c r="U116" s="2957"/>
      <c r="V116" s="2957"/>
      <c r="W116" s="2957"/>
      <c r="X116" s="2957"/>
      <c r="Y116" s="2957"/>
      <c r="Z116" s="2957"/>
      <c r="AA116" s="2957"/>
      <c r="AB116" s="2957"/>
      <c r="AC116" s="2957"/>
    </row>
    <row r="117" spans="1:29" ht="15" thickTop="1">
      <c r="A117" s="560"/>
      <c r="B117" s="499" t="s">
        <v>2448</v>
      </c>
      <c r="C117" s="515"/>
      <c r="D117" s="515"/>
      <c r="E117" s="515"/>
      <c r="F117" s="515"/>
      <c r="G117" s="515"/>
      <c r="H117" s="544"/>
      <c r="I117" s="544"/>
      <c r="J117" s="544"/>
      <c r="K117" s="545"/>
      <c r="L117" s="546"/>
      <c r="M117" s="547"/>
      <c r="N117" s="2985"/>
      <c r="O117" s="2985"/>
      <c r="P117" s="2994"/>
      <c r="Q117" s="2971"/>
      <c r="R117" s="2957"/>
      <c r="S117" s="2957"/>
      <c r="T117" s="2957"/>
      <c r="U117" s="2957"/>
      <c r="V117" s="2957"/>
      <c r="W117" s="2957"/>
      <c r="X117" s="2957"/>
      <c r="Y117" s="2957"/>
      <c r="Z117" s="2957"/>
      <c r="AA117" s="2957"/>
      <c r="AB117" s="2957"/>
      <c r="AC117" s="2957"/>
    </row>
    <row r="118" spans="1:29" ht="14.4" thickBot="1">
      <c r="A118" s="495"/>
      <c r="B118" s="504"/>
      <c r="C118" s="505">
        <v>100</v>
      </c>
      <c r="D118" s="505">
        <f>C118-$K40</f>
        <v>100</v>
      </c>
      <c r="E118" s="505">
        <f>D118-$K40</f>
        <v>100</v>
      </c>
      <c r="F118" s="505">
        <f>E118-$K40</f>
        <v>100</v>
      </c>
      <c r="G118" s="505">
        <f>F118-$K40</f>
        <v>100</v>
      </c>
      <c r="H118" s="505"/>
      <c r="I118" s="505"/>
      <c r="J118" s="505"/>
      <c r="K118" s="505"/>
      <c r="L118" s="505"/>
      <c r="M118" s="506"/>
      <c r="N118" s="2986"/>
      <c r="O118" s="2986"/>
      <c r="P118" s="2994"/>
      <c r="Q118" s="2971"/>
      <c r="R118" s="2957"/>
      <c r="S118" s="2957"/>
      <c r="T118" s="2957"/>
      <c r="U118" s="2957"/>
      <c r="V118" s="2957"/>
      <c r="W118" s="2957"/>
      <c r="X118" s="2957"/>
      <c r="Y118" s="2957"/>
      <c r="Z118" s="2957"/>
      <c r="AA118" s="2957"/>
      <c r="AB118" s="2957"/>
      <c r="AC118" s="2957"/>
    </row>
    <row r="119" spans="1:29" ht="15" thickTop="1">
      <c r="A119" s="560"/>
      <c r="B119" s="596" t="s">
        <v>2531</v>
      </c>
      <c r="C119" s="544"/>
      <c r="D119" s="544"/>
      <c r="E119" s="544"/>
      <c r="F119" s="544"/>
      <c r="G119" s="544"/>
      <c r="H119" s="544"/>
      <c r="I119" s="544"/>
      <c r="J119" s="544"/>
      <c r="K119" s="544"/>
      <c r="L119" s="2160"/>
      <c r="M119" s="2161"/>
      <c r="N119" s="2986"/>
      <c r="O119" s="2986"/>
      <c r="P119" s="2999"/>
      <c r="Q119" s="3000"/>
      <c r="R119" s="2957"/>
      <c r="S119" s="2957"/>
      <c r="T119" s="2957"/>
      <c r="U119" s="2957"/>
      <c r="V119" s="2957"/>
      <c r="W119" s="2957"/>
      <c r="X119" s="2957"/>
      <c r="Y119" s="2957"/>
      <c r="Z119" s="2957"/>
      <c r="AA119" s="2957"/>
      <c r="AB119" s="2957"/>
      <c r="AC119" s="2957"/>
    </row>
    <row r="120" spans="1:29" ht="14.4" thickBot="1">
      <c r="A120" s="495"/>
      <c r="B120" s="504"/>
      <c r="C120" s="543">
        <v>100</v>
      </c>
      <c r="D120" s="505">
        <f>C120-$K41</f>
        <v>100</v>
      </c>
      <c r="E120" s="505">
        <f t="shared" ref="E120:M120" si="29">D120-$K41</f>
        <v>100</v>
      </c>
      <c r="F120" s="505">
        <f t="shared" si="29"/>
        <v>100</v>
      </c>
      <c r="G120" s="505">
        <f t="shared" si="29"/>
        <v>100</v>
      </c>
      <c r="H120" s="505">
        <f t="shared" si="29"/>
        <v>100</v>
      </c>
      <c r="I120" s="505">
        <f t="shared" si="29"/>
        <v>100</v>
      </c>
      <c r="J120" s="505">
        <f t="shared" si="29"/>
        <v>100</v>
      </c>
      <c r="K120" s="505">
        <f t="shared" si="29"/>
        <v>100</v>
      </c>
      <c r="L120" s="505">
        <f t="shared" si="29"/>
        <v>100</v>
      </c>
      <c r="M120" s="505">
        <f t="shared" si="29"/>
        <v>100</v>
      </c>
      <c r="N120" s="2986"/>
      <c r="O120" s="2986"/>
      <c r="P120" s="2994"/>
      <c r="Q120" s="2971"/>
      <c r="R120" s="2957"/>
      <c r="S120" s="2957"/>
      <c r="T120" s="2957"/>
      <c r="U120" s="2957"/>
      <c r="V120" s="2957"/>
      <c r="W120" s="2957"/>
      <c r="X120" s="2957"/>
      <c r="Y120" s="2957"/>
      <c r="Z120" s="2957"/>
      <c r="AA120" s="2957"/>
      <c r="AB120" s="2957"/>
      <c r="AC120" s="2957"/>
    </row>
    <row r="121" spans="1:29" s="434" customFormat="1" ht="15" thickTop="1">
      <c r="A121" s="554"/>
      <c r="B121" s="499" t="s">
        <v>2514</v>
      </c>
      <c r="C121" s="515"/>
      <c r="D121" s="515"/>
      <c r="E121" s="515"/>
      <c r="F121" s="544"/>
      <c r="G121" s="516"/>
      <c r="H121" s="516"/>
      <c r="I121" s="516"/>
      <c r="J121" s="516"/>
      <c r="K121" s="516"/>
      <c r="L121" s="517"/>
      <c r="M121" s="518"/>
      <c r="N121" s="2987"/>
      <c r="O121" s="2987"/>
      <c r="P121" s="2995"/>
      <c r="Q121" s="2978"/>
      <c r="R121" s="2979"/>
      <c r="S121" s="2979"/>
      <c r="T121" s="2979"/>
      <c r="U121" s="2979"/>
      <c r="V121" s="2979"/>
      <c r="W121" s="2979"/>
      <c r="X121" s="2979"/>
      <c r="Y121" s="2979"/>
      <c r="Z121" s="2979"/>
      <c r="AA121" s="2979"/>
      <c r="AB121" s="2979"/>
      <c r="AC121" s="2979"/>
    </row>
    <row r="122" spans="1:29" s="434" customFormat="1" ht="14.4" thickBot="1">
      <c r="A122" s="514"/>
      <c r="B122" s="496"/>
      <c r="C122" s="521"/>
      <c r="D122" s="521"/>
      <c r="E122" s="521"/>
      <c r="F122" s="521"/>
      <c r="G122" s="521"/>
      <c r="H122" s="521"/>
      <c r="I122" s="521"/>
      <c r="J122" s="521"/>
      <c r="K122" s="521"/>
      <c r="L122" s="521"/>
      <c r="M122" s="521"/>
      <c r="N122" s="2987"/>
      <c r="O122" s="2987"/>
      <c r="P122" s="2995"/>
      <c r="Q122" s="2978"/>
      <c r="R122" s="2979"/>
      <c r="S122" s="2979"/>
      <c r="T122" s="2979"/>
      <c r="U122" s="2979"/>
      <c r="V122" s="2979"/>
      <c r="W122" s="2979"/>
      <c r="X122" s="2979"/>
      <c r="Y122" s="2979"/>
      <c r="Z122" s="2979"/>
      <c r="AA122" s="2979"/>
      <c r="AB122" s="2979"/>
      <c r="AC122" s="2979"/>
    </row>
    <row r="123" spans="1:29" ht="15" thickTop="1">
      <c r="A123" s="560"/>
      <c r="B123" s="499" t="s">
        <v>2450</v>
      </c>
      <c r="C123" s="515"/>
      <c r="D123" s="515"/>
      <c r="E123" s="515"/>
      <c r="F123" s="544"/>
      <c r="G123" s="544"/>
      <c r="H123" s="544"/>
      <c r="I123" s="544"/>
      <c r="J123" s="544"/>
      <c r="K123" s="545"/>
      <c r="L123" s="546"/>
      <c r="M123" s="547"/>
      <c r="N123" s="2985"/>
      <c r="O123" s="2985"/>
      <c r="P123" s="2994"/>
      <c r="Q123" s="2971"/>
      <c r="R123" s="2957"/>
      <c r="S123" s="2957"/>
      <c r="T123" s="2957"/>
      <c r="U123" s="2957"/>
      <c r="V123" s="2957"/>
      <c r="W123" s="2957"/>
      <c r="X123" s="2957"/>
      <c r="Y123" s="2957"/>
      <c r="Z123" s="2957"/>
      <c r="AA123" s="2957"/>
      <c r="AB123" s="2957"/>
      <c r="AC123" s="2957"/>
    </row>
    <row r="124" spans="1:29" ht="14.4" thickBot="1">
      <c r="A124" s="495"/>
      <c r="B124" s="504"/>
      <c r="C124" s="505">
        <v>100</v>
      </c>
      <c r="D124" s="505">
        <f t="shared" ref="D124:M124" si="30">C124-$K43</f>
        <v>100</v>
      </c>
      <c r="E124" s="505">
        <f t="shared" si="30"/>
        <v>100</v>
      </c>
      <c r="F124" s="505">
        <f t="shared" si="30"/>
        <v>100</v>
      </c>
      <c r="G124" s="505">
        <f t="shared" si="30"/>
        <v>100</v>
      </c>
      <c r="H124" s="505">
        <f t="shared" si="30"/>
        <v>100</v>
      </c>
      <c r="I124" s="505">
        <f t="shared" si="30"/>
        <v>100</v>
      </c>
      <c r="J124" s="505">
        <f t="shared" si="30"/>
        <v>100</v>
      </c>
      <c r="K124" s="505">
        <f t="shared" si="30"/>
        <v>100</v>
      </c>
      <c r="L124" s="505">
        <f t="shared" si="30"/>
        <v>100</v>
      </c>
      <c r="M124" s="506">
        <f t="shared" si="30"/>
        <v>100</v>
      </c>
      <c r="N124" s="2986"/>
      <c r="O124" s="2986"/>
      <c r="P124" s="2994"/>
      <c r="Q124" s="2971"/>
      <c r="R124" s="2957"/>
      <c r="S124" s="2957"/>
      <c r="T124" s="2957"/>
      <c r="U124" s="2957"/>
      <c r="V124" s="2957"/>
      <c r="W124" s="2957"/>
      <c r="X124" s="2957"/>
      <c r="Y124" s="2957"/>
      <c r="Z124" s="2957"/>
      <c r="AA124" s="2957"/>
      <c r="AB124" s="2957"/>
      <c r="AC124" s="2957"/>
    </row>
    <row r="125" spans="1:29" ht="29.4" thickTop="1">
      <c r="A125" s="560"/>
      <c r="B125" s="499" t="s">
        <v>2451</v>
      </c>
      <c r="C125" s="539" t="s">
        <v>2427</v>
      </c>
      <c r="D125" s="539" t="s">
        <v>2428</v>
      </c>
      <c r="E125" s="539" t="s">
        <v>2429</v>
      </c>
      <c r="F125" s="539" t="s">
        <v>2430</v>
      </c>
      <c r="G125" s="539" t="s">
        <v>2431</v>
      </c>
      <c r="H125" s="500"/>
      <c r="I125" s="500"/>
      <c r="J125" s="500"/>
      <c r="K125" s="501"/>
      <c r="L125" s="502"/>
      <c r="M125" s="503"/>
      <c r="N125" s="2985"/>
      <c r="O125" s="2985"/>
      <c r="P125" s="2995"/>
      <c r="Q125" s="2971"/>
      <c r="R125" s="2957"/>
      <c r="S125" s="2957"/>
      <c r="T125" s="2957"/>
      <c r="U125" s="2957"/>
      <c r="V125" s="2957"/>
      <c r="W125" s="2957"/>
      <c r="X125" s="2957"/>
      <c r="Y125" s="2957"/>
      <c r="Z125" s="2957"/>
      <c r="AA125" s="2957"/>
      <c r="AB125" s="2957"/>
      <c r="AC125" s="2957"/>
    </row>
    <row r="126" spans="1:29" ht="14.4" thickBot="1">
      <c r="A126" s="495"/>
      <c r="B126" s="504"/>
      <c r="C126" s="505">
        <v>100</v>
      </c>
      <c r="D126" s="505">
        <f>C126-$K44</f>
        <v>100</v>
      </c>
      <c r="E126" s="505">
        <f>D126-$K44</f>
        <v>100</v>
      </c>
      <c r="F126" s="505">
        <f>E126-$K44</f>
        <v>100</v>
      </c>
      <c r="G126" s="505">
        <f>F126-$K44</f>
        <v>100</v>
      </c>
      <c r="H126" s="505"/>
      <c r="I126" s="505"/>
      <c r="J126" s="505"/>
      <c r="K126" s="505"/>
      <c r="L126" s="505"/>
      <c r="M126" s="506"/>
      <c r="N126" s="2986"/>
      <c r="O126" s="2986"/>
      <c r="P126" s="2994"/>
      <c r="Q126" s="2971"/>
      <c r="R126" s="2957"/>
      <c r="S126" s="2957"/>
      <c r="T126" s="2957"/>
      <c r="U126" s="2957"/>
      <c r="V126" s="2957"/>
      <c r="W126" s="2957"/>
      <c r="X126" s="2957"/>
      <c r="Y126" s="2957"/>
      <c r="Z126" s="2957"/>
      <c r="AA126" s="2957"/>
      <c r="AB126" s="2957"/>
      <c r="AC126" s="2957"/>
    </row>
    <row r="127" spans="1:29" s="434" customFormat="1" ht="14.4" thickTop="1">
      <c r="A127" s="554"/>
      <c r="B127" s="499">
        <f>B45</f>
        <v>111</v>
      </c>
      <c r="C127" s="515"/>
      <c r="D127" s="515"/>
      <c r="E127" s="515"/>
      <c r="F127" s="515"/>
      <c r="G127" s="515"/>
      <c r="H127" s="516"/>
      <c r="I127" s="516"/>
      <c r="J127" s="516"/>
      <c r="K127" s="516"/>
      <c r="L127" s="517"/>
      <c r="M127" s="518"/>
      <c r="N127" s="2987"/>
      <c r="O127" s="2987"/>
      <c r="P127" s="2995"/>
      <c r="Q127" s="2978"/>
      <c r="R127" s="2979"/>
      <c r="S127" s="2979"/>
      <c r="T127" s="2979"/>
      <c r="U127" s="2979"/>
      <c r="V127" s="2979"/>
      <c r="W127" s="2979"/>
      <c r="X127" s="2979"/>
      <c r="Y127" s="2979"/>
      <c r="Z127" s="2979"/>
      <c r="AA127" s="2979"/>
      <c r="AB127" s="2979"/>
      <c r="AC127" s="2979"/>
    </row>
    <row r="128" spans="1:29" s="434" customFormat="1" ht="14.4" thickBot="1">
      <c r="A128" s="514"/>
      <c r="B128" s="504"/>
      <c r="C128" s="521"/>
      <c r="D128" s="497"/>
      <c r="E128" s="497"/>
      <c r="F128" s="497"/>
      <c r="G128" s="521"/>
      <c r="H128" s="523"/>
      <c r="I128" s="523"/>
      <c r="J128" s="523"/>
      <c r="K128" s="523"/>
      <c r="L128" s="523"/>
      <c r="M128" s="524"/>
      <c r="N128" s="2987"/>
      <c r="O128" s="2987"/>
      <c r="P128" s="2995"/>
      <c r="Q128" s="2978"/>
      <c r="R128" s="2979"/>
      <c r="S128" s="2979"/>
      <c r="T128" s="2979"/>
      <c r="U128" s="2979"/>
      <c r="V128" s="2979"/>
      <c r="W128" s="2979"/>
      <c r="X128" s="2979"/>
      <c r="Y128" s="2979"/>
      <c r="Z128" s="2979"/>
      <c r="AA128" s="2979"/>
      <c r="AB128" s="2979"/>
      <c r="AC128" s="2979"/>
    </row>
    <row r="129" spans="1:29" ht="14.4" thickTop="1">
      <c r="A129" s="560"/>
      <c r="B129" s="499">
        <f>B46</f>
        <v>111</v>
      </c>
      <c r="C129" s="515"/>
      <c r="D129" s="515"/>
      <c r="E129" s="515"/>
      <c r="F129" s="515"/>
      <c r="G129" s="544"/>
      <c r="H129" s="544"/>
      <c r="I129" s="544"/>
      <c r="J129" s="544"/>
      <c r="K129" s="545"/>
      <c r="L129" s="546"/>
      <c r="M129" s="547"/>
      <c r="N129" s="2985"/>
      <c r="O129" s="2985"/>
      <c r="P129" s="2994"/>
      <c r="Q129" s="2971"/>
      <c r="R129" s="2957"/>
      <c r="S129" s="2957"/>
      <c r="T129" s="2957"/>
      <c r="U129" s="2957"/>
      <c r="V129" s="2957"/>
      <c r="W129" s="2957"/>
      <c r="X129" s="2957"/>
      <c r="Y129" s="2957"/>
      <c r="Z129" s="2957"/>
      <c r="AA129" s="2957"/>
      <c r="AB129" s="2957"/>
      <c r="AC129" s="2957"/>
    </row>
    <row r="130" spans="1:29" ht="14.4" thickBot="1">
      <c r="A130" s="495"/>
      <c r="B130" s="504"/>
      <c r="C130" s="521"/>
      <c r="D130" s="521"/>
      <c r="E130" s="521"/>
      <c r="F130" s="521"/>
      <c r="G130" s="497"/>
      <c r="H130" s="497"/>
      <c r="I130" s="497"/>
      <c r="J130" s="497"/>
      <c r="K130" s="497"/>
      <c r="L130" s="497"/>
      <c r="M130" s="498"/>
      <c r="N130" s="2986"/>
      <c r="O130" s="2986"/>
      <c r="P130" s="2994"/>
      <c r="Q130" s="2971"/>
      <c r="R130" s="2957"/>
      <c r="S130" s="2957"/>
      <c r="T130" s="2957"/>
      <c r="U130" s="2957"/>
      <c r="V130" s="2957"/>
      <c r="W130" s="2957"/>
      <c r="X130" s="2957"/>
      <c r="Y130" s="2957"/>
      <c r="Z130" s="2957"/>
      <c r="AA130" s="2957"/>
      <c r="AB130" s="2957"/>
      <c r="AC130" s="2957"/>
    </row>
    <row r="131" spans="1:29" ht="14.4" thickTop="1">
      <c r="A131" s="560"/>
      <c r="B131" s="507">
        <f>B47</f>
        <v>111</v>
      </c>
      <c r="C131" s="484"/>
      <c r="D131" s="484"/>
      <c r="E131" s="484"/>
      <c r="F131" s="484"/>
      <c r="G131" s="548"/>
      <c r="H131" s="548"/>
      <c r="I131" s="548"/>
      <c r="J131" s="548"/>
      <c r="K131" s="484"/>
      <c r="L131" s="485"/>
      <c r="M131" s="551"/>
      <c r="N131" s="2985"/>
      <c r="O131" s="2985"/>
      <c r="P131" s="2994"/>
      <c r="Q131" s="2971"/>
      <c r="R131" s="2957"/>
      <c r="S131" s="2957"/>
      <c r="T131" s="2957"/>
      <c r="U131" s="2957"/>
      <c r="V131" s="2957"/>
      <c r="W131" s="2957"/>
      <c r="X131" s="2957"/>
      <c r="Y131" s="2957"/>
      <c r="Z131" s="2957"/>
      <c r="AA131" s="2957"/>
      <c r="AB131" s="2957"/>
      <c r="AC131" s="2957"/>
    </row>
    <row r="132" spans="1:29" ht="14.4" thickBot="1">
      <c r="A132" s="2120"/>
      <c r="B132" s="530"/>
      <c r="C132" s="531"/>
      <c r="D132" s="531"/>
      <c r="E132" s="531"/>
      <c r="F132" s="531"/>
      <c r="G132" s="552"/>
      <c r="H132" s="552"/>
      <c r="I132" s="552"/>
      <c r="J132" s="552"/>
      <c r="K132" s="552"/>
      <c r="L132" s="552"/>
      <c r="M132" s="553"/>
      <c r="N132" s="2986"/>
      <c r="O132" s="2986"/>
      <c r="P132" s="2994"/>
      <c r="Q132" s="2971"/>
      <c r="R132" s="2957"/>
      <c r="S132" s="2957"/>
      <c r="T132" s="2957"/>
      <c r="U132" s="2957"/>
      <c r="V132" s="2957"/>
      <c r="W132" s="2957"/>
      <c r="X132" s="2957"/>
      <c r="Y132" s="2957"/>
      <c r="Z132" s="2957"/>
      <c r="AA132" s="2957"/>
      <c r="AB132" s="2957"/>
      <c r="AC132" s="295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5" priority="19" stopIfTrue="1" operator="containsText" text="超过">
      <formula>NOT(ISERROR(SEARCH("超过",F53)))</formula>
    </cfRule>
  </conditionalFormatting>
  <conditionalFormatting sqref="H55">
    <cfRule type="containsText" dxfId="104" priority="18" stopIfTrue="1" operator="containsText" text="超过">
      <formula>NOT(ISERROR(SEARCH("超过",H55)))</formula>
    </cfRule>
  </conditionalFormatting>
  <conditionalFormatting sqref="F55">
    <cfRule type="containsText" dxfId="103" priority="17" stopIfTrue="1" operator="containsText" text="超过">
      <formula>NOT(ISERROR(SEARCH("超过",F55)))</formula>
    </cfRule>
  </conditionalFormatting>
  <conditionalFormatting sqref="F54 H54">
    <cfRule type="containsText" dxfId="102" priority="16" stopIfTrue="1" operator="containsText" text="超过">
      <formula>NOT(ISERROR(SEARCH("超过",F54)))</formula>
    </cfRule>
  </conditionalFormatting>
  <conditionalFormatting sqref="E53">
    <cfRule type="expression" dxfId="101" priority="15" stopIfTrue="1">
      <formula>$F$53="超过30%"</formula>
    </cfRule>
  </conditionalFormatting>
  <conditionalFormatting sqref="E54">
    <cfRule type="expression" dxfId="100" priority="14" stopIfTrue="1">
      <formula>$F$54="超过20%"</formula>
    </cfRule>
  </conditionalFormatting>
  <conditionalFormatting sqref="E55">
    <cfRule type="expression" dxfId="99" priority="13" stopIfTrue="1">
      <formula>$F$55="超过30%"</formula>
    </cfRule>
  </conditionalFormatting>
  <conditionalFormatting sqref="G55">
    <cfRule type="expression" dxfId="98" priority="12" stopIfTrue="1">
      <formula>$H$55="超过30%"</formula>
    </cfRule>
  </conditionalFormatting>
  <conditionalFormatting sqref="G53">
    <cfRule type="expression" dxfId="97" priority="11" stopIfTrue="1">
      <formula>$H$53="超过30%"</formula>
    </cfRule>
  </conditionalFormatting>
  <conditionalFormatting sqref="G54">
    <cfRule type="expression" dxfId="96" priority="10" stopIfTrue="1">
      <formula>$H$54="超过20%"</formula>
    </cfRule>
  </conditionalFormatting>
  <conditionalFormatting sqref="J53">
    <cfRule type="containsText" dxfId="95" priority="9" stopIfTrue="1" operator="containsText" text="超过">
      <formula>NOT(ISERROR(SEARCH("超过",J53)))</formula>
    </cfRule>
  </conditionalFormatting>
  <conditionalFormatting sqref="J55">
    <cfRule type="containsText" dxfId="94" priority="8" stopIfTrue="1" operator="containsText" text="超过">
      <formula>NOT(ISERROR(SEARCH("超过",J55)))</formula>
    </cfRule>
  </conditionalFormatting>
  <conditionalFormatting sqref="J54">
    <cfRule type="containsText" dxfId="93" priority="7" stopIfTrue="1" operator="containsText" text="超过">
      <formula>NOT(ISERROR(SEARCH("超过",J54)))</formula>
    </cfRule>
  </conditionalFormatting>
  <conditionalFormatting sqref="I53">
    <cfRule type="expression" dxfId="92" priority="6" stopIfTrue="1">
      <formula>$J$53="超过30%"</formula>
    </cfRule>
  </conditionalFormatting>
  <conditionalFormatting sqref="I54">
    <cfRule type="expression" dxfId="91" priority="5" stopIfTrue="1">
      <formula>$J$53+$J$54="超过20%"</formula>
    </cfRule>
  </conditionalFormatting>
  <conditionalFormatting sqref="I55">
    <cfRule type="expression" dxfId="90" priority="4" stopIfTrue="1">
      <formula>$J$55="超过30%"</formula>
    </cfRule>
  </conditionalFormatting>
  <conditionalFormatting sqref="F49">
    <cfRule type="expression" dxfId="89" priority="3">
      <formula>$D$49="简单平均"</formula>
    </cfRule>
  </conditionalFormatting>
  <conditionalFormatting sqref="H49">
    <cfRule type="expression" dxfId="88" priority="2">
      <formula>$D$49="简单平均"</formula>
    </cfRule>
  </conditionalFormatting>
  <conditionalFormatting sqref="J49">
    <cfRule type="expression" dxfId="87"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8" customWidth="1"/>
    <col min="2" max="16384" width="9" style="1668"/>
  </cols>
  <sheetData>
    <row r="1" spans="1:1" ht="22.8">
      <c r="A1" s="1667" t="s">
        <v>1576</v>
      </c>
    </row>
    <row r="2" spans="1:1">
      <c r="A2" s="1669"/>
    </row>
    <row r="3" spans="1:1" ht="17.399999999999999">
      <c r="A3" s="1670" t="str">
        <f>项目基本情况!B5&amp;"："</f>
        <v>北京百得利汽车进出口集团有限公司：</v>
      </c>
    </row>
    <row r="4" spans="1:1" ht="34.799999999999997">
      <c r="A4" s="1671" t="str">
        <f>"受贵公司委托，我公司对"&amp;项目基本情况!S1&amp;"进行了预评估。"</f>
        <v>受贵公司委托，我公司对北京市北京经济技术开发区东环北路1号工业用房房地产抵押价值进行了预评估。</v>
      </c>
    </row>
    <row r="5" spans="1:1" ht="17.399999999999999">
      <c r="A5" s="1672" t="s">
        <v>1577</v>
      </c>
    </row>
    <row r="6" spans="1:1" ht="17.399999999999999">
      <c r="A6" s="1673" t="s">
        <v>1578</v>
      </c>
    </row>
    <row r="7" spans="1:1" ht="69.599999999999994">
      <c r="A7" s="1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东环北路1号工业用房房地产，为北京百得利汽车进出口集团有限公司所有。根据《国有土地使用证》[]，估价对象（分摊）出让国有建设用地使用权面积为15462.6平方米，建筑面积为8640.14平方米。</v>
      </c>
    </row>
    <row r="8" spans="1:1" ht="54.6">
      <c r="A8" s="1674" t="s">
        <v>1579</v>
      </c>
    </row>
    <row r="9" spans="1:1" ht="17.399999999999999">
      <c r="A9" s="1673" t="s">
        <v>1580</v>
      </c>
    </row>
    <row r="10" spans="1:1" ht="69.599999999999994">
      <c r="A10" s="1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东环北路1号工业用房房地产,为北京百得利汽车进出口集团有限公司开发建设的，该项目尚在开发建设中。根据《国有土地使用证》[]，估价对象（分摊）出让国有建设用地使用权面积为15462.6平方米，规划建筑面积为8640.14平方米。</v>
      </c>
    </row>
    <row r="11" spans="1:1" ht="72">
      <c r="A11" s="1674" t="s">
        <v>1581</v>
      </c>
    </row>
    <row r="12" spans="1:1" ht="17.399999999999999">
      <c r="A12" s="1672" t="s">
        <v>1582</v>
      </c>
    </row>
    <row r="13" spans="1:1" ht="38.25" customHeight="1">
      <c r="A13" s="1675" t="str">
        <f>IF(项目基本情况!B8="抵押",IF(项目基本情况!B5=项目基本情况!B6,定义!C51,定义!B51),定义!D51)</f>
        <v>为估价委托人在向上海浦东发展银行股份有限公司北京望京支行办理贷款手续过程中，确定房地产抵押贷款额度提供参考依据而评估房地产抵押价值。</v>
      </c>
    </row>
    <row r="14" spans="1:1" ht="17.399999999999999">
      <c r="A14" s="1676" t="s">
        <v>1583</v>
      </c>
    </row>
    <row r="15" spans="1:1" ht="17.399999999999999">
      <c r="A15" s="1677" t="str">
        <f>TEXT(项目基本情况!D3,"yyyy年m月d日;;")&amp;IF(项目基本情况!D3=项目基本情况!B3,"（评估专业人员实地查勘之日）","")</f>
        <v>2020年8月20日（评估专业人员实地查勘之日）</v>
      </c>
    </row>
    <row r="16" spans="1:1" ht="17.399999999999999">
      <c r="A16" s="1676" t="s">
        <v>1584</v>
      </c>
    </row>
    <row r="17" spans="1:1" ht="69.599999999999994">
      <c r="A17" s="1671" t="s">
        <v>1585</v>
      </c>
    </row>
    <row r="18" spans="1:1" ht="69.599999999999994">
      <c r="A18" s="16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20日，估价对象规划用途为，土地取得方式为出让，出让国有建设用地使用权剩余土地使用年限为，假定未设立法定优先受偿款下的房地产市场价值。</v>
      </c>
    </row>
    <row r="19" spans="1:1" ht="157.5" customHeight="1">
      <c r="A19" s="16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67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676" t="s">
        <v>1574</v>
      </c>
    </row>
    <row r="24" spans="1:1" ht="17.399999999999999">
      <c r="A24" s="1678" t="str">
        <f>"本次评估采用的主估价方法为"&amp;结果表!K4&amp;"和"&amp;结果表!L4&amp;"。"</f>
        <v>本次评估采用的主估价方法为成本法和收益法。</v>
      </c>
    </row>
    <row r="25" spans="1:1" ht="17.399999999999999">
      <c r="A25" s="1678"/>
    </row>
    <row r="26" spans="1:1" ht="17.399999999999999">
      <c r="A26" s="1679" t="s">
        <v>1575</v>
      </c>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row r="38" spans="1:1">
      <c r="A38" s="1680"/>
    </row>
    <row r="39" spans="1:1">
      <c r="A39" s="1680"/>
    </row>
    <row r="40" spans="1:1">
      <c r="A40" s="1680"/>
    </row>
    <row r="41" spans="1:1">
      <c r="A41" s="1680"/>
    </row>
    <row r="42" spans="1:1">
      <c r="A42" s="1680"/>
    </row>
    <row r="43" spans="1:1">
      <c r="A43" s="1680"/>
    </row>
    <row r="44" spans="1:1">
      <c r="A44" s="1680"/>
    </row>
    <row r="45" spans="1:1">
      <c r="A45" s="1680"/>
    </row>
    <row r="46" spans="1:1">
      <c r="A46" s="1680"/>
    </row>
    <row r="47" spans="1:1">
      <c r="A47" s="1680"/>
    </row>
    <row r="48" spans="1:1">
      <c r="A48" s="168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48" sqref="D48"/>
    </sheetView>
  </sheetViews>
  <sheetFormatPr defaultColWidth="9" defaultRowHeight="13.8"/>
  <cols>
    <col min="1" max="1" width="10.44140625" style="367" customWidth="1"/>
    <col min="2" max="2" width="15.77734375" style="367" customWidth="1"/>
    <col min="3" max="3" width="14.33203125" style="367" customWidth="1"/>
    <col min="4" max="4" width="12.21875" style="367" customWidth="1"/>
    <col min="5" max="5" width="14.33203125" style="367" customWidth="1"/>
    <col min="6" max="6" width="12.21875" style="367" customWidth="1"/>
    <col min="7" max="7" width="14.44140625" style="367" customWidth="1"/>
    <col min="8" max="8" width="12.21875" style="367" customWidth="1"/>
    <col min="9" max="9" width="14.44140625" style="367" customWidth="1"/>
    <col min="10" max="10" width="12.21875" style="367" customWidth="1"/>
    <col min="11" max="11" width="12.21875" style="456" customWidth="1"/>
    <col min="12" max="12" width="12.21875" style="457" customWidth="1"/>
    <col min="13" max="15" width="12.21875" style="367" customWidth="1"/>
    <col min="16" max="16" width="4.77734375" style="367" customWidth="1"/>
    <col min="17" max="17" width="19.44140625" style="367" customWidth="1"/>
    <col min="18" max="22" width="6.109375" style="367" customWidth="1"/>
    <col min="23" max="23" width="5.77734375" style="367" customWidth="1"/>
    <col min="24" max="24" width="4.21875" style="367" customWidth="1"/>
    <col min="25" max="25" width="3.44140625" style="367" customWidth="1"/>
    <col min="26" max="26" width="19.77734375" style="367" customWidth="1"/>
    <col min="27" max="28" width="9.33203125" style="367" customWidth="1"/>
    <col min="29" max="16384" width="9" style="367"/>
  </cols>
  <sheetData>
    <row r="1" spans="1:29" s="1405" customFormat="1" ht="28.5" customHeight="1" thickBot="1">
      <c r="A1" s="1394" t="s">
        <v>2358</v>
      </c>
      <c r="B1" s="2149" t="s">
        <v>2532</v>
      </c>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IF(C2="——",ROUND(C43*D3/10000,0),ROUND(C43*D3/10000,0)-D2)</f>
        <v>#DIV/0!</v>
      </c>
      <c r="C2" s="2073"/>
      <c r="D2" s="1042" t="e">
        <f ca="1">SUMIF(INDIRECT("'"&amp;F2&amp;"'"&amp;"!A:A"),"承租人权益价值",INDIRECT("'"&amp;F2&amp;"'"&amp;"!c:c"))</f>
        <v>#REF!</v>
      </c>
      <c r="E2" s="2074" t="s">
        <v>2158</v>
      </c>
      <c r="F2" s="2075"/>
      <c r="G2" s="1043"/>
      <c r="H2" s="1043"/>
      <c r="I2" s="1043"/>
      <c r="J2" s="1043"/>
      <c r="K2" s="1043"/>
      <c r="L2" s="1046"/>
      <c r="M2" s="1047"/>
      <c r="N2" s="1047"/>
      <c r="O2" s="1047"/>
      <c r="P2" s="712"/>
      <c r="Q2" s="712"/>
      <c r="R2" s="712"/>
      <c r="S2" s="712"/>
      <c r="T2" s="712"/>
      <c r="U2" s="712"/>
      <c r="V2" s="712"/>
      <c r="W2" s="712"/>
      <c r="X2" s="712"/>
      <c r="Y2" s="712"/>
      <c r="Z2" s="712"/>
      <c r="AA2" s="712"/>
      <c r="AB2" s="712"/>
      <c r="AC2" s="726"/>
    </row>
    <row r="3" spans="1:29" s="362" customFormat="1" ht="28.5" customHeight="1" thickBot="1">
      <c r="A3" s="213" t="s">
        <v>2159</v>
      </c>
      <c r="B3" s="570" t="e">
        <f ca="1">IF(C2="——",C43,ROUND(B2*10000/D3,0))</f>
        <v>#DIV/0!</v>
      </c>
      <c r="C3" s="364" t="s">
        <v>2474</v>
      </c>
      <c r="D3" s="363">
        <f>IF(D1="",'数据-汇总表'!E3,SUMIF('数据-汇总表'!$C19:$C33,D1,'数据-汇总表'!$E19:$E33))</f>
        <v>8640.14</v>
      </c>
      <c r="E3" s="1043"/>
      <c r="F3" s="1044"/>
      <c r="G3" s="1043"/>
      <c r="H3" s="1043"/>
      <c r="I3" s="1043"/>
      <c r="J3" s="1043"/>
      <c r="K3" s="1045"/>
      <c r="L3" s="1046"/>
      <c r="M3" s="1047"/>
      <c r="N3" s="1047"/>
      <c r="O3" s="1047"/>
      <c r="P3" s="712"/>
      <c r="Q3" s="712"/>
      <c r="R3" s="712"/>
      <c r="S3" s="712"/>
      <c r="T3" s="712"/>
      <c r="U3" s="712"/>
      <c r="V3" s="712"/>
      <c r="W3" s="712"/>
      <c r="X3" s="712"/>
      <c r="Y3" s="712"/>
      <c r="Z3" s="712"/>
      <c r="AA3" s="712"/>
      <c r="AB3" s="729"/>
      <c r="AC3" s="726"/>
    </row>
    <row r="4" spans="1:29" ht="14.4">
      <c r="A4" s="365" t="s">
        <v>2475</v>
      </c>
      <c r="B4" s="366"/>
      <c r="C4" s="3380" t="s">
        <v>2476</v>
      </c>
      <c r="D4" s="3381"/>
      <c r="E4" s="3382" t="s">
        <v>2477</v>
      </c>
      <c r="F4" s="3383"/>
      <c r="G4" s="3380" t="s">
        <v>2478</v>
      </c>
      <c r="H4" s="3381"/>
      <c r="I4" s="3380" t="s">
        <v>2479</v>
      </c>
      <c r="J4" s="3381"/>
      <c r="K4" s="571" t="s">
        <v>2480</v>
      </c>
      <c r="L4" s="1048"/>
      <c r="M4" s="1049"/>
      <c r="N4" s="1049"/>
      <c r="O4" s="1049"/>
      <c r="P4" s="3384" t="s">
        <v>2481</v>
      </c>
      <c r="Q4" s="3385"/>
      <c r="R4" s="3367" t="s">
        <v>2477</v>
      </c>
      <c r="S4" s="3368"/>
      <c r="T4" s="3367" t="s">
        <v>2478</v>
      </c>
      <c r="U4" s="3368"/>
      <c r="V4" s="3392" t="s">
        <v>2479</v>
      </c>
      <c r="W4" s="3392"/>
      <c r="X4" s="1545"/>
      <c r="Y4" s="3367" t="s">
        <v>2481</v>
      </c>
      <c r="Z4" s="3368"/>
      <c r="AA4" s="3362" t="s">
        <v>2477</v>
      </c>
      <c r="AB4" s="3363" t="s">
        <v>2478</v>
      </c>
      <c r="AC4" s="3362" t="s">
        <v>2479</v>
      </c>
    </row>
    <row r="5" spans="1:29">
      <c r="A5" s="368"/>
      <c r="B5" s="369"/>
      <c r="C5" s="3373" t="s">
        <v>2372</v>
      </c>
      <c r="D5" s="3374"/>
      <c r="E5" s="3371" t="s">
        <v>2373</v>
      </c>
      <c r="F5" s="3372"/>
      <c r="G5" s="3373" t="s">
        <v>2374</v>
      </c>
      <c r="H5" s="3374"/>
      <c r="I5" s="3373" t="s">
        <v>2375</v>
      </c>
      <c r="J5" s="3374"/>
      <c r="K5" s="571"/>
      <c r="L5" s="1048"/>
      <c r="M5" s="1049"/>
      <c r="N5" s="1049"/>
      <c r="O5" s="1049"/>
      <c r="P5" s="3386"/>
      <c r="Q5" s="3387"/>
      <c r="R5" s="3369"/>
      <c r="S5" s="3370"/>
      <c r="T5" s="3369"/>
      <c r="U5" s="3370"/>
      <c r="V5" s="3392"/>
      <c r="W5" s="3392"/>
      <c r="X5" s="1545"/>
      <c r="Y5" s="3369"/>
      <c r="Z5" s="3370"/>
      <c r="AA5" s="3363"/>
      <c r="AB5" s="3363"/>
      <c r="AC5" s="3363"/>
    </row>
    <row r="6" spans="1:29" ht="15" thickBot="1">
      <c r="A6" s="370"/>
      <c r="B6" s="371"/>
      <c r="C6" s="3375" t="s">
        <v>2376</v>
      </c>
      <c r="D6" s="3376"/>
      <c r="E6" s="3377" t="s">
        <v>2376</v>
      </c>
      <c r="F6" s="3378"/>
      <c r="G6" s="3375" t="s">
        <v>2376</v>
      </c>
      <c r="H6" s="3376"/>
      <c r="I6" s="3375" t="s">
        <v>2376</v>
      </c>
      <c r="J6" s="3376"/>
      <c r="K6" s="571" t="s">
        <v>2377</v>
      </c>
      <c r="L6" s="1048"/>
      <c r="M6" s="1049"/>
      <c r="N6" s="1049"/>
      <c r="O6" s="1049"/>
      <c r="P6" s="3388"/>
      <c r="Q6" s="3389"/>
      <c r="R6" s="3369"/>
      <c r="S6" s="3370"/>
      <c r="T6" s="3390"/>
      <c r="U6" s="3391"/>
      <c r="V6" s="3392"/>
      <c r="W6" s="3392"/>
      <c r="X6" s="1545"/>
      <c r="Y6" s="3390"/>
      <c r="Z6" s="3391"/>
      <c r="AA6" s="3364"/>
      <c r="AB6" s="3364"/>
      <c r="AC6" s="3364"/>
    </row>
    <row r="7" spans="1:29" s="117" customFormat="1" ht="15" thickBot="1">
      <c r="A7" s="372" t="s">
        <v>2378</v>
      </c>
      <c r="B7" s="373"/>
      <c r="C7" s="374">
        <f>'数据-取费表'!B2</f>
        <v>44063</v>
      </c>
      <c r="D7" s="375">
        <v>100</v>
      </c>
      <c r="E7" s="376"/>
      <c r="F7" s="377">
        <f>SUMIF(52:52,YEAR(E7)&amp;"-"&amp;MONTH(E7),53:53)</f>
        <v>0</v>
      </c>
      <c r="G7" s="376"/>
      <c r="H7" s="375">
        <f>SUMIF(52:52,YEAR(G7)&amp;"-"&amp;MONTH(G7),53:53)</f>
        <v>0</v>
      </c>
      <c r="I7" s="376"/>
      <c r="J7" s="375">
        <f>SUMIF(52:52,YEAR(I7)&amp;"-"&amp;MONTH(I7),53:53)</f>
        <v>0</v>
      </c>
      <c r="K7" s="572"/>
      <c r="L7" s="1050"/>
      <c r="M7" s="1051"/>
      <c r="N7" s="1051"/>
      <c r="O7" s="1051"/>
      <c r="P7" s="3365" t="s">
        <v>2379</v>
      </c>
      <c r="Q7" s="3393"/>
      <c r="R7" s="714" t="s">
        <v>17</v>
      </c>
      <c r="S7" s="715">
        <f t="shared" ref="S7:S15" si="0">F7</f>
        <v>0</v>
      </c>
      <c r="T7" s="714" t="s">
        <v>17</v>
      </c>
      <c r="U7" s="715">
        <f t="shared" ref="U7:U15" si="1">H7</f>
        <v>0</v>
      </c>
      <c r="V7" s="714" t="s">
        <v>17</v>
      </c>
      <c r="W7" s="715">
        <f t="shared" ref="W7:W15" si="2">J7</f>
        <v>0</v>
      </c>
      <c r="X7" s="716"/>
      <c r="Y7" s="3365" t="s">
        <v>2379</v>
      </c>
      <c r="Z7" s="3366"/>
      <c r="AA7" s="717" t="e">
        <f>D7/F7</f>
        <v>#DIV/0!</v>
      </c>
      <c r="AB7" s="717" t="e">
        <f>D7/H7</f>
        <v>#DIV/0!</v>
      </c>
      <c r="AC7" s="717" t="e">
        <f>D7/J7</f>
        <v>#DIV/0!</v>
      </c>
    </row>
    <row r="8" spans="1:29" s="117" customFormat="1" ht="15" thickBot="1">
      <c r="A8" s="372" t="s">
        <v>2380</v>
      </c>
      <c r="B8" s="373"/>
      <c r="C8" s="378" t="s">
        <v>2381</v>
      </c>
      <c r="D8" s="375">
        <v>100</v>
      </c>
      <c r="E8" s="378"/>
      <c r="F8" s="377">
        <f>SUMIF(55:55,E8,56:56)-SUMIF(55:55,C8,56:56)+100</f>
        <v>0</v>
      </c>
      <c r="G8" s="378"/>
      <c r="H8" s="375">
        <f>SUMIF(55:55,G8,56:56)-SUMIF(55:55,C8,56:56)+100</f>
        <v>0</v>
      </c>
      <c r="I8" s="378"/>
      <c r="J8" s="375">
        <f>SUMIF(55:55,I8,56:56)-SUMIF(55:55,C8,56:56)+100</f>
        <v>0</v>
      </c>
      <c r="K8" s="572"/>
      <c r="L8" s="1050"/>
      <c r="M8" s="1051"/>
      <c r="N8" s="1051"/>
      <c r="O8" s="1051"/>
      <c r="P8" s="3365" t="s">
        <v>2382</v>
      </c>
      <c r="Q8" s="3366"/>
      <c r="R8" s="714" t="s">
        <v>17</v>
      </c>
      <c r="S8" s="715">
        <f t="shared" si="0"/>
        <v>0</v>
      </c>
      <c r="T8" s="714" t="s">
        <v>17</v>
      </c>
      <c r="U8" s="715">
        <f t="shared" si="1"/>
        <v>0</v>
      </c>
      <c r="V8" s="714" t="s">
        <v>17</v>
      </c>
      <c r="W8" s="715">
        <f t="shared" si="2"/>
        <v>0</v>
      </c>
      <c r="X8" s="716"/>
      <c r="Y8" s="3365" t="s">
        <v>2382</v>
      </c>
      <c r="Z8" s="3366"/>
      <c r="AA8" s="717" t="e">
        <f t="shared" ref="AA8:AA40" si="3">D8/F8</f>
        <v>#DIV/0!</v>
      </c>
      <c r="AB8" s="717" t="e">
        <f t="shared" ref="AB8:AB40" si="4">D8/H8</f>
        <v>#DIV/0!</v>
      </c>
      <c r="AC8" s="717" t="e">
        <f t="shared" ref="AC8:AC40" si="5">D8/J8</f>
        <v>#DIV/0!</v>
      </c>
    </row>
    <row r="9" spans="1:29" s="117" customFormat="1" ht="14.4">
      <c r="A9" s="379" t="s">
        <v>2383</v>
      </c>
      <c r="B9" s="71" t="s">
        <v>2384</v>
      </c>
      <c r="C9" s="380"/>
      <c r="D9" s="135">
        <v>100</v>
      </c>
      <c r="E9" s="383"/>
      <c r="F9" s="135">
        <f>SUMIF(57:57,E9,58:58)-SUMIF(57:57,C9,58:58)+100</f>
        <v>100</v>
      </c>
      <c r="G9" s="381"/>
      <c r="H9" s="135">
        <f>SUMIF(57:57,G9,58:58)-SUMIF(57:57,C9,58:58)+100</f>
        <v>100</v>
      </c>
      <c r="I9" s="381"/>
      <c r="J9" s="135">
        <f>SUMIF(57:57,I9,58:58)-SUMIF(57:57,C9,58:58)+100</f>
        <v>100</v>
      </c>
      <c r="K9" s="572"/>
      <c r="L9" s="1050"/>
      <c r="M9" s="1051"/>
      <c r="N9" s="1051"/>
      <c r="O9" s="1052"/>
      <c r="P9" s="3397" t="s">
        <v>2385</v>
      </c>
      <c r="Q9" s="1533" t="str">
        <f t="shared" ref="Q9:Q15" si="6">B9</f>
        <v>用途</v>
      </c>
      <c r="R9" s="714" t="s">
        <v>17</v>
      </c>
      <c r="S9" s="715">
        <f t="shared" si="0"/>
        <v>100</v>
      </c>
      <c r="T9" s="714" t="s">
        <v>17</v>
      </c>
      <c r="U9" s="715">
        <f t="shared" si="1"/>
        <v>100</v>
      </c>
      <c r="V9" s="714" t="s">
        <v>17</v>
      </c>
      <c r="W9" s="715">
        <f t="shared" si="2"/>
        <v>100</v>
      </c>
      <c r="X9" s="716"/>
      <c r="Y9" s="3282" t="s">
        <v>2386</v>
      </c>
      <c r="Z9" s="55" t="str">
        <f t="shared" ref="Z9:Z15" si="7">Q9</f>
        <v>用途</v>
      </c>
      <c r="AA9" s="717">
        <f t="shared" si="3"/>
        <v>1</v>
      </c>
      <c r="AB9" s="717">
        <f t="shared" si="4"/>
        <v>1</v>
      </c>
      <c r="AC9" s="717">
        <f t="shared" si="5"/>
        <v>1</v>
      </c>
    </row>
    <row r="10" spans="1:29" s="390" customFormat="1" ht="28.8">
      <c r="A10" s="384"/>
      <c r="B10" s="385" t="s">
        <v>2387</v>
      </c>
      <c r="C10" s="386"/>
      <c r="D10" s="136">
        <v>100</v>
      </c>
      <c r="E10" s="386"/>
      <c r="F10" s="136">
        <f>SUMIF(59:59,E10,60:60)-SUMIF(59:59,C10,60:60)+100</f>
        <v>100</v>
      </c>
      <c r="G10" s="387"/>
      <c r="H10" s="136">
        <f>SUMIF(59:59,G10,60:60)-SUMIF(59:59,C10,60:60)+100</f>
        <v>100</v>
      </c>
      <c r="I10" s="386"/>
      <c r="J10" s="136">
        <f>SUMIF(59:59,I10,60:60)-SUMIF(59:59,C10,60:60)+100</f>
        <v>100</v>
      </c>
      <c r="K10" s="573"/>
      <c r="L10" s="1053"/>
      <c r="M10" s="1054"/>
      <c r="N10" s="1054"/>
      <c r="O10" s="1055"/>
      <c r="P10" s="3397"/>
      <c r="Q10" s="1533" t="str">
        <f t="shared" si="6"/>
        <v>土地使用年限（年）</v>
      </c>
      <c r="R10" s="714" t="s">
        <v>17</v>
      </c>
      <c r="S10" s="715">
        <f t="shared" si="0"/>
        <v>100</v>
      </c>
      <c r="T10" s="714" t="s">
        <v>17</v>
      </c>
      <c r="U10" s="715">
        <f t="shared" si="1"/>
        <v>100</v>
      </c>
      <c r="V10" s="714" t="s">
        <v>17</v>
      </c>
      <c r="W10" s="715">
        <f t="shared" si="2"/>
        <v>100</v>
      </c>
      <c r="X10" s="716"/>
      <c r="Y10" s="3282"/>
      <c r="Z10" s="55" t="str">
        <f t="shared" si="7"/>
        <v>土地使用年限（年）</v>
      </c>
      <c r="AA10" s="717">
        <f t="shared" si="3"/>
        <v>1</v>
      </c>
      <c r="AB10" s="717">
        <f t="shared" si="4"/>
        <v>1</v>
      </c>
      <c r="AC10" s="717">
        <f t="shared" si="5"/>
        <v>1</v>
      </c>
    </row>
    <row r="11" spans="1:29" ht="15">
      <c r="A11" s="391"/>
      <c r="B11" s="385" t="s">
        <v>2388</v>
      </c>
      <c r="C11" s="392"/>
      <c r="D11" s="136">
        <v>100</v>
      </c>
      <c r="E11" s="392"/>
      <c r="F11" s="136" t="e">
        <f>LOOKUP(E11,62:62,63:63)-LOOKUP(C11,62:62,63:63)+100</f>
        <v>#N/A</v>
      </c>
      <c r="G11" s="393"/>
      <c r="H11" s="136" t="e">
        <f>LOOKUP(G11,62:62,63:63)-LOOKUP(C11,62:62,63:63)+100</f>
        <v>#N/A</v>
      </c>
      <c r="I11" s="392"/>
      <c r="J11" s="136" t="e">
        <f>LOOKUP(I11,62:62,63:63)-LOOKUP(C11,62:62,63:63)+100</f>
        <v>#N/A</v>
      </c>
      <c r="K11" s="573"/>
      <c r="L11" s="1056"/>
      <c r="M11" s="1049"/>
      <c r="N11" s="1049"/>
      <c r="O11" s="1057"/>
      <c r="P11" s="3397"/>
      <c r="Q11" s="1533" t="str">
        <f t="shared" si="6"/>
        <v>容积率</v>
      </c>
      <c r="R11" s="714" t="s">
        <v>17</v>
      </c>
      <c r="S11" s="715" t="e">
        <f t="shared" si="0"/>
        <v>#N/A</v>
      </c>
      <c r="T11" s="714" t="s">
        <v>17</v>
      </c>
      <c r="U11" s="715" t="e">
        <f t="shared" si="1"/>
        <v>#N/A</v>
      </c>
      <c r="V11" s="714" t="s">
        <v>17</v>
      </c>
      <c r="W11" s="715" t="e">
        <f t="shared" si="2"/>
        <v>#N/A</v>
      </c>
      <c r="X11" s="716"/>
      <c r="Y11" s="3282"/>
      <c r="Z11" s="55" t="str">
        <f t="shared" si="7"/>
        <v>容积率</v>
      </c>
      <c r="AA11" s="717" t="e">
        <f t="shared" si="3"/>
        <v>#N/A</v>
      </c>
      <c r="AB11" s="717" t="e">
        <f t="shared" si="4"/>
        <v>#N/A</v>
      </c>
      <c r="AC11" s="717" t="e">
        <f t="shared" si="5"/>
        <v>#N/A</v>
      </c>
    </row>
    <row r="12" spans="1:29" s="117" customFormat="1" ht="15">
      <c r="A12" s="394"/>
      <c r="B12" s="2085">
        <v>111</v>
      </c>
      <c r="C12" s="395"/>
      <c r="D12" s="396">
        <v>100</v>
      </c>
      <c r="E12" s="397"/>
      <c r="F12" s="136">
        <f>SUMIF(64:64,E12,65:65)-SUMIF(64:64,C12,65:65)+100</f>
        <v>100</v>
      </c>
      <c r="G12" s="2162"/>
      <c r="H12" s="136">
        <f>SUMIF(64:64,G12,65:65)-SUMIF(64:64,C12,65:65)+100</f>
        <v>100</v>
      </c>
      <c r="I12" s="432"/>
      <c r="J12" s="136">
        <f>SUMIF(64:64,I12,65:65)-SUMIF(64:64,C12,65:65)+100</f>
        <v>100</v>
      </c>
      <c r="K12" s="574"/>
      <c r="L12" s="1050"/>
      <c r="M12" s="1051"/>
      <c r="N12" s="1051"/>
      <c r="O12" s="1052"/>
      <c r="P12" s="3397"/>
      <c r="Q12" s="1533">
        <f t="shared" si="6"/>
        <v>111</v>
      </c>
      <c r="R12" s="714" t="s">
        <v>17</v>
      </c>
      <c r="S12" s="715">
        <f t="shared" si="0"/>
        <v>100</v>
      </c>
      <c r="T12" s="714" t="s">
        <v>17</v>
      </c>
      <c r="U12" s="715">
        <f t="shared" si="1"/>
        <v>100</v>
      </c>
      <c r="V12" s="714" t="s">
        <v>17</v>
      </c>
      <c r="W12" s="715">
        <f t="shared" si="2"/>
        <v>100</v>
      </c>
      <c r="X12" s="716"/>
      <c r="Y12" s="3282"/>
      <c r="Z12" s="55">
        <f t="shared" si="7"/>
        <v>111</v>
      </c>
      <c r="AA12" s="717">
        <f>D12/F12</f>
        <v>1</v>
      </c>
      <c r="AB12" s="717">
        <f>D12/H12</f>
        <v>1</v>
      </c>
      <c r="AC12" s="717">
        <f>D12/J12</f>
        <v>1</v>
      </c>
    </row>
    <row r="13" spans="1:29" ht="15">
      <c r="A13" s="391"/>
      <c r="B13" s="2085">
        <v>111</v>
      </c>
      <c r="C13" s="397"/>
      <c r="D13" s="398">
        <v>100</v>
      </c>
      <c r="E13" s="397"/>
      <c r="F13" s="136">
        <f>SUMIF(66:66,E13,67:67)-SUMIF(66:66,C13,67:67)+100</f>
        <v>100</v>
      </c>
      <c r="G13" s="2162"/>
      <c r="H13" s="398">
        <f>SUMIF(66:66,G13,67:67)-SUMIF(66:66,C13,67:67)+100</f>
        <v>100</v>
      </c>
      <c r="I13" s="432"/>
      <c r="J13" s="398">
        <f>SUMIF(66:66,I13,67:67)-SUMIF(66:66,C13,67:67)+100</f>
        <v>100</v>
      </c>
      <c r="K13" s="574"/>
      <c r="L13" s="1058"/>
      <c r="M13" s="1049"/>
      <c r="N13" s="1049"/>
      <c r="O13" s="1057"/>
      <c r="P13" s="3397"/>
      <c r="Q13" s="1533">
        <f t="shared" si="6"/>
        <v>111</v>
      </c>
      <c r="R13" s="714" t="s">
        <v>17</v>
      </c>
      <c r="S13" s="715">
        <f t="shared" si="0"/>
        <v>100</v>
      </c>
      <c r="T13" s="714" t="s">
        <v>17</v>
      </c>
      <c r="U13" s="715">
        <f t="shared" si="1"/>
        <v>100</v>
      </c>
      <c r="V13" s="714" t="s">
        <v>17</v>
      </c>
      <c r="W13" s="715">
        <f t="shared" si="2"/>
        <v>100</v>
      </c>
      <c r="X13" s="716"/>
      <c r="Y13" s="3282"/>
      <c r="Z13" s="55">
        <f t="shared" si="7"/>
        <v>111</v>
      </c>
      <c r="AA13" s="717">
        <f t="shared" si="3"/>
        <v>1</v>
      </c>
      <c r="AB13" s="717">
        <f t="shared" si="4"/>
        <v>1</v>
      </c>
      <c r="AC13" s="717">
        <f t="shared" si="5"/>
        <v>1</v>
      </c>
    </row>
    <row r="14" spans="1:29" ht="15.6" thickBot="1">
      <c r="A14" s="399"/>
      <c r="B14" s="2087">
        <v>111</v>
      </c>
      <c r="C14" s="400"/>
      <c r="D14" s="401">
        <v>100</v>
      </c>
      <c r="E14" s="400"/>
      <c r="F14" s="401">
        <f>SUMIF(68:68,E14,69:69)-SUMIF(68:68,C14,69:69)+100</f>
        <v>100</v>
      </c>
      <c r="G14" s="2162"/>
      <c r="H14" s="401">
        <f>SUMIF(68:68,G14,69:69)-SUMIF(68:68,C14,69:69)+100</f>
        <v>100</v>
      </c>
      <c r="I14" s="432"/>
      <c r="J14" s="401">
        <f>SUMIF(68:68,I14,69:69)-SUMIF(68:68,C14,69:69)+100</f>
        <v>100</v>
      </c>
      <c r="K14" s="574"/>
      <c r="L14" s="1058"/>
      <c r="M14" s="1049"/>
      <c r="N14" s="1049"/>
      <c r="O14" s="1057"/>
      <c r="P14" s="3397"/>
      <c r="Q14" s="1533">
        <f t="shared" si="6"/>
        <v>111</v>
      </c>
      <c r="R14" s="714" t="s">
        <v>17</v>
      </c>
      <c r="S14" s="715">
        <f t="shared" si="0"/>
        <v>100</v>
      </c>
      <c r="T14" s="714" t="s">
        <v>17</v>
      </c>
      <c r="U14" s="715">
        <f t="shared" si="1"/>
        <v>100</v>
      </c>
      <c r="V14" s="714" t="s">
        <v>17</v>
      </c>
      <c r="W14" s="715">
        <f t="shared" si="2"/>
        <v>100</v>
      </c>
      <c r="X14" s="716"/>
      <c r="Y14" s="3282"/>
      <c r="Z14" s="55">
        <f t="shared" si="7"/>
        <v>111</v>
      </c>
      <c r="AA14" s="717">
        <f t="shared" si="3"/>
        <v>1</v>
      </c>
      <c r="AB14" s="717">
        <f t="shared" si="4"/>
        <v>1</v>
      </c>
      <c r="AC14" s="717">
        <f t="shared" si="5"/>
        <v>1</v>
      </c>
    </row>
    <row r="15" spans="1:29" ht="82.8">
      <c r="A15" s="403" t="s">
        <v>2389</v>
      </c>
      <c r="B15" s="69" t="s">
        <v>2533</v>
      </c>
      <c r="C15" s="2163" t="str">
        <f>估价对象房地状况!G3</f>
        <v>估价对象位于北京经济技术开发区，园区建设成熟，产业集聚程度较好</v>
      </c>
      <c r="D15" s="404">
        <v>100</v>
      </c>
      <c r="E15" s="405"/>
      <c r="F15" s="406">
        <f>SUMIF(70:70,E16,71:71)-SUMIF(70:70,C16,71:71)+100</f>
        <v>100</v>
      </c>
      <c r="G15" s="407"/>
      <c r="H15" s="404">
        <f>SUMIF(70:70,G16,71:71)-SUMIF(70:70,C16,71:71)+100</f>
        <v>100</v>
      </c>
      <c r="I15" s="405"/>
      <c r="J15" s="404">
        <f>SUMIF(70:70,I16,71:71)-SUMIF(70:70,C16,71:71)+100</f>
        <v>100</v>
      </c>
      <c r="K15" s="575"/>
      <c r="L15" s="1058"/>
      <c r="M15" s="1049"/>
      <c r="N15" s="1049"/>
      <c r="O15" s="1057"/>
      <c r="P15" s="3399" t="s">
        <v>2390</v>
      </c>
      <c r="Q15" s="1542" t="str">
        <f t="shared" si="6"/>
        <v>产业集聚程度</v>
      </c>
      <c r="R15" s="718" t="s">
        <v>17</v>
      </c>
      <c r="S15" s="719">
        <f t="shared" si="0"/>
        <v>100</v>
      </c>
      <c r="T15" s="718" t="s">
        <v>17</v>
      </c>
      <c r="U15" s="719">
        <f t="shared" si="1"/>
        <v>100</v>
      </c>
      <c r="V15" s="718" t="s">
        <v>17</v>
      </c>
      <c r="W15" s="719">
        <f t="shared" si="2"/>
        <v>100</v>
      </c>
      <c r="X15" s="1545"/>
      <c r="Y15" s="3399" t="s">
        <v>2390</v>
      </c>
      <c r="Z15" s="1546" t="str">
        <f t="shared" si="7"/>
        <v>产业集聚程度</v>
      </c>
      <c r="AA15" s="1543">
        <f t="shared" si="3"/>
        <v>1</v>
      </c>
      <c r="AB15" s="1543">
        <f t="shared" si="4"/>
        <v>1</v>
      </c>
      <c r="AC15" s="1543">
        <f t="shared" si="5"/>
        <v>1</v>
      </c>
    </row>
    <row r="16" spans="1:29" ht="15">
      <c r="A16" s="391"/>
      <c r="B16" s="409"/>
      <c r="C16" s="410"/>
      <c r="D16" s="411"/>
      <c r="E16" s="410"/>
      <c r="F16" s="412"/>
      <c r="G16" s="410"/>
      <c r="H16" s="413"/>
      <c r="I16" s="410"/>
      <c r="J16" s="411"/>
      <c r="K16" s="576"/>
      <c r="L16" s="1058"/>
      <c r="M16" s="1049"/>
      <c r="N16" s="1049"/>
      <c r="O16" s="1057"/>
      <c r="P16" s="3400"/>
      <c r="Q16" s="1542"/>
      <c r="R16" s="718"/>
      <c r="S16" s="719"/>
      <c r="T16" s="718"/>
      <c r="U16" s="719"/>
      <c r="V16" s="718"/>
      <c r="W16" s="719"/>
      <c r="X16" s="1545"/>
      <c r="Y16" s="3400"/>
      <c r="Z16" s="1546"/>
      <c r="AA16" s="1543">
        <v>1</v>
      </c>
      <c r="AB16" s="1543">
        <v>1</v>
      </c>
      <c r="AC16" s="1543">
        <v>1</v>
      </c>
    </row>
    <row r="17" spans="1:29" ht="96.6">
      <c r="A17" s="391"/>
      <c r="B17" s="414" t="s">
        <v>1947</v>
      </c>
      <c r="C17" s="2092" t="str">
        <f>估价对象房地状况!G4</f>
        <v>估价对象周边道路状况、公共交通通达情况、停车便捷程度，综合评价交通便捷度较好</v>
      </c>
      <c r="D17" s="413">
        <v>100</v>
      </c>
      <c r="E17" s="415"/>
      <c r="F17" s="416">
        <f>SUMIF(72:72,E18,73:73)-SUMIF(72:72,C18,73:73)+100</f>
        <v>100</v>
      </c>
      <c r="G17" s="417"/>
      <c r="H17" s="418">
        <f>SUMIF(72:72,G18,73:73)-SUMIF(72:72,C18,73:73)+100</f>
        <v>100</v>
      </c>
      <c r="I17" s="415"/>
      <c r="J17" s="418">
        <f>SUMIF(72:72,I18,73:73)-SUMIF(72:72,C18,73:73)+100</f>
        <v>100</v>
      </c>
      <c r="K17" s="575"/>
      <c r="L17" s="1058"/>
      <c r="M17" s="1049"/>
      <c r="N17" s="1049"/>
      <c r="O17" s="1057"/>
      <c r="P17" s="3400"/>
      <c r="Q17" s="1542" t="str">
        <f>B17</f>
        <v>交通便捷度</v>
      </c>
      <c r="R17" s="718" t="s">
        <v>17</v>
      </c>
      <c r="S17" s="719">
        <f>F17</f>
        <v>100</v>
      </c>
      <c r="T17" s="718" t="s">
        <v>17</v>
      </c>
      <c r="U17" s="719">
        <f>H17</f>
        <v>100</v>
      </c>
      <c r="V17" s="718" t="s">
        <v>17</v>
      </c>
      <c r="W17" s="719">
        <f>J17</f>
        <v>100</v>
      </c>
      <c r="X17" s="1545"/>
      <c r="Y17" s="3400"/>
      <c r="Z17" s="1546" t="str">
        <f>Q17</f>
        <v>交通便捷度</v>
      </c>
      <c r="AA17" s="1543">
        <f t="shared" si="3"/>
        <v>1</v>
      </c>
      <c r="AB17" s="1543">
        <f t="shared" si="4"/>
        <v>1</v>
      </c>
      <c r="AC17" s="1543">
        <f t="shared" si="5"/>
        <v>1</v>
      </c>
    </row>
    <row r="18" spans="1:29" ht="15">
      <c r="A18" s="391"/>
      <c r="B18" s="419"/>
      <c r="C18" s="2093"/>
      <c r="D18" s="413"/>
      <c r="E18" s="2095"/>
      <c r="F18" s="416"/>
      <c r="G18" s="2094"/>
      <c r="H18" s="411"/>
      <c r="I18" s="2095"/>
      <c r="J18" s="411"/>
      <c r="K18" s="576"/>
      <c r="L18" s="1058"/>
      <c r="M18" s="1049"/>
      <c r="N18" s="1049"/>
      <c r="O18" s="1057"/>
      <c r="P18" s="3400"/>
      <c r="Q18" s="1542"/>
      <c r="R18" s="718"/>
      <c r="S18" s="719"/>
      <c r="T18" s="718"/>
      <c r="U18" s="719"/>
      <c r="V18" s="718"/>
      <c r="W18" s="719"/>
      <c r="X18" s="1545"/>
      <c r="Y18" s="3400"/>
      <c r="Z18" s="1546"/>
      <c r="AA18" s="1543">
        <v>1</v>
      </c>
      <c r="AB18" s="1543">
        <v>1</v>
      </c>
      <c r="AC18" s="1543">
        <v>1</v>
      </c>
    </row>
    <row r="19" spans="1:29" ht="55.2">
      <c r="A19" s="391"/>
      <c r="B19" s="414" t="s">
        <v>2518</v>
      </c>
      <c r="C19" s="2092" t="str">
        <f>估价对象房地状况!G5</f>
        <v>估价对象所在区域公共配套设施齐备情况较好</v>
      </c>
      <c r="D19" s="418">
        <v>100</v>
      </c>
      <c r="E19" s="420"/>
      <c r="F19" s="421">
        <f>SUMIF(74:74,E20,75:75)-SUMIF(74:74,C20,75:75)+100</f>
        <v>100</v>
      </c>
      <c r="G19" s="422"/>
      <c r="H19" s="413">
        <f>SUMIF(74:74,G20,75:75)-SUMIF(74:74,C20,75:75)+100</f>
        <v>100</v>
      </c>
      <c r="I19" s="420"/>
      <c r="J19" s="413">
        <f>SUMIF(74:74,I20,75:75)-SUMIF(74:74,C20,75:75)+100</f>
        <v>100</v>
      </c>
      <c r="K19" s="575"/>
      <c r="L19" s="1058"/>
      <c r="M19" s="1049"/>
      <c r="N19" s="1049"/>
      <c r="O19" s="1057"/>
      <c r="P19" s="3400"/>
      <c r="Q19" s="1542" t="str">
        <f>B19</f>
        <v>公共配套设施</v>
      </c>
      <c r="R19" s="718" t="s">
        <v>17</v>
      </c>
      <c r="S19" s="719">
        <f>F19</f>
        <v>100</v>
      </c>
      <c r="T19" s="718" t="s">
        <v>17</v>
      </c>
      <c r="U19" s="719">
        <f>H19</f>
        <v>100</v>
      </c>
      <c r="V19" s="718" t="s">
        <v>17</v>
      </c>
      <c r="W19" s="719">
        <f>J19</f>
        <v>100</v>
      </c>
      <c r="X19" s="1545"/>
      <c r="Y19" s="3400"/>
      <c r="Z19" s="1546" t="str">
        <f>Q19</f>
        <v>公共配套设施</v>
      </c>
      <c r="AA19" s="1543">
        <f t="shared" si="3"/>
        <v>1</v>
      </c>
      <c r="AB19" s="1543">
        <f t="shared" si="4"/>
        <v>1</v>
      </c>
      <c r="AC19" s="1543">
        <f t="shared" si="5"/>
        <v>1</v>
      </c>
    </row>
    <row r="20" spans="1:29" ht="15">
      <c r="A20" s="391"/>
      <c r="B20" s="419"/>
      <c r="C20" s="410"/>
      <c r="D20" s="411"/>
      <c r="E20" s="2090"/>
      <c r="F20" s="412"/>
      <c r="G20" s="2089"/>
      <c r="H20" s="411"/>
      <c r="I20" s="2090"/>
      <c r="J20" s="411"/>
      <c r="K20" s="576"/>
      <c r="L20" s="1058"/>
      <c r="M20" s="1049"/>
      <c r="N20" s="1049"/>
      <c r="O20" s="1057"/>
      <c r="P20" s="3400"/>
      <c r="Q20" s="1542"/>
      <c r="R20" s="718"/>
      <c r="S20" s="719"/>
      <c r="T20" s="718"/>
      <c r="U20" s="719"/>
      <c r="V20" s="718"/>
      <c r="W20" s="719"/>
      <c r="X20" s="1545"/>
      <c r="Y20" s="3400"/>
      <c r="Z20" s="1546"/>
      <c r="AA20" s="1543">
        <v>1</v>
      </c>
      <c r="AB20" s="1543">
        <v>1</v>
      </c>
      <c r="AC20" s="1543">
        <v>1</v>
      </c>
    </row>
    <row r="21" spans="1:29" ht="15">
      <c r="A21" s="391"/>
      <c r="B21" s="1297" t="s">
        <v>2519</v>
      </c>
      <c r="C21" s="2092" t="str">
        <f>估价对象房地状况!G6</f>
        <v>七通</v>
      </c>
      <c r="D21" s="413">
        <v>100</v>
      </c>
      <c r="E21" s="420"/>
      <c r="F21" s="421">
        <f>SUMIF(76:76,E22,77:77)-SUMIF(76:76,C22,77:77)+100</f>
        <v>100</v>
      </c>
      <c r="G21" s="422"/>
      <c r="H21" s="413">
        <f>SUMIF(76:76,G22,77:77)-SUMIF(76:76,C22,77:77)+100</f>
        <v>100</v>
      </c>
      <c r="I21" s="420"/>
      <c r="J21" s="413">
        <f>SUMIF(76:76,I22,77:77)-SUMIF(76:76,C22,77:77)+100</f>
        <v>100</v>
      </c>
      <c r="K21" s="575"/>
      <c r="L21" s="1058"/>
      <c r="M21" s="1049"/>
      <c r="N21" s="1049"/>
      <c r="O21" s="1057"/>
      <c r="P21" s="3400"/>
      <c r="Q21" s="1542" t="str">
        <f>B21</f>
        <v>基础设施水平</v>
      </c>
      <c r="R21" s="718" t="s">
        <v>17</v>
      </c>
      <c r="S21" s="719">
        <f>F21</f>
        <v>100</v>
      </c>
      <c r="T21" s="718" t="s">
        <v>17</v>
      </c>
      <c r="U21" s="719">
        <f>H21</f>
        <v>100</v>
      </c>
      <c r="V21" s="718" t="s">
        <v>17</v>
      </c>
      <c r="W21" s="719">
        <f>J21</f>
        <v>100</v>
      </c>
      <c r="X21" s="1545"/>
      <c r="Y21" s="3400"/>
      <c r="Z21" s="1546" t="str">
        <f>Q21</f>
        <v>基础设施水平</v>
      </c>
      <c r="AA21" s="1543">
        <f t="shared" ref="AA21" si="8">D21/F21</f>
        <v>1</v>
      </c>
      <c r="AB21" s="1543">
        <f t="shared" ref="AB21" si="9">D21/H21</f>
        <v>1</v>
      </c>
      <c r="AC21" s="1543">
        <f t="shared" ref="AC21" si="10">D21/J21</f>
        <v>1</v>
      </c>
    </row>
    <row r="22" spans="1:29" ht="15">
      <c r="A22" s="391"/>
      <c r="B22" s="1297"/>
      <c r="C22" s="2093"/>
      <c r="D22" s="411"/>
      <c r="E22" s="410"/>
      <c r="F22" s="412"/>
      <c r="G22" s="410"/>
      <c r="H22" s="411"/>
      <c r="I22" s="410"/>
      <c r="J22" s="411"/>
      <c r="K22" s="1296"/>
      <c r="L22" s="1058"/>
      <c r="M22" s="1049"/>
      <c r="N22" s="1049"/>
      <c r="O22" s="1057"/>
      <c r="P22" s="3400"/>
      <c r="Q22" s="1542"/>
      <c r="R22" s="718"/>
      <c r="S22" s="719"/>
      <c r="T22" s="718"/>
      <c r="U22" s="719"/>
      <c r="V22" s="718"/>
      <c r="W22" s="719"/>
      <c r="X22" s="1545"/>
      <c r="Y22" s="3400"/>
      <c r="Z22" s="1546"/>
      <c r="AA22" s="1543">
        <v>1</v>
      </c>
      <c r="AB22" s="1543">
        <v>1</v>
      </c>
      <c r="AC22" s="1543">
        <v>1</v>
      </c>
    </row>
    <row r="23" spans="1:29" ht="82.8">
      <c r="A23" s="391"/>
      <c r="B23" s="414" t="s">
        <v>2520</v>
      </c>
      <c r="C23" s="2092" t="str">
        <f>估价对象房地状况!G7</f>
        <v>该园区内无污染型企业，绿化较好，卫生条件良好，整体环境状况较好</v>
      </c>
      <c r="D23" s="413">
        <v>100</v>
      </c>
      <c r="E23" s="415"/>
      <c r="F23" s="416">
        <f>SUMIF(78:78,E24,79:79)-SUMIF(78:78,C24,79:79)+100</f>
        <v>100</v>
      </c>
      <c r="G23" s="417"/>
      <c r="H23" s="413">
        <f>SUMIF(78:78,G24,79:79)-SUMIF(78:78,C24,79:79)+100</f>
        <v>100</v>
      </c>
      <c r="I23" s="415"/>
      <c r="J23" s="413">
        <f>SUMIF(78:78,I24,79:79)-SUMIF(78:78,C24,79:79)+100</f>
        <v>100</v>
      </c>
      <c r="K23" s="575"/>
      <c r="L23" s="1058"/>
      <c r="M23" s="1049"/>
      <c r="N23" s="1049"/>
      <c r="O23" s="1057"/>
      <c r="P23" s="3400"/>
      <c r="Q23" s="1542" t="str">
        <f>B23</f>
        <v>环境质量</v>
      </c>
      <c r="R23" s="718" t="s">
        <v>17</v>
      </c>
      <c r="S23" s="719">
        <f>F23</f>
        <v>100</v>
      </c>
      <c r="T23" s="718" t="s">
        <v>17</v>
      </c>
      <c r="U23" s="719">
        <f>H23</f>
        <v>100</v>
      </c>
      <c r="V23" s="718" t="s">
        <v>17</v>
      </c>
      <c r="W23" s="719">
        <f>J23</f>
        <v>100</v>
      </c>
      <c r="X23" s="1545"/>
      <c r="Y23" s="3400"/>
      <c r="Z23" s="1546" t="str">
        <f>Q23</f>
        <v>环境质量</v>
      </c>
      <c r="AA23" s="1543">
        <f t="shared" si="3"/>
        <v>1</v>
      </c>
      <c r="AB23" s="1543">
        <f t="shared" si="4"/>
        <v>1</v>
      </c>
      <c r="AC23" s="1543">
        <f t="shared" si="5"/>
        <v>1</v>
      </c>
    </row>
    <row r="24" spans="1:29" ht="15">
      <c r="A24" s="391"/>
      <c r="B24" s="1297"/>
      <c r="C24" s="410"/>
      <c r="D24" s="411"/>
      <c r="E24" s="2090"/>
      <c r="F24" s="412"/>
      <c r="G24" s="2089"/>
      <c r="H24" s="411"/>
      <c r="I24" s="2090"/>
      <c r="J24" s="411"/>
      <c r="K24" s="576"/>
      <c r="L24" s="1058"/>
      <c r="M24" s="1049"/>
      <c r="N24" s="1049"/>
      <c r="O24" s="1057"/>
      <c r="P24" s="3400"/>
      <c r="Q24" s="1542"/>
      <c r="R24" s="718"/>
      <c r="S24" s="719"/>
      <c r="T24" s="718"/>
      <c r="U24" s="719"/>
      <c r="V24" s="718"/>
      <c r="W24" s="719"/>
      <c r="X24" s="1545"/>
      <c r="Y24" s="3400"/>
      <c r="Z24" s="1546"/>
      <c r="AA24" s="1543">
        <v>1</v>
      </c>
      <c r="AB24" s="1543">
        <v>1</v>
      </c>
      <c r="AC24" s="1543">
        <v>1</v>
      </c>
    </row>
    <row r="25" spans="1:29" ht="15">
      <c r="A25" s="368"/>
      <c r="B25" s="1299">
        <v>111</v>
      </c>
      <c r="C25" s="397">
        <v>111</v>
      </c>
      <c r="D25" s="398">
        <v>100</v>
      </c>
      <c r="E25" s="397"/>
      <c r="F25" s="424">
        <f>SUMIF(80:80,E25,81:81)-SUMIF(80:80,C25,81:81)+100</f>
        <v>100</v>
      </c>
      <c r="G25" s="397"/>
      <c r="H25" s="398">
        <f>SUMIF(80:80,G25,81:81)-SUMIF(80:80,C25,81:81)+100</f>
        <v>100</v>
      </c>
      <c r="I25" s="397"/>
      <c r="J25" s="398">
        <f>SUMIF(80:80,I25,81:81)-SUMIF(80:80,C25,81:81)+100</f>
        <v>100</v>
      </c>
      <c r="K25" s="574"/>
      <c r="L25" s="1058"/>
      <c r="M25" s="1049"/>
      <c r="N25" s="1049"/>
      <c r="O25" s="1057"/>
      <c r="P25" s="3400"/>
      <c r="Q25" s="1542">
        <f>B25</f>
        <v>111</v>
      </c>
      <c r="R25" s="718" t="s">
        <v>17</v>
      </c>
      <c r="S25" s="719">
        <f>F25</f>
        <v>100</v>
      </c>
      <c r="T25" s="718" t="s">
        <v>17</v>
      </c>
      <c r="U25" s="719">
        <f>H25</f>
        <v>100</v>
      </c>
      <c r="V25" s="718" t="s">
        <v>17</v>
      </c>
      <c r="W25" s="719">
        <f>J25</f>
        <v>100</v>
      </c>
      <c r="X25" s="1545"/>
      <c r="Y25" s="3400"/>
      <c r="Z25" s="1546">
        <f>Q25</f>
        <v>111</v>
      </c>
      <c r="AA25" s="1543">
        <f t="shared" si="3"/>
        <v>1</v>
      </c>
      <c r="AB25" s="1543">
        <f t="shared" si="4"/>
        <v>1</v>
      </c>
      <c r="AC25" s="1543">
        <f t="shared" si="5"/>
        <v>1</v>
      </c>
    </row>
    <row r="26" spans="1:29" ht="15">
      <c r="A26" s="391"/>
      <c r="B26" s="1299">
        <v>111</v>
      </c>
      <c r="C26" s="397">
        <v>111</v>
      </c>
      <c r="D26" s="398">
        <v>100</v>
      </c>
      <c r="E26" s="397"/>
      <c r="F26" s="424">
        <f>SUMIF(82:82,E26,83:83)-SUMIF(82:82,C26,83:83)+100</f>
        <v>100</v>
      </c>
      <c r="G26" s="397"/>
      <c r="H26" s="398">
        <f>SUMIF(82:82,G26,83:83)-SUMIF(82:82,C26,83:83)+100</f>
        <v>100</v>
      </c>
      <c r="I26" s="397"/>
      <c r="J26" s="398">
        <f>SUMIF(82:82,I26,83:83)-SUMIF(82:82,C26,83:83)+100</f>
        <v>100</v>
      </c>
      <c r="K26" s="574"/>
      <c r="L26" s="1058"/>
      <c r="M26" s="1049"/>
      <c r="N26" s="1049"/>
      <c r="O26" s="1057"/>
      <c r="P26" s="3400"/>
      <c r="Q26" s="1542">
        <f t="shared" ref="Q26:Q40" si="11">B26</f>
        <v>111</v>
      </c>
      <c r="R26" s="718" t="s">
        <v>17</v>
      </c>
      <c r="S26" s="719">
        <f>F26</f>
        <v>100</v>
      </c>
      <c r="T26" s="718" t="s">
        <v>17</v>
      </c>
      <c r="U26" s="719">
        <f>H26</f>
        <v>100</v>
      </c>
      <c r="V26" s="718" t="s">
        <v>17</v>
      </c>
      <c r="W26" s="719">
        <f>J26</f>
        <v>100</v>
      </c>
      <c r="X26" s="1545"/>
      <c r="Y26" s="3400"/>
      <c r="Z26" s="1546">
        <f>Q26</f>
        <v>111</v>
      </c>
      <c r="AA26" s="1543">
        <f t="shared" si="3"/>
        <v>1</v>
      </c>
      <c r="AB26" s="1543">
        <f t="shared" si="4"/>
        <v>1</v>
      </c>
      <c r="AC26" s="1543">
        <f t="shared" si="5"/>
        <v>1</v>
      </c>
    </row>
    <row r="27" spans="1:29" s="117" customFormat="1" ht="15">
      <c r="A27" s="394"/>
      <c r="B27" s="1299">
        <v>111</v>
      </c>
      <c r="C27" s="397">
        <v>111</v>
      </c>
      <c r="D27" s="425">
        <v>100</v>
      </c>
      <c r="E27" s="397"/>
      <c r="F27" s="427">
        <f>SUMIF(84:84,E27,85:85)-SUMIF(84:84,C27,85:85)+100</f>
        <v>100</v>
      </c>
      <c r="G27" s="397"/>
      <c r="H27" s="425">
        <f>SUMIF(84:84,G27,85:85)-SUMIF(84:84,C27,85:85)+100</f>
        <v>100</v>
      </c>
      <c r="I27" s="397"/>
      <c r="J27" s="425">
        <f>SUMIF(84:84,I27,85:85)-SUMIF(84:84,C27,85:85)+100</f>
        <v>100</v>
      </c>
      <c r="K27" s="574"/>
      <c r="L27" s="1050"/>
      <c r="M27" s="1051"/>
      <c r="N27" s="1051"/>
      <c r="O27" s="1052"/>
      <c r="P27" s="3400"/>
      <c r="Q27" s="1533">
        <f t="shared" si="11"/>
        <v>111</v>
      </c>
      <c r="R27" s="714" t="s">
        <v>17</v>
      </c>
      <c r="S27" s="715">
        <f>F27</f>
        <v>100</v>
      </c>
      <c r="T27" s="714" t="s">
        <v>17</v>
      </c>
      <c r="U27" s="715">
        <f>H27</f>
        <v>100</v>
      </c>
      <c r="V27" s="714" t="s">
        <v>17</v>
      </c>
      <c r="W27" s="715">
        <f>J27</f>
        <v>100</v>
      </c>
      <c r="X27" s="716"/>
      <c r="Y27" s="3400"/>
      <c r="Z27" s="55">
        <f>Q27</f>
        <v>111</v>
      </c>
      <c r="AA27" s="1543">
        <f>D27/F27</f>
        <v>1</v>
      </c>
      <c r="AB27" s="1543">
        <f>D27/H27</f>
        <v>1</v>
      </c>
      <c r="AC27" s="1543">
        <f>D27/J27</f>
        <v>1</v>
      </c>
    </row>
    <row r="28" spans="1:29" ht="15.6" thickBot="1">
      <c r="A28" s="399"/>
      <c r="B28" s="1299">
        <v>111</v>
      </c>
      <c r="C28" s="400">
        <v>111</v>
      </c>
      <c r="D28" s="401">
        <v>100</v>
      </c>
      <c r="E28" s="397"/>
      <c r="F28" s="402">
        <f>SUMIF(86:86,E28,87:87)-SUMIF(86:86,C28,87:87)+100</f>
        <v>100</v>
      </c>
      <c r="G28" s="432"/>
      <c r="H28" s="401">
        <f>SUMIF(86:86,G28,87:87)-SUMIF(86:86,C28,87:87)+100</f>
        <v>100</v>
      </c>
      <c r="I28" s="432"/>
      <c r="J28" s="401">
        <f>SUMIF(86:86,I28,87:87)-SUMIF(86:86,C28,87:87)+100</f>
        <v>100</v>
      </c>
      <c r="K28" s="574"/>
      <c r="L28" s="1058"/>
      <c r="M28" s="1049"/>
      <c r="N28" s="1049"/>
      <c r="O28" s="1057"/>
      <c r="P28" s="3400"/>
      <c r="Q28" s="1542">
        <f t="shared" si="11"/>
        <v>111</v>
      </c>
      <c r="R28" s="718" t="s">
        <v>17</v>
      </c>
      <c r="S28" s="719">
        <f t="shared" ref="S28:S40" si="12">F28</f>
        <v>100</v>
      </c>
      <c r="T28" s="718" t="s">
        <v>17</v>
      </c>
      <c r="U28" s="719">
        <f t="shared" ref="U28:U40" si="13">H28</f>
        <v>100</v>
      </c>
      <c r="V28" s="718" t="s">
        <v>17</v>
      </c>
      <c r="W28" s="719">
        <f t="shared" ref="W28:W40" si="14">J28</f>
        <v>100</v>
      </c>
      <c r="X28" s="1545"/>
      <c r="Y28" s="3400"/>
      <c r="Z28" s="1546">
        <f t="shared" ref="Z28:Z40" si="15">Q28</f>
        <v>111</v>
      </c>
      <c r="AA28" s="1543">
        <f t="shared" si="3"/>
        <v>1</v>
      </c>
      <c r="AB28" s="1543">
        <f t="shared" si="4"/>
        <v>1</v>
      </c>
      <c r="AC28" s="1543">
        <f t="shared" si="5"/>
        <v>1</v>
      </c>
    </row>
    <row r="29" spans="1:29" ht="30">
      <c r="A29" s="429" t="s">
        <v>2393</v>
      </c>
      <c r="B29" s="71" t="s">
        <v>2523</v>
      </c>
      <c r="C29" s="2159"/>
      <c r="D29" s="430">
        <v>100</v>
      </c>
      <c r="E29" s="2159"/>
      <c r="F29" s="424">
        <f>SUMIF(88:88,E29,89:89)-SUMIF(88:88,C29,89:89)+100</f>
        <v>100</v>
      </c>
      <c r="G29" s="2159"/>
      <c r="H29" s="398">
        <f>SUMIF(88:88,G29,89:89)-SUMIF(88:88,C29,89:89)+100</f>
        <v>100</v>
      </c>
      <c r="I29" s="2159"/>
      <c r="J29" s="430">
        <f>SUMIF(88:88,I29,89:89)-SUMIF(88:88,C29,89:89)+100</f>
        <v>100</v>
      </c>
      <c r="K29" s="573"/>
      <c r="L29" s="1058"/>
      <c r="M29" s="1049"/>
      <c r="N29" s="1049"/>
      <c r="O29" s="1057"/>
      <c r="P29" s="3423" t="s">
        <v>2395</v>
      </c>
      <c r="Q29" s="1542" t="str">
        <f t="shared" si="11"/>
        <v>建筑类型</v>
      </c>
      <c r="R29" s="718" t="s">
        <v>17</v>
      </c>
      <c r="S29" s="719">
        <f t="shared" si="12"/>
        <v>100</v>
      </c>
      <c r="T29" s="718" t="s">
        <v>17</v>
      </c>
      <c r="U29" s="719">
        <f t="shared" si="13"/>
        <v>100</v>
      </c>
      <c r="V29" s="718" t="s">
        <v>17</v>
      </c>
      <c r="W29" s="719">
        <f t="shared" si="14"/>
        <v>100</v>
      </c>
      <c r="X29" s="1545"/>
      <c r="Y29" s="3404" t="s">
        <v>2395</v>
      </c>
      <c r="Z29" s="1546" t="str">
        <f t="shared" si="15"/>
        <v>建筑类型</v>
      </c>
      <c r="AA29" s="1543">
        <f t="shared" si="3"/>
        <v>1</v>
      </c>
      <c r="AB29" s="1543">
        <f t="shared" si="4"/>
        <v>1</v>
      </c>
      <c r="AC29" s="1543">
        <f t="shared" si="5"/>
        <v>1</v>
      </c>
    </row>
    <row r="30" spans="1:29" s="434" customFormat="1" ht="15">
      <c r="A30" s="431"/>
      <c r="B30" s="385" t="s">
        <v>2396</v>
      </c>
      <c r="C30" s="432"/>
      <c r="D30" s="136">
        <v>100</v>
      </c>
      <c r="E30" s="393"/>
      <c r="F30" s="388" t="e">
        <f>LOOKUP(E30,91:91,92:92)-LOOKUP(C30,91:91,92:92)+100</f>
        <v>#N/A</v>
      </c>
      <c r="G30" s="392"/>
      <c r="H30" s="136" t="e">
        <f>LOOKUP(G30,91:91,92:92)-LOOKUP(C30,91:91,92:92)+100</f>
        <v>#N/A</v>
      </c>
      <c r="I30" s="392"/>
      <c r="J30" s="136" t="e">
        <f>LOOKUP(I30,91:91,92:92)-LOOKUP(C30,91:91,92:92)+100</f>
        <v>#N/A</v>
      </c>
      <c r="K30" s="574"/>
      <c r="L30" s="1056"/>
      <c r="M30" s="1059"/>
      <c r="N30" s="1059"/>
      <c r="O30" s="1060"/>
      <c r="P30" s="3404"/>
      <c r="Q30" s="720" t="str">
        <f t="shared" si="11"/>
        <v>项目建筑规模</v>
      </c>
      <c r="R30" s="721" t="s">
        <v>17</v>
      </c>
      <c r="S30" s="722" t="e">
        <f t="shared" si="12"/>
        <v>#N/A</v>
      </c>
      <c r="T30" s="721" t="s">
        <v>17</v>
      </c>
      <c r="U30" s="722" t="e">
        <f t="shared" si="13"/>
        <v>#N/A</v>
      </c>
      <c r="V30" s="721" t="s">
        <v>17</v>
      </c>
      <c r="W30" s="722" t="e">
        <f t="shared" si="14"/>
        <v>#N/A</v>
      </c>
      <c r="X30" s="723"/>
      <c r="Y30" s="3404"/>
      <c r="Z30" s="724" t="str">
        <f t="shared" si="15"/>
        <v>项目建筑规模</v>
      </c>
      <c r="AA30" s="1543" t="e">
        <f t="shared" si="3"/>
        <v>#N/A</v>
      </c>
      <c r="AB30" s="1543" t="e">
        <f t="shared" si="4"/>
        <v>#N/A</v>
      </c>
      <c r="AC30" s="1543" t="e">
        <f t="shared" si="5"/>
        <v>#N/A</v>
      </c>
    </row>
    <row r="31" spans="1:29" ht="15">
      <c r="A31" s="435"/>
      <c r="B31" s="385" t="s">
        <v>2397</v>
      </c>
      <c r="C31" s="423"/>
      <c r="D31" s="398">
        <v>100</v>
      </c>
      <c r="E31" s="423"/>
      <c r="F31" s="424">
        <f>SUMIF(93:93,E31,94:94)-SUMIF(93:93,C31,94:94)+100</f>
        <v>100</v>
      </c>
      <c r="G31" s="423"/>
      <c r="H31" s="398">
        <f>SUMIF(93:93,G31,94:94)-SUMIF(93:93,C31,94:94)+100</f>
        <v>100</v>
      </c>
      <c r="I31" s="423"/>
      <c r="J31" s="398">
        <f>SUMIF(93:93,I31,94:94)-SUMIF(93:93,C31,94:94)+100</f>
        <v>100</v>
      </c>
      <c r="K31" s="573"/>
      <c r="L31" s="1058"/>
      <c r="M31" s="1049"/>
      <c r="N31" s="1049"/>
      <c r="O31" s="1057"/>
      <c r="P31" s="3404"/>
      <c r="Q31" s="1542" t="str">
        <f t="shared" si="11"/>
        <v>建筑结构</v>
      </c>
      <c r="R31" s="718" t="s">
        <v>17</v>
      </c>
      <c r="S31" s="719">
        <f t="shared" si="12"/>
        <v>100</v>
      </c>
      <c r="T31" s="718" t="s">
        <v>17</v>
      </c>
      <c r="U31" s="719">
        <f t="shared" si="13"/>
        <v>100</v>
      </c>
      <c r="V31" s="718" t="s">
        <v>17</v>
      </c>
      <c r="W31" s="719">
        <f t="shared" si="14"/>
        <v>100</v>
      </c>
      <c r="X31" s="1545"/>
      <c r="Y31" s="3404"/>
      <c r="Z31" s="1546" t="str">
        <f t="shared" si="15"/>
        <v>建筑结构</v>
      </c>
      <c r="AA31" s="1543">
        <f t="shared" si="3"/>
        <v>1</v>
      </c>
      <c r="AB31" s="1543">
        <f t="shared" si="4"/>
        <v>1</v>
      </c>
      <c r="AC31" s="1543">
        <f t="shared" si="5"/>
        <v>1</v>
      </c>
    </row>
    <row r="32" spans="1:29" ht="15">
      <c r="A32" s="435"/>
      <c r="B32" s="385" t="s">
        <v>2491</v>
      </c>
      <c r="C32" s="423"/>
      <c r="D32" s="398">
        <v>100</v>
      </c>
      <c r="E32" s="423"/>
      <c r="F32" s="424">
        <f>SUMIF(95:95,E32,96:96)-SUMIF(95:95,C32,96:96)+100</f>
        <v>100</v>
      </c>
      <c r="G32" s="423"/>
      <c r="H32" s="398">
        <f>SUMIF(95:95,G32,96:96)-SUMIF(95:95,C32,96:96)+100</f>
        <v>100</v>
      </c>
      <c r="I32" s="423"/>
      <c r="J32" s="398">
        <f>SUMIF(95:95,I32,96:96)-SUMIF(95:95,C32,96:96)+100</f>
        <v>100</v>
      </c>
      <c r="K32" s="573"/>
      <c r="L32" s="1058"/>
      <c r="M32" s="1049"/>
      <c r="N32" s="1049"/>
      <c r="O32" s="1057"/>
      <c r="P32" s="3404"/>
      <c r="Q32" s="1542" t="str">
        <f t="shared" si="11"/>
        <v>公共部分装修</v>
      </c>
      <c r="R32" s="718" t="s">
        <v>17</v>
      </c>
      <c r="S32" s="719">
        <f t="shared" si="12"/>
        <v>100</v>
      </c>
      <c r="T32" s="718" t="s">
        <v>17</v>
      </c>
      <c r="U32" s="719">
        <f t="shared" si="13"/>
        <v>100</v>
      </c>
      <c r="V32" s="718" t="s">
        <v>17</v>
      </c>
      <c r="W32" s="719">
        <f t="shared" si="14"/>
        <v>100</v>
      </c>
      <c r="X32" s="1545"/>
      <c r="Y32" s="3404"/>
      <c r="Z32" s="1546" t="str">
        <f t="shared" si="15"/>
        <v>公共部分装修</v>
      </c>
      <c r="AA32" s="1543">
        <f t="shared" si="3"/>
        <v>1</v>
      </c>
      <c r="AB32" s="1543">
        <f t="shared" si="4"/>
        <v>1</v>
      </c>
      <c r="AC32" s="1543">
        <f t="shared" si="5"/>
        <v>1</v>
      </c>
    </row>
    <row r="33" spans="1:29" ht="15">
      <c r="A33" s="435"/>
      <c r="B33" s="385" t="s">
        <v>2492</v>
      </c>
      <c r="C33" s="432"/>
      <c r="D33" s="398">
        <v>100</v>
      </c>
      <c r="E33" s="437"/>
      <c r="F33" s="424" t="e">
        <f>LOOKUP(E33,98:98,99:99)-LOOKUP(C33,98:98,99:99)+100</f>
        <v>#N/A</v>
      </c>
      <c r="G33" s="437"/>
      <c r="H33" s="424" t="e">
        <f>LOOKUP(G33,98:98,99:99)-LOOKUP(C33,98:98,99:99)+100</f>
        <v>#N/A</v>
      </c>
      <c r="I33" s="437"/>
      <c r="J33" s="398" t="e">
        <f>LOOKUP(I33,98:98,99:99)-LOOKUP(C33,98:98,99:99)+100</f>
        <v>#N/A</v>
      </c>
      <c r="K33" s="573"/>
      <c r="L33" s="1058"/>
      <c r="M33" s="1049"/>
      <c r="N33" s="1049"/>
      <c r="O33" s="1057"/>
      <c r="P33" s="3404"/>
      <c r="Q33" s="1542" t="str">
        <f t="shared" si="11"/>
        <v>成新度</v>
      </c>
      <c r="R33" s="718" t="s">
        <v>17</v>
      </c>
      <c r="S33" s="719" t="e">
        <f t="shared" si="12"/>
        <v>#N/A</v>
      </c>
      <c r="T33" s="718" t="s">
        <v>17</v>
      </c>
      <c r="U33" s="719" t="e">
        <f t="shared" si="13"/>
        <v>#N/A</v>
      </c>
      <c r="V33" s="718" t="s">
        <v>17</v>
      </c>
      <c r="W33" s="719" t="e">
        <f t="shared" si="14"/>
        <v>#N/A</v>
      </c>
      <c r="X33" s="1545"/>
      <c r="Y33" s="3404"/>
      <c r="Z33" s="1546" t="str">
        <f t="shared" si="15"/>
        <v>成新度</v>
      </c>
      <c r="AA33" s="1543" t="e">
        <f t="shared" si="3"/>
        <v>#N/A</v>
      </c>
      <c r="AB33" s="1543" t="e">
        <f t="shared" si="4"/>
        <v>#N/A</v>
      </c>
      <c r="AC33" s="1543" t="e">
        <f t="shared" si="5"/>
        <v>#N/A</v>
      </c>
    </row>
    <row r="34" spans="1:29" s="117" customFormat="1" ht="15">
      <c r="A34" s="436"/>
      <c r="B34" s="385" t="s">
        <v>2525</v>
      </c>
      <c r="C34" s="423"/>
      <c r="D34" s="136">
        <v>100</v>
      </c>
      <c r="E34" s="423"/>
      <c r="F34" s="424">
        <f>SUMIF(100:100,E34,101:101)-SUMIF(100:100,C34,101:101)+100</f>
        <v>100</v>
      </c>
      <c r="G34" s="423"/>
      <c r="H34" s="398">
        <f>SUMIF(100:100,G34,101:101)-SUMIF(100:100,C34,101:101)+100</f>
        <v>100</v>
      </c>
      <c r="I34" s="423"/>
      <c r="J34" s="398">
        <f>SUMIF(100:100,I34,101:101)-SUMIF(100:100,C34,101:101)+100</f>
        <v>100</v>
      </c>
      <c r="K34" s="573"/>
      <c r="L34" s="1050"/>
      <c r="M34" s="1051"/>
      <c r="N34" s="1051"/>
      <c r="O34" s="1052"/>
      <c r="P34" s="3404"/>
      <c r="Q34" s="1533" t="str">
        <f t="shared" si="11"/>
        <v>物业管理</v>
      </c>
      <c r="R34" s="714" t="s">
        <v>17</v>
      </c>
      <c r="S34" s="715">
        <f t="shared" si="12"/>
        <v>100</v>
      </c>
      <c r="T34" s="714" t="s">
        <v>17</v>
      </c>
      <c r="U34" s="715">
        <f t="shared" si="13"/>
        <v>100</v>
      </c>
      <c r="V34" s="714" t="s">
        <v>17</v>
      </c>
      <c r="W34" s="715">
        <f t="shared" si="14"/>
        <v>100</v>
      </c>
      <c r="X34" s="716"/>
      <c r="Y34" s="3404"/>
      <c r="Z34" s="55" t="str">
        <f t="shared" si="15"/>
        <v>物业管理</v>
      </c>
      <c r="AA34" s="717">
        <f t="shared" si="3"/>
        <v>1</v>
      </c>
      <c r="AB34" s="717">
        <f t="shared" si="4"/>
        <v>1</v>
      </c>
      <c r="AC34" s="717">
        <f t="shared" si="5"/>
        <v>1</v>
      </c>
    </row>
    <row r="35" spans="1:29" ht="15">
      <c r="A35" s="435"/>
      <c r="B35" s="385" t="s">
        <v>2493</v>
      </c>
      <c r="C35" s="423"/>
      <c r="D35" s="398">
        <v>100</v>
      </c>
      <c r="E35" s="423"/>
      <c r="F35" s="424">
        <f>SUMIF(102:102,E35,103:103)-SUMIF(102:102,C35,103:103)+100</f>
        <v>100</v>
      </c>
      <c r="G35" s="423"/>
      <c r="H35" s="398">
        <f>SUMIF(102:102,G35,103:103)-SUMIF(102:102,C35,103:103)+100</f>
        <v>100</v>
      </c>
      <c r="I35" s="423"/>
      <c r="J35" s="398">
        <f>SUMIF(102:102,I35,103:103)-SUMIF(102:102,C35,103:103)+100</f>
        <v>100</v>
      </c>
      <c r="K35" s="573"/>
      <c r="L35" s="1058"/>
      <c r="M35" s="1049"/>
      <c r="N35" s="1049"/>
      <c r="O35" s="1057"/>
      <c r="P35" s="3404" t="s">
        <v>2395</v>
      </c>
      <c r="Q35" s="1542" t="str">
        <f t="shared" si="11"/>
        <v>市政基础设施</v>
      </c>
      <c r="R35" s="718" t="s">
        <v>17</v>
      </c>
      <c r="S35" s="719">
        <f t="shared" si="12"/>
        <v>100</v>
      </c>
      <c r="T35" s="718" t="s">
        <v>17</v>
      </c>
      <c r="U35" s="719">
        <f t="shared" si="13"/>
        <v>100</v>
      </c>
      <c r="V35" s="718" t="s">
        <v>17</v>
      </c>
      <c r="W35" s="719">
        <f t="shared" si="14"/>
        <v>100</v>
      </c>
      <c r="X35" s="1545"/>
      <c r="Y35" s="3404" t="s">
        <v>2395</v>
      </c>
      <c r="Z35" s="1546" t="str">
        <f t="shared" si="15"/>
        <v>市政基础设施</v>
      </c>
      <c r="AA35" s="1543">
        <f t="shared" si="3"/>
        <v>1</v>
      </c>
      <c r="AB35" s="1543">
        <f t="shared" si="4"/>
        <v>1</v>
      </c>
      <c r="AC35" s="1543">
        <f t="shared" si="5"/>
        <v>1</v>
      </c>
    </row>
    <row r="36" spans="1:29" ht="15">
      <c r="A36" s="435"/>
      <c r="B36" s="385" t="s">
        <v>2498</v>
      </c>
      <c r="C36" s="423"/>
      <c r="D36" s="398">
        <v>100</v>
      </c>
      <c r="E36" s="423"/>
      <c r="F36" s="424">
        <f>SUMIF(104:104,E36,105:105)-SUMIF(104:104,C36,105:105)+100</f>
        <v>100</v>
      </c>
      <c r="G36" s="423"/>
      <c r="H36" s="398">
        <f>SUMIF(104:104,G36,105:105)-SUMIF(104:104,C36,105:105)+100</f>
        <v>100</v>
      </c>
      <c r="I36" s="423"/>
      <c r="J36" s="398">
        <f>SUMIF(104:104,I36,105:105)-SUMIF(104:104,C36,105:105)+100</f>
        <v>100</v>
      </c>
      <c r="K36" s="573"/>
      <c r="L36" s="1058"/>
      <c r="M36" s="1049"/>
      <c r="N36" s="1049"/>
      <c r="O36" s="1057"/>
      <c r="P36" s="3404"/>
      <c r="Q36" s="1542" t="str">
        <f t="shared" si="11"/>
        <v>内部装修</v>
      </c>
      <c r="R36" s="718" t="s">
        <v>17</v>
      </c>
      <c r="S36" s="719">
        <f t="shared" si="12"/>
        <v>100</v>
      </c>
      <c r="T36" s="718" t="s">
        <v>17</v>
      </c>
      <c r="U36" s="719">
        <f t="shared" si="13"/>
        <v>100</v>
      </c>
      <c r="V36" s="718" t="s">
        <v>17</v>
      </c>
      <c r="W36" s="719">
        <f t="shared" si="14"/>
        <v>100</v>
      </c>
      <c r="X36" s="1545"/>
      <c r="Y36" s="3404"/>
      <c r="Z36" s="1546" t="str">
        <f t="shared" si="15"/>
        <v>内部装修</v>
      </c>
      <c r="AA36" s="1543">
        <f t="shared" si="3"/>
        <v>1</v>
      </c>
      <c r="AB36" s="1543">
        <f t="shared" si="4"/>
        <v>1</v>
      </c>
      <c r="AC36" s="1543">
        <f t="shared" si="5"/>
        <v>1</v>
      </c>
    </row>
    <row r="37" spans="1:29" ht="15">
      <c r="A37" s="435"/>
      <c r="B37" s="385" t="s">
        <v>2534</v>
      </c>
      <c r="C37" s="577"/>
      <c r="D37" s="398">
        <v>100</v>
      </c>
      <c r="E37" s="577"/>
      <c r="F37" s="424">
        <f>SUMIF(106:106,E37,107:107)-SUMIF(106:106,C37,107:107)+100</f>
        <v>100</v>
      </c>
      <c r="G37" s="577"/>
      <c r="H37" s="398">
        <f>SUMIF(106:106,G37,107:107)-SUMIF(106:106,C37,107:107)+100</f>
        <v>100</v>
      </c>
      <c r="I37" s="577"/>
      <c r="J37" s="398">
        <f>SUMIF(106:106,I37,107:107)-SUMIF(106:106,C37,107:107)+100</f>
        <v>100</v>
      </c>
      <c r="K37" s="573"/>
      <c r="L37" s="1058"/>
      <c r="M37" s="1049"/>
      <c r="N37" s="1049"/>
      <c r="O37" s="1057"/>
      <c r="P37" s="3404"/>
      <c r="Q37" s="1542" t="str">
        <f t="shared" si="11"/>
        <v>内部装修状况</v>
      </c>
      <c r="R37" s="718" t="s">
        <v>17</v>
      </c>
      <c r="S37" s="719">
        <f t="shared" si="12"/>
        <v>100</v>
      </c>
      <c r="T37" s="718" t="s">
        <v>17</v>
      </c>
      <c r="U37" s="719">
        <f t="shared" si="13"/>
        <v>100</v>
      </c>
      <c r="V37" s="718" t="s">
        <v>17</v>
      </c>
      <c r="W37" s="719">
        <f t="shared" si="14"/>
        <v>100</v>
      </c>
      <c r="X37" s="1545"/>
      <c r="Y37" s="3404"/>
      <c r="Z37" s="1546" t="str">
        <f t="shared" si="15"/>
        <v>内部装修状况</v>
      </c>
      <c r="AA37" s="1543">
        <f t="shared" si="3"/>
        <v>1</v>
      </c>
      <c r="AB37" s="1543">
        <f t="shared" si="4"/>
        <v>1</v>
      </c>
      <c r="AC37" s="1543">
        <f t="shared" si="5"/>
        <v>1</v>
      </c>
    </row>
    <row r="38" spans="1:29" s="434" customFormat="1" ht="15">
      <c r="A38" s="431"/>
      <c r="B38" s="1299">
        <v>111</v>
      </c>
      <c r="C38" s="432"/>
      <c r="D38" s="398">
        <v>100</v>
      </c>
      <c r="E38" s="397"/>
      <c r="F38" s="424">
        <f>SUMIF(108:108,E38,109:109)-SUMIF(108:108,C38,109:109)+100</f>
        <v>100</v>
      </c>
      <c r="G38" s="432"/>
      <c r="H38" s="398">
        <f>SUMIF(108:108,G38,109:109)-SUMIF(108:108,C38,109:109)+100</f>
        <v>100</v>
      </c>
      <c r="I38" s="432"/>
      <c r="J38" s="398">
        <f>SUMIF(108:108,I38,109:1038)-SUMIF(108:108,C38,109:109)+100</f>
        <v>100</v>
      </c>
      <c r="K38" s="574"/>
      <c r="L38" s="1056"/>
      <c r="M38" s="1059"/>
      <c r="N38" s="1059"/>
      <c r="O38" s="1060"/>
      <c r="P38" s="3404"/>
      <c r="Q38" s="720">
        <f t="shared" si="11"/>
        <v>111</v>
      </c>
      <c r="R38" s="721" t="s">
        <v>17</v>
      </c>
      <c r="S38" s="722">
        <f t="shared" si="12"/>
        <v>100</v>
      </c>
      <c r="T38" s="721" t="s">
        <v>17</v>
      </c>
      <c r="U38" s="722">
        <f t="shared" si="13"/>
        <v>100</v>
      </c>
      <c r="V38" s="721" t="s">
        <v>17</v>
      </c>
      <c r="W38" s="722">
        <f t="shared" si="14"/>
        <v>100</v>
      </c>
      <c r="X38" s="723"/>
      <c r="Y38" s="3404"/>
      <c r="Z38" s="724">
        <f t="shared" si="15"/>
        <v>111</v>
      </c>
      <c r="AA38" s="1543">
        <f t="shared" si="3"/>
        <v>1</v>
      </c>
      <c r="AB38" s="1543">
        <f t="shared" si="4"/>
        <v>1</v>
      </c>
      <c r="AC38" s="1543">
        <f t="shared" si="5"/>
        <v>1</v>
      </c>
    </row>
    <row r="39" spans="1:29" ht="15">
      <c r="A39" s="435"/>
      <c r="B39" s="1299">
        <v>111</v>
      </c>
      <c r="C39" s="432"/>
      <c r="D39" s="398">
        <v>100</v>
      </c>
      <c r="E39" s="397"/>
      <c r="F39" s="424">
        <f>SUMIF(110:110,E39,111:111)-SUMIF(110:110,C39,111:111)+100</f>
        <v>100</v>
      </c>
      <c r="G39" s="432"/>
      <c r="H39" s="398">
        <f>SUMIF(110:110,G39,111:111)-SUMIF(110:110,C39,111:111)+100</f>
        <v>100</v>
      </c>
      <c r="I39" s="432"/>
      <c r="J39" s="398">
        <f>SUMIF(110:110,I39,111:111)-SUMIF(110:110,C39,111:111)+100</f>
        <v>100</v>
      </c>
      <c r="K39" s="574"/>
      <c r="L39" s="1058"/>
      <c r="M39" s="1049"/>
      <c r="N39" s="1049"/>
      <c r="O39" s="1057"/>
      <c r="P39" s="3404"/>
      <c r="Q39" s="1542">
        <f t="shared" si="11"/>
        <v>111</v>
      </c>
      <c r="R39" s="718" t="s">
        <v>17</v>
      </c>
      <c r="S39" s="719">
        <f t="shared" si="12"/>
        <v>100</v>
      </c>
      <c r="T39" s="718" t="s">
        <v>17</v>
      </c>
      <c r="U39" s="719">
        <f t="shared" si="13"/>
        <v>100</v>
      </c>
      <c r="V39" s="718" t="s">
        <v>17</v>
      </c>
      <c r="W39" s="719">
        <f t="shared" si="14"/>
        <v>100</v>
      </c>
      <c r="X39" s="1545"/>
      <c r="Y39" s="3404"/>
      <c r="Z39" s="1546">
        <f t="shared" si="15"/>
        <v>111</v>
      </c>
      <c r="AA39" s="1543">
        <f t="shared" si="3"/>
        <v>1</v>
      </c>
      <c r="AB39" s="1543">
        <f t="shared" si="4"/>
        <v>1</v>
      </c>
      <c r="AC39" s="1543">
        <f t="shared" si="5"/>
        <v>1</v>
      </c>
    </row>
    <row r="40" spans="1:29" ht="15.6" thickBot="1">
      <c r="A40" s="441"/>
      <c r="B40" s="2087">
        <v>111</v>
      </c>
      <c r="C40" s="400"/>
      <c r="D40" s="401">
        <v>100</v>
      </c>
      <c r="E40" s="397"/>
      <c r="F40" s="402">
        <f>SUMIF(112:112,E40,113:113)-SUMIF(112:112,C40,113:113)+100</f>
        <v>100</v>
      </c>
      <c r="G40" s="432"/>
      <c r="H40" s="401">
        <f>SUMIF(112:112,G40,113:113)-SUMIF(112:112,C40,113:113)+100</f>
        <v>100</v>
      </c>
      <c r="I40" s="432"/>
      <c r="J40" s="401">
        <f>SUMIF(112:112,I40,113:113)-SUMIF(112:112,C40,113:113)+100</f>
        <v>100</v>
      </c>
      <c r="K40" s="574"/>
      <c r="L40" s="1058"/>
      <c r="M40" s="1049"/>
      <c r="N40" s="1049"/>
      <c r="O40" s="1057"/>
      <c r="P40" s="3405"/>
      <c r="Q40" s="1542">
        <f t="shared" si="11"/>
        <v>111</v>
      </c>
      <c r="R40" s="718" t="s">
        <v>17</v>
      </c>
      <c r="S40" s="719">
        <f t="shared" si="12"/>
        <v>100</v>
      </c>
      <c r="T40" s="718" t="s">
        <v>17</v>
      </c>
      <c r="U40" s="719">
        <f t="shared" si="13"/>
        <v>100</v>
      </c>
      <c r="V40" s="718" t="s">
        <v>17</v>
      </c>
      <c r="W40" s="719">
        <f t="shared" si="14"/>
        <v>100</v>
      </c>
      <c r="X40" s="1545"/>
      <c r="Y40" s="3405"/>
      <c r="Z40" s="1546">
        <f t="shared" si="15"/>
        <v>111</v>
      </c>
      <c r="AA40" s="1543">
        <f t="shared" si="3"/>
        <v>1</v>
      </c>
      <c r="AB40" s="1543">
        <f t="shared" si="4"/>
        <v>1</v>
      </c>
      <c r="AC40" s="1543">
        <f t="shared" si="5"/>
        <v>1</v>
      </c>
    </row>
    <row r="41" spans="1:29" ht="14.4">
      <c r="A41" s="442" t="s">
        <v>2407</v>
      </c>
      <c r="B41" s="443"/>
      <c r="C41" s="1320" t="s">
        <v>1</v>
      </c>
      <c r="D41" s="1321"/>
      <c r="E41" s="1322"/>
      <c r="F41" s="1323"/>
      <c r="G41" s="1324"/>
      <c r="H41" s="1325"/>
      <c r="I41" s="1322"/>
      <c r="J41" s="1325"/>
      <c r="K41" s="727"/>
      <c r="L41" s="1061"/>
      <c r="M41" s="1062"/>
      <c r="N41" s="1049"/>
      <c r="O41" s="1062"/>
      <c r="P41" s="3397" t="str">
        <f>A41</f>
        <v>成交单价（元/平方米）</v>
      </c>
      <c r="Q41" s="3397"/>
      <c r="R41" s="3398">
        <f>E41</f>
        <v>0</v>
      </c>
      <c r="S41" s="3398"/>
      <c r="T41" s="3398">
        <f>G41</f>
        <v>0</v>
      </c>
      <c r="U41" s="3398"/>
      <c r="V41" s="3398">
        <f>I41</f>
        <v>0</v>
      </c>
      <c r="W41" s="3398"/>
      <c r="X41" s="703"/>
      <c r="Y41" s="725"/>
      <c r="Z41" s="703"/>
      <c r="AA41" s="703"/>
      <c r="AB41" s="703"/>
      <c r="AC41" s="703"/>
    </row>
    <row r="42" spans="1:29" ht="15" thickBot="1">
      <c r="A42" s="449" t="s">
        <v>2499</v>
      </c>
      <c r="B42" s="450"/>
      <c r="C42" s="1326" t="e">
        <f>R43</f>
        <v>#DIV/0!</v>
      </c>
      <c r="D42" s="2544" t="s">
        <v>2891</v>
      </c>
      <c r="E42" s="1327" t="e">
        <f>R42</f>
        <v>#DIV/0!</v>
      </c>
      <c r="F42" s="2545"/>
      <c r="G42" s="1326" t="e">
        <f>T42</f>
        <v>#DIV/0!</v>
      </c>
      <c r="H42" s="2545"/>
      <c r="I42" s="1327" t="e">
        <f>V42</f>
        <v>#DIV/0!</v>
      </c>
      <c r="J42" s="2545"/>
      <c r="K42" s="2547">
        <f>F42+H42+J42</f>
        <v>0</v>
      </c>
      <c r="L42" s="1061"/>
      <c r="M42" s="1062"/>
      <c r="N42" s="1049"/>
      <c r="O42" s="1062"/>
      <c r="P42" s="3397" t="str">
        <f>A42</f>
        <v>比较价值（元/平方米）</v>
      </c>
      <c r="Q42" s="3397"/>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703"/>
      <c r="Y42" s="703"/>
      <c r="Z42" s="703"/>
      <c r="AA42" s="703"/>
      <c r="AB42" s="703"/>
      <c r="AC42" s="703"/>
    </row>
    <row r="43" spans="1:29" ht="15" thickBot="1">
      <c r="A43" s="453" t="s">
        <v>2500</v>
      </c>
      <c r="B43" s="454"/>
      <c r="C43" s="1329" t="e">
        <f>R43</f>
        <v>#DIV/0!</v>
      </c>
      <c r="D43" s="1329"/>
      <c r="E43" s="1329"/>
      <c r="F43" s="1329"/>
      <c r="G43" s="1329"/>
      <c r="H43" s="1329"/>
      <c r="I43" s="1329"/>
      <c r="J43" s="1329"/>
      <c r="K43" s="728"/>
      <c r="L43" s="1061"/>
      <c r="M43" s="1062"/>
      <c r="N43" s="1062"/>
      <c r="O43" s="1062"/>
      <c r="P43" s="3394" t="str">
        <f>A43</f>
        <v>估价对象XX用房的比较价值（楼面单价，元/平方米）</v>
      </c>
      <c r="Q43" s="3395"/>
      <c r="R43" s="3396" t="e">
        <f>IF(F1="售价",ROUND(IF(D42="简单平均",AVERAGE(R42:V42),R42*F42+T42*H42+V42*J42),0),ROUND(IF(D42="简单平均",AVERAGE(R42:V42),R42*F42+T42*H42+V42*J42),1))</f>
        <v>#DIV/0!</v>
      </c>
      <c r="S43" s="3396"/>
      <c r="T43" s="3396"/>
      <c r="U43" s="3396"/>
      <c r="V43" s="3396"/>
      <c r="W43" s="3396"/>
      <c r="X43" s="703"/>
      <c r="Y43" s="703"/>
      <c r="Z43" s="703"/>
      <c r="AA43" s="703"/>
      <c r="AB43" s="703"/>
      <c r="AC43" s="703"/>
    </row>
    <row r="44" spans="1:29">
      <c r="A44" s="2957"/>
      <c r="B44" s="2957"/>
      <c r="C44" s="2957"/>
      <c r="D44" s="2957"/>
      <c r="E44" s="2957"/>
      <c r="F44" s="2957"/>
      <c r="G44" s="2961"/>
      <c r="H44" s="2957"/>
      <c r="I44" s="2957"/>
      <c r="J44" s="2957"/>
      <c r="K44" s="2962"/>
      <c r="L44" s="1024"/>
      <c r="M44" s="1062"/>
      <c r="N44" s="1062"/>
      <c r="O44" s="1062"/>
    </row>
    <row r="45" spans="1:29">
      <c r="A45" s="2957"/>
      <c r="B45" s="2957"/>
      <c r="C45" s="2957"/>
      <c r="D45" s="2957"/>
      <c r="E45" s="2957"/>
      <c r="F45" s="2957"/>
      <c r="G45" s="2957"/>
      <c r="H45" s="2957"/>
      <c r="I45" s="2957"/>
      <c r="J45" s="2957"/>
      <c r="K45" s="2962"/>
      <c r="L45" s="1024"/>
      <c r="M45" s="1062"/>
      <c r="N45" s="1062"/>
      <c r="O45" s="1062"/>
    </row>
    <row r="46" spans="1:29" ht="13.5" customHeight="1">
      <c r="A46" s="2957"/>
      <c r="B46" s="2957"/>
      <c r="C46" s="458" t="s">
        <v>2501</v>
      </c>
      <c r="D46" s="459"/>
      <c r="E46" s="460" t="e">
        <f>IF(E41&lt;E42,E42/E41-1,E41/E42-1)</f>
        <v>#DIV/0!</v>
      </c>
      <c r="F46" s="461" t="e">
        <f>IF(OR(E46&gt;=0.3,E46&lt;=-0.3),"超过30%","")</f>
        <v>#DIV/0!</v>
      </c>
      <c r="G46" s="460" t="e">
        <f>IF(G41&lt;G42,G42/G41-1,G41/G42-1)</f>
        <v>#DIV/0!</v>
      </c>
      <c r="H46" s="461" t="e">
        <f>IF(OR(G46&gt;=0.3,G46&lt;=-0.3),"超过30%","")</f>
        <v>#DIV/0!</v>
      </c>
      <c r="I46" s="460" t="e">
        <f>IF(I41&lt;I42,I42/I41-1,I41/I42-1)</f>
        <v>#DIV/0!</v>
      </c>
      <c r="J46" s="461" t="e">
        <f>IF(OR(I46&gt;=0.3,I46&lt;=-0.3),"超过30%","")</f>
        <v>#DIV/0!</v>
      </c>
      <c r="K46" s="2962"/>
      <c r="L46" s="1024"/>
      <c r="M46" s="1062"/>
      <c r="N46" s="1062"/>
      <c r="O46" s="1062"/>
    </row>
    <row r="47" spans="1:29" ht="13.5" customHeight="1">
      <c r="A47" s="2957"/>
      <c r="B47" s="2957"/>
      <c r="C47" s="458" t="s">
        <v>2502</v>
      </c>
      <c r="D47" s="462"/>
      <c r="E47" s="460" t="e">
        <f>IF(E42&lt;G42,G42/E42-1,E42/G42-1)</f>
        <v>#DIV/0!</v>
      </c>
      <c r="F47" s="461" t="e">
        <f>IF(OR(E47&gt;=0.2,E47&lt;=-0.2),"超过20%","")</f>
        <v>#DIV/0!</v>
      </c>
      <c r="G47" s="460" t="e">
        <f>IF(G42&lt;I42,I42/G42-1,G42/I42-1)</f>
        <v>#DIV/0!</v>
      </c>
      <c r="H47" s="461" t="e">
        <f>IF(OR(G47&gt;=0.2,G47&lt;=-0.2),"超过20%","")</f>
        <v>#DIV/0!</v>
      </c>
      <c r="I47" s="460" t="e">
        <f>IF(I42&lt;E42,E42/I42-1,I42/E42-1)</f>
        <v>#DIV/0!</v>
      </c>
      <c r="J47" s="461" t="e">
        <f>IF(OR(I47&gt;=0.2,I47&lt;=-0.2),"超过20%","")</f>
        <v>#DIV/0!</v>
      </c>
      <c r="K47" s="2962"/>
      <c r="L47" s="1024"/>
      <c r="M47" s="1062"/>
      <c r="N47" s="1062"/>
      <c r="O47" s="1062"/>
    </row>
    <row r="48" spans="1:29" s="463" customFormat="1" ht="13.5" customHeight="1">
      <c r="A48" s="2960"/>
      <c r="B48" s="2960"/>
      <c r="C48" s="458" t="s">
        <v>2503</v>
      </c>
      <c r="D48" s="462"/>
      <c r="E48" s="460" t="e">
        <f>IF(E41&lt;G41,G41/E41-1,E41/G41-1)</f>
        <v>#DIV/0!</v>
      </c>
      <c r="F48" s="461" t="e">
        <f>IF(OR(E48&gt;=0.3,E48&lt;=-0.3),"超过30%","")</f>
        <v>#DIV/0!</v>
      </c>
      <c r="G48" s="460" t="e">
        <f>IF(G41&lt;I41,I41/G41-1,G41/I41-1)</f>
        <v>#DIV/0!</v>
      </c>
      <c r="H48" s="461" t="e">
        <f>IF(OR(G48&gt;=0.3,G48&lt;=-0.3),"超过30%","")</f>
        <v>#DIV/0!</v>
      </c>
      <c r="I48" s="460" t="e">
        <f>IF(I41&lt;E41,E41/I41-1,I41/E41-1)</f>
        <v>#DIV/0!</v>
      </c>
      <c r="J48" s="461" t="e">
        <f>IF(OR(I48&gt;=0.3,I48&lt;=-0.3),"超过30%","")</f>
        <v>#DIV/0!</v>
      </c>
      <c r="K48" s="2965"/>
      <c r="L48" s="1065"/>
      <c r="M48" s="1063"/>
      <c r="N48" s="1063"/>
      <c r="O48" s="1063"/>
    </row>
    <row r="49" spans="1:17" s="463" customFormat="1">
      <c r="A49" s="2960"/>
      <c r="B49" s="2963"/>
      <c r="C49" s="2964"/>
      <c r="D49" s="2960"/>
      <c r="E49" s="2960"/>
      <c r="F49" s="2960"/>
      <c r="G49" s="2960"/>
      <c r="H49" s="2960"/>
      <c r="I49" s="2960"/>
      <c r="J49" s="2960"/>
      <c r="K49" s="2965"/>
      <c r="L49" s="1065"/>
      <c r="M49" s="1063"/>
      <c r="N49" s="1063"/>
      <c r="O49" s="1063"/>
    </row>
    <row r="50" spans="1:17">
      <c r="A50" s="2957"/>
      <c r="B50" s="2963"/>
      <c r="C50" s="2964"/>
      <c r="D50" s="2957"/>
      <c r="E50" s="2957"/>
      <c r="F50" s="2957"/>
      <c r="G50" s="2957"/>
      <c r="H50" s="2957"/>
      <c r="I50" s="2957"/>
      <c r="J50" s="2957"/>
      <c r="K50" s="2962"/>
      <c r="L50" s="1024"/>
      <c r="M50" s="1062"/>
      <c r="N50" s="1062"/>
      <c r="O50" s="1062"/>
    </row>
    <row r="51" spans="1:17" ht="22.2" thickBot="1">
      <c r="A51" s="707" t="s">
        <v>2504</v>
      </c>
      <c r="B51" s="703"/>
      <c r="C51" s="708"/>
      <c r="D51" s="708"/>
      <c r="E51" s="708"/>
      <c r="F51" s="709"/>
      <c r="G51" s="709"/>
      <c r="H51" s="708"/>
      <c r="I51" s="708"/>
      <c r="J51" s="708"/>
      <c r="K51" s="1076"/>
      <c r="L51" s="1077"/>
      <c r="M51" s="1075"/>
      <c r="N51" s="1075"/>
      <c r="O51" s="1075"/>
      <c r="P51" s="464"/>
      <c r="Q51" s="465"/>
    </row>
    <row r="52" spans="1:17" s="469" customFormat="1" ht="14.4">
      <c r="A52" s="466" t="s">
        <v>2378</v>
      </c>
      <c r="B52" s="467"/>
      <c r="C52" s="1350" t="str">
        <f>YEAR(C7)&amp;"-"&amp;MONTH(C7)</f>
        <v>2020-8</v>
      </c>
      <c r="D52" s="1351">
        <f>EDATE(C52,-1)</f>
        <v>44013</v>
      </c>
      <c r="E52" s="1351">
        <f t="shared" ref="E52:O52" si="16">EDATE(D52,-1)</f>
        <v>43983</v>
      </c>
      <c r="F52" s="1351">
        <f t="shared" si="16"/>
        <v>43952</v>
      </c>
      <c r="G52" s="1351">
        <f t="shared" si="16"/>
        <v>43922</v>
      </c>
      <c r="H52" s="1351">
        <f t="shared" si="16"/>
        <v>43891</v>
      </c>
      <c r="I52" s="1351">
        <f t="shared" si="16"/>
        <v>43862</v>
      </c>
      <c r="J52" s="1351">
        <f t="shared" si="16"/>
        <v>43831</v>
      </c>
      <c r="K52" s="1351">
        <f t="shared" si="16"/>
        <v>43800</v>
      </c>
      <c r="L52" s="1351">
        <f t="shared" si="16"/>
        <v>43770</v>
      </c>
      <c r="M52" s="1351">
        <f t="shared" si="16"/>
        <v>43739</v>
      </c>
      <c r="N52" s="1351">
        <f t="shared" si="16"/>
        <v>43709</v>
      </c>
      <c r="O52" s="1351">
        <f t="shared" si="16"/>
        <v>43678</v>
      </c>
      <c r="P52" s="468"/>
    </row>
    <row r="53" spans="1:17" s="117" customFormat="1">
      <c r="A53" s="470"/>
      <c r="B53" s="471"/>
      <c r="C53" s="1349">
        <v>100</v>
      </c>
      <c r="D53" s="473"/>
      <c r="E53" s="473"/>
      <c r="F53" s="473"/>
      <c r="G53" s="473"/>
      <c r="H53" s="473"/>
      <c r="I53" s="473"/>
      <c r="J53" s="473"/>
      <c r="K53" s="473"/>
      <c r="L53" s="473"/>
      <c r="M53" s="474"/>
      <c r="N53" s="473"/>
      <c r="O53" s="475"/>
      <c r="P53" s="465"/>
    </row>
    <row r="54" spans="1:17" s="117" customFormat="1" ht="15" thickBot="1">
      <c r="A54" s="476" t="s">
        <v>2415</v>
      </c>
      <c r="B54" s="477"/>
      <c r="C54" s="478"/>
      <c r="D54" s="479"/>
      <c r="E54" s="479"/>
      <c r="F54" s="479"/>
      <c r="G54" s="479"/>
      <c r="H54" s="479"/>
      <c r="I54" s="479"/>
      <c r="J54" s="479"/>
      <c r="K54" s="479"/>
      <c r="L54" s="479"/>
      <c r="M54" s="480"/>
      <c r="N54" s="3002"/>
      <c r="O54" s="3003"/>
      <c r="P54" s="465"/>
      <c r="Q54" s="465"/>
    </row>
    <row r="55" spans="1:17" s="117" customFormat="1" ht="14.4">
      <c r="A55" s="482" t="s">
        <v>2380</v>
      </c>
      <c r="B55" s="471"/>
      <c r="C55" s="483" t="s">
        <v>2482</v>
      </c>
      <c r="D55" s="484"/>
      <c r="E55" s="484"/>
      <c r="F55" s="484"/>
      <c r="G55" s="484"/>
      <c r="H55" s="484"/>
      <c r="I55" s="484"/>
      <c r="J55" s="484"/>
      <c r="K55" s="484"/>
      <c r="L55" s="485"/>
      <c r="M55" s="486"/>
      <c r="N55" s="1067"/>
      <c r="O55" s="1067"/>
      <c r="P55" s="487"/>
      <c r="Q55" s="465"/>
    </row>
    <row r="56" spans="1:17" s="117" customFormat="1" ht="14.4" thickBot="1">
      <c r="A56" s="482"/>
      <c r="B56" s="471"/>
      <c r="C56" s="599">
        <v>100</v>
      </c>
      <c r="D56" s="473"/>
      <c r="E56" s="473"/>
      <c r="F56" s="473"/>
      <c r="G56" s="473"/>
      <c r="H56" s="473"/>
      <c r="I56" s="473"/>
      <c r="J56" s="473"/>
      <c r="K56" s="473"/>
      <c r="L56" s="473"/>
      <c r="M56" s="475"/>
      <c r="N56" s="1067"/>
      <c r="O56" s="1067"/>
      <c r="P56" s="465"/>
      <c r="Q56" s="465"/>
    </row>
    <row r="57" spans="1:17" ht="14.4">
      <c r="A57" s="488" t="s">
        <v>2418</v>
      </c>
      <c r="B57" s="489" t="s">
        <v>2384</v>
      </c>
      <c r="C57" s="490">
        <f>C9</f>
        <v>0</v>
      </c>
      <c r="D57" s="491"/>
      <c r="E57" s="491"/>
      <c r="F57" s="491"/>
      <c r="G57" s="491"/>
      <c r="H57" s="491"/>
      <c r="I57" s="491"/>
      <c r="J57" s="491"/>
      <c r="K57" s="492"/>
      <c r="L57" s="493"/>
      <c r="M57" s="494"/>
      <c r="N57" s="1068"/>
      <c r="O57" s="1068"/>
      <c r="P57" s="45"/>
      <c r="Q57" s="465"/>
    </row>
    <row r="58" spans="1:17" ht="14.4" thickBot="1">
      <c r="A58" s="495"/>
      <c r="B58" s="496"/>
      <c r="C58" s="497">
        <v>100</v>
      </c>
      <c r="D58" s="497"/>
      <c r="E58" s="497"/>
      <c r="F58" s="497"/>
      <c r="G58" s="497"/>
      <c r="H58" s="497"/>
      <c r="I58" s="497"/>
      <c r="J58" s="497"/>
      <c r="K58" s="497"/>
      <c r="L58" s="497"/>
      <c r="M58" s="498"/>
      <c r="N58" s="1069"/>
      <c r="O58" s="1069"/>
      <c r="P58" s="45"/>
      <c r="Q58" s="465"/>
    </row>
    <row r="59" spans="1:17" ht="29.4" thickTop="1">
      <c r="A59" s="495"/>
      <c r="B59" s="499" t="s">
        <v>2387</v>
      </c>
      <c r="C59" s="500" t="s">
        <v>2419</v>
      </c>
      <c r="D59" s="500" t="s">
        <v>2420</v>
      </c>
      <c r="E59" s="500" t="s">
        <v>2421</v>
      </c>
      <c r="F59" s="500" t="s">
        <v>2422</v>
      </c>
      <c r="G59" s="500" t="s">
        <v>2423</v>
      </c>
      <c r="H59" s="500" t="s">
        <v>2424</v>
      </c>
      <c r="I59" s="500" t="s">
        <v>2425</v>
      </c>
      <c r="J59" s="500"/>
      <c r="K59" s="501"/>
      <c r="L59" s="502"/>
      <c r="M59" s="503"/>
      <c r="N59" s="1068"/>
      <c r="O59" s="1068"/>
      <c r="P59" s="45"/>
      <c r="Q59" s="465"/>
    </row>
    <row r="60" spans="1:17" ht="14.4" thickBot="1">
      <c r="A60" s="495"/>
      <c r="B60" s="504"/>
      <c r="C60" s="505" t="s">
        <v>24</v>
      </c>
      <c r="D60" s="505" t="s">
        <v>25</v>
      </c>
      <c r="E60" s="505">
        <v>100</v>
      </c>
      <c r="F60" s="505">
        <f>E60-$K10</f>
        <v>100</v>
      </c>
      <c r="G60" s="505">
        <f>F60-$K10</f>
        <v>100</v>
      </c>
      <c r="H60" s="505">
        <f>G60-$K10</f>
        <v>100</v>
      </c>
      <c r="I60" s="505">
        <f>H60-$K10</f>
        <v>100</v>
      </c>
      <c r="J60" s="505"/>
      <c r="K60" s="505"/>
      <c r="L60" s="505"/>
      <c r="M60" s="506"/>
      <c r="N60" s="1069"/>
      <c r="O60" s="1069"/>
      <c r="P60" s="45"/>
      <c r="Q60" s="465"/>
    </row>
    <row r="61" spans="1:17" ht="15" thickTop="1">
      <c r="A61" s="495"/>
      <c r="B61" s="507" t="s">
        <v>2388</v>
      </c>
      <c r="C61" s="508" t="str">
        <f>C62&amp;"（含）"&amp;"-"&amp;D62</f>
        <v>（含）-</v>
      </c>
      <c r="D61" s="508" t="str">
        <f t="shared" ref="D61:L61" si="17">D62&amp;"（含）"&amp;"-"&amp;E62</f>
        <v>（含）-</v>
      </c>
      <c r="E61" s="508" t="str">
        <f t="shared" si="17"/>
        <v>（含）-</v>
      </c>
      <c r="F61" s="508" t="str">
        <f t="shared" si="17"/>
        <v>（含）-</v>
      </c>
      <c r="G61" s="508" t="str">
        <f t="shared" si="17"/>
        <v>（含）-</v>
      </c>
      <c r="H61" s="508" t="str">
        <f t="shared" si="17"/>
        <v>（含）-</v>
      </c>
      <c r="I61" s="508" t="str">
        <f t="shared" si="17"/>
        <v>（含）-</v>
      </c>
      <c r="J61" s="508" t="str">
        <f t="shared" si="17"/>
        <v>（含）-</v>
      </c>
      <c r="K61" s="508" t="str">
        <f t="shared" si="17"/>
        <v>（含）-</v>
      </c>
      <c r="L61" s="508" t="str">
        <f t="shared" si="17"/>
        <v>（含）-</v>
      </c>
      <c r="M61" s="411" t="str">
        <f>M62&amp;"（含）"&amp;"-"&amp;P62</f>
        <v>（含）-</v>
      </c>
      <c r="N61" s="1069"/>
      <c r="O61" s="1069"/>
      <c r="P61" s="45"/>
      <c r="Q61" s="465"/>
    </row>
    <row r="62" spans="1:17">
      <c r="A62" s="495"/>
      <c r="B62" s="509"/>
      <c r="C62" s="510"/>
      <c r="D62" s="510"/>
      <c r="E62" s="510"/>
      <c r="F62" s="510"/>
      <c r="G62" s="510"/>
      <c r="H62" s="510"/>
      <c r="I62" s="510"/>
      <c r="J62" s="510"/>
      <c r="K62" s="511"/>
      <c r="L62" s="512"/>
      <c r="M62" s="513"/>
      <c r="N62" s="1068"/>
      <c r="O62" s="1068"/>
      <c r="P62" s="45"/>
      <c r="Q62" s="465"/>
    </row>
    <row r="63" spans="1:17" ht="14.4" thickBot="1">
      <c r="A63" s="495"/>
      <c r="B63" s="496"/>
      <c r="C63" s="505">
        <v>100</v>
      </c>
      <c r="D63" s="505">
        <f t="shared" ref="D63:M63" si="18">C63-$K11</f>
        <v>100</v>
      </c>
      <c r="E63" s="505">
        <f t="shared" si="18"/>
        <v>100</v>
      </c>
      <c r="F63" s="505">
        <f t="shared" si="18"/>
        <v>100</v>
      </c>
      <c r="G63" s="505">
        <f t="shared" si="18"/>
        <v>100</v>
      </c>
      <c r="H63" s="505">
        <f t="shared" si="18"/>
        <v>100</v>
      </c>
      <c r="I63" s="505">
        <f t="shared" si="18"/>
        <v>100</v>
      </c>
      <c r="J63" s="505">
        <f t="shared" si="18"/>
        <v>100</v>
      </c>
      <c r="K63" s="505">
        <f t="shared" si="18"/>
        <v>100</v>
      </c>
      <c r="L63" s="505">
        <f t="shared" si="18"/>
        <v>100</v>
      </c>
      <c r="M63" s="506">
        <f t="shared" si="18"/>
        <v>100</v>
      </c>
      <c r="N63" s="1069"/>
      <c r="O63" s="1069"/>
      <c r="P63" s="45"/>
      <c r="Q63" s="465"/>
    </row>
    <row r="64" spans="1:17" s="434" customFormat="1" ht="14.4" thickTop="1">
      <c r="A64" s="514"/>
      <c r="B64" s="499">
        <f>B12</f>
        <v>111</v>
      </c>
      <c r="C64" s="515"/>
      <c r="D64" s="515"/>
      <c r="E64" s="515"/>
      <c r="F64" s="515"/>
      <c r="G64" s="515"/>
      <c r="H64" s="516"/>
      <c r="I64" s="516"/>
      <c r="J64" s="516"/>
      <c r="K64" s="516"/>
      <c r="L64" s="517"/>
      <c r="M64" s="518"/>
      <c r="N64" s="1070"/>
      <c r="O64" s="1070"/>
      <c r="P64" s="519"/>
      <c r="Q64" s="520"/>
    </row>
    <row r="65" spans="1:17" s="434" customFormat="1" ht="14.4" thickBot="1">
      <c r="A65" s="514"/>
      <c r="B65" s="504"/>
      <c r="C65" s="521"/>
      <c r="D65" s="497"/>
      <c r="E65" s="497"/>
      <c r="F65" s="497"/>
      <c r="G65" s="497"/>
      <c r="H65" s="497"/>
      <c r="I65" s="497"/>
      <c r="J65" s="497"/>
      <c r="K65" s="497"/>
      <c r="L65" s="497"/>
      <c r="M65" s="498"/>
      <c r="N65" s="1069"/>
      <c r="O65" s="1069"/>
      <c r="P65" s="519"/>
      <c r="Q65" s="520"/>
    </row>
    <row r="66" spans="1:17" s="434" customFormat="1" ht="14.4" thickTop="1">
      <c r="A66" s="514"/>
      <c r="B66" s="499">
        <f>B13</f>
        <v>111</v>
      </c>
      <c r="C66" s="515"/>
      <c r="D66" s="515"/>
      <c r="E66" s="515"/>
      <c r="F66" s="515"/>
      <c r="G66" s="515"/>
      <c r="H66" s="516"/>
      <c r="I66" s="516"/>
      <c r="J66" s="516"/>
      <c r="K66" s="516"/>
      <c r="L66" s="517"/>
      <c r="M66" s="518"/>
      <c r="N66" s="1070"/>
      <c r="O66" s="1070"/>
      <c r="P66" s="433"/>
      <c r="Q66" s="522"/>
    </row>
    <row r="67" spans="1:17" s="434" customFormat="1" ht="14.4" thickBot="1">
      <c r="A67" s="514"/>
      <c r="B67" s="504"/>
      <c r="C67" s="521"/>
      <c r="D67" s="497"/>
      <c r="E67" s="497"/>
      <c r="F67" s="497"/>
      <c r="G67" s="521"/>
      <c r="H67" s="523"/>
      <c r="I67" s="523"/>
      <c r="J67" s="523"/>
      <c r="K67" s="523"/>
      <c r="L67" s="523"/>
      <c r="M67" s="524"/>
      <c r="N67" s="1070"/>
      <c r="O67" s="1070"/>
      <c r="P67" s="519"/>
      <c r="Q67" s="520"/>
    </row>
    <row r="68" spans="1:17" s="434" customFormat="1" ht="14.4" thickTop="1">
      <c r="A68" s="514"/>
      <c r="B68" s="507">
        <f>B14</f>
        <v>111</v>
      </c>
      <c r="C68" s="484"/>
      <c r="D68" s="484"/>
      <c r="E68" s="484"/>
      <c r="F68" s="484"/>
      <c r="G68" s="484"/>
      <c r="H68" s="525"/>
      <c r="I68" s="525"/>
      <c r="J68" s="525"/>
      <c r="K68" s="525"/>
      <c r="L68" s="526"/>
      <c r="M68" s="527"/>
      <c r="N68" s="1070"/>
      <c r="O68" s="1070"/>
      <c r="P68" s="528"/>
      <c r="Q68" s="520"/>
    </row>
    <row r="69" spans="1:17" s="434" customFormat="1" ht="14.4" thickBot="1">
      <c r="A69" s="529"/>
      <c r="B69" s="530"/>
      <c r="C69" s="531"/>
      <c r="D69" s="531"/>
      <c r="E69" s="531"/>
      <c r="F69" s="531"/>
      <c r="G69" s="531"/>
      <c r="H69" s="532"/>
      <c r="I69" s="532"/>
      <c r="J69" s="532"/>
      <c r="K69" s="532"/>
      <c r="L69" s="532"/>
      <c r="M69" s="533"/>
      <c r="N69" s="1070"/>
      <c r="O69" s="1070"/>
      <c r="P69" s="519"/>
      <c r="Q69" s="520"/>
    </row>
    <row r="70" spans="1:17" ht="14.4">
      <c r="A70" s="488" t="s">
        <v>2389</v>
      </c>
      <c r="B70" s="489" t="s">
        <v>2535</v>
      </c>
      <c r="C70" s="534" t="s">
        <v>2427</v>
      </c>
      <c r="D70" s="534" t="s">
        <v>2428</v>
      </c>
      <c r="E70" s="534" t="s">
        <v>2429</v>
      </c>
      <c r="F70" s="534" t="s">
        <v>2430</v>
      </c>
      <c r="G70" s="534" t="s">
        <v>2431</v>
      </c>
      <c r="H70" s="490"/>
      <c r="I70" s="490"/>
      <c r="J70" s="490"/>
      <c r="K70" s="535"/>
      <c r="L70" s="536"/>
      <c r="M70" s="537"/>
      <c r="N70" s="1068"/>
      <c r="O70" s="1068"/>
      <c r="P70" s="538"/>
      <c r="Q70" s="465"/>
    </row>
    <row r="71" spans="1:17" ht="14.4" thickBot="1">
      <c r="A71" s="495"/>
      <c r="B71" s="504"/>
      <c r="C71" s="505">
        <v>100</v>
      </c>
      <c r="D71" s="505">
        <f>C71-$K15</f>
        <v>100</v>
      </c>
      <c r="E71" s="505">
        <f>D71-$K15</f>
        <v>100</v>
      </c>
      <c r="F71" s="505">
        <f>E71-$K15</f>
        <v>100</v>
      </c>
      <c r="G71" s="505">
        <f>F71-$K15</f>
        <v>100</v>
      </c>
      <c r="H71" s="505"/>
      <c r="I71" s="505"/>
      <c r="J71" s="505"/>
      <c r="K71" s="505"/>
      <c r="L71" s="505"/>
      <c r="M71" s="506"/>
      <c r="N71" s="1069"/>
      <c r="O71" s="1069"/>
      <c r="P71" s="45"/>
      <c r="Q71" s="465"/>
    </row>
    <row r="72" spans="1:17" ht="15" thickTop="1">
      <c r="A72" s="495"/>
      <c r="B72" s="499" t="s">
        <v>2432</v>
      </c>
      <c r="C72" s="539" t="s">
        <v>2427</v>
      </c>
      <c r="D72" s="539" t="s">
        <v>2428</v>
      </c>
      <c r="E72" s="539" t="s">
        <v>2429</v>
      </c>
      <c r="F72" s="539" t="s">
        <v>2430</v>
      </c>
      <c r="G72" s="539" t="s">
        <v>2431</v>
      </c>
      <c r="H72" s="500"/>
      <c r="I72" s="500"/>
      <c r="J72" s="500"/>
      <c r="K72" s="501"/>
      <c r="L72" s="502"/>
      <c r="M72" s="503"/>
      <c r="N72" s="1068"/>
      <c r="O72" s="1068"/>
      <c r="P72" s="45"/>
      <c r="Q72" s="465"/>
    </row>
    <row r="73" spans="1:17" ht="14.4" thickBot="1">
      <c r="A73" s="495"/>
      <c r="B73" s="504"/>
      <c r="C73" s="505">
        <v>100</v>
      </c>
      <c r="D73" s="505">
        <f>C73-$K17</f>
        <v>100</v>
      </c>
      <c r="E73" s="505">
        <f>D73-$K17</f>
        <v>100</v>
      </c>
      <c r="F73" s="505">
        <f>E73-$K17</f>
        <v>100</v>
      </c>
      <c r="G73" s="505">
        <f>F73-$K17</f>
        <v>100</v>
      </c>
      <c r="H73" s="505"/>
      <c r="I73" s="505"/>
      <c r="J73" s="505"/>
      <c r="K73" s="505"/>
      <c r="L73" s="505"/>
      <c r="M73" s="506"/>
      <c r="N73" s="1069"/>
      <c r="O73" s="1069"/>
      <c r="P73" s="45"/>
      <c r="Q73" s="465"/>
    </row>
    <row r="74" spans="1:17" ht="15" thickTop="1">
      <c r="A74" s="495"/>
      <c r="B74" s="499" t="s">
        <v>2433</v>
      </c>
      <c r="C74" s="539" t="s">
        <v>2427</v>
      </c>
      <c r="D74" s="539" t="s">
        <v>2428</v>
      </c>
      <c r="E74" s="539" t="s">
        <v>2429</v>
      </c>
      <c r="F74" s="539" t="s">
        <v>2430</v>
      </c>
      <c r="G74" s="539" t="s">
        <v>2431</v>
      </c>
      <c r="H74" s="500"/>
      <c r="I74" s="500"/>
      <c r="J74" s="500"/>
      <c r="K74" s="501"/>
      <c r="L74" s="502"/>
      <c r="M74" s="503"/>
      <c r="N74" s="1068"/>
      <c r="O74" s="1068"/>
      <c r="P74" s="45"/>
      <c r="Q74" s="465"/>
    </row>
    <row r="75" spans="1:17" ht="14.4" thickBot="1">
      <c r="A75" s="495"/>
      <c r="B75" s="504"/>
      <c r="C75" s="505">
        <v>100</v>
      </c>
      <c r="D75" s="505">
        <f>C75-$K19</f>
        <v>100</v>
      </c>
      <c r="E75" s="505">
        <f>D75-$K19</f>
        <v>100</v>
      </c>
      <c r="F75" s="505">
        <f>E75-$K19</f>
        <v>100</v>
      </c>
      <c r="G75" s="505">
        <f>F75-$K19</f>
        <v>100</v>
      </c>
      <c r="H75" s="505"/>
      <c r="I75" s="505"/>
      <c r="J75" s="505"/>
      <c r="K75" s="505"/>
      <c r="L75" s="505"/>
      <c r="M75" s="506"/>
      <c r="N75" s="1069"/>
      <c r="O75" s="1069"/>
      <c r="P75" s="45"/>
      <c r="Q75" s="465"/>
    </row>
    <row r="76" spans="1:17" ht="15" thickTop="1">
      <c r="A76" s="495"/>
      <c r="B76" s="507" t="s">
        <v>2519</v>
      </c>
      <c r="C76" s="620" t="s">
        <v>2505</v>
      </c>
      <c r="D76" s="620" t="s">
        <v>2506</v>
      </c>
      <c r="E76" s="620" t="s">
        <v>2507</v>
      </c>
      <c r="F76" s="620" t="s">
        <v>2508</v>
      </c>
      <c r="G76" s="620" t="s">
        <v>2509</v>
      </c>
      <c r="H76" s="500"/>
      <c r="I76" s="500"/>
      <c r="J76" s="500"/>
      <c r="K76" s="500"/>
      <c r="L76" s="500"/>
      <c r="M76" s="1295"/>
      <c r="N76" s="1069"/>
      <c r="O76" s="1069"/>
      <c r="P76" s="45"/>
      <c r="Q76" s="465"/>
    </row>
    <row r="77" spans="1:17" ht="14.4" thickBot="1">
      <c r="A77" s="495"/>
      <c r="B77" s="507"/>
      <c r="C77" s="505">
        <v>100</v>
      </c>
      <c r="D77" s="505">
        <f>C77-$K21</f>
        <v>100</v>
      </c>
      <c r="E77" s="505">
        <f>D77-$K21</f>
        <v>100</v>
      </c>
      <c r="F77" s="505">
        <f>E77-$K21</f>
        <v>100</v>
      </c>
      <c r="G77" s="505">
        <f>F77-$K21</f>
        <v>100</v>
      </c>
      <c r="H77" s="620"/>
      <c r="I77" s="620"/>
      <c r="J77" s="620"/>
      <c r="K77" s="620"/>
      <c r="L77" s="620"/>
      <c r="M77" s="413"/>
      <c r="N77" s="1069"/>
      <c r="O77" s="1069"/>
      <c r="P77" s="45"/>
      <c r="Q77" s="465"/>
    </row>
    <row r="78" spans="1:17" ht="15" thickTop="1">
      <c r="A78" s="495"/>
      <c r="B78" s="499" t="s">
        <v>2528</v>
      </c>
      <c r="C78" s="539" t="s">
        <v>2427</v>
      </c>
      <c r="D78" s="539" t="s">
        <v>2428</v>
      </c>
      <c r="E78" s="539" t="s">
        <v>2429</v>
      </c>
      <c r="F78" s="539" t="s">
        <v>2430</v>
      </c>
      <c r="G78" s="539" t="s">
        <v>2431</v>
      </c>
      <c r="H78" s="500"/>
      <c r="I78" s="500"/>
      <c r="J78" s="500"/>
      <c r="K78" s="501"/>
      <c r="L78" s="502"/>
      <c r="M78" s="503"/>
      <c r="N78" s="1068"/>
      <c r="O78" s="1068"/>
      <c r="P78" s="45"/>
      <c r="Q78" s="465"/>
    </row>
    <row r="79" spans="1:17" ht="14.4" thickBot="1">
      <c r="A79" s="495"/>
      <c r="B79" s="504"/>
      <c r="C79" s="505">
        <v>100</v>
      </c>
      <c r="D79" s="505">
        <f>C79-$K23</f>
        <v>100</v>
      </c>
      <c r="E79" s="505">
        <f>D79-$K23</f>
        <v>100</v>
      </c>
      <c r="F79" s="505">
        <f>E79-$K23</f>
        <v>100</v>
      </c>
      <c r="G79" s="505">
        <f>F79-$K23</f>
        <v>100</v>
      </c>
      <c r="H79" s="505"/>
      <c r="I79" s="505"/>
      <c r="J79" s="505"/>
      <c r="K79" s="505"/>
      <c r="L79" s="505"/>
      <c r="M79" s="506"/>
      <c r="N79" s="1069"/>
      <c r="O79" s="1069"/>
      <c r="P79" s="45"/>
      <c r="Q79" s="465"/>
    </row>
    <row r="80" spans="1:17" s="117" customFormat="1" ht="14.4" thickTop="1">
      <c r="A80" s="540"/>
      <c r="B80" s="499">
        <f>B25</f>
        <v>111</v>
      </c>
      <c r="C80" s="515"/>
      <c r="D80" s="515"/>
      <c r="E80" s="515"/>
      <c r="F80" s="515"/>
      <c r="G80" s="515"/>
      <c r="H80" s="515"/>
      <c r="I80" s="515"/>
      <c r="J80" s="515"/>
      <c r="K80" s="515"/>
      <c r="L80" s="541"/>
      <c r="M80" s="542"/>
      <c r="N80" s="1067"/>
      <c r="O80" s="1067"/>
      <c r="P80" s="45"/>
      <c r="Q80" s="465"/>
    </row>
    <row r="81" spans="1:17" s="117" customFormat="1" ht="14.4" thickBot="1">
      <c r="A81" s="540"/>
      <c r="B81" s="504"/>
      <c r="C81" s="521"/>
      <c r="D81" s="497"/>
      <c r="E81" s="497"/>
      <c r="F81" s="497"/>
      <c r="G81" s="497"/>
      <c r="H81" s="497"/>
      <c r="I81" s="497"/>
      <c r="J81" s="497"/>
      <c r="K81" s="497"/>
      <c r="L81" s="497"/>
      <c r="M81" s="498"/>
      <c r="N81" s="1069"/>
      <c r="O81" s="1069"/>
      <c r="P81" s="45"/>
      <c r="Q81" s="465"/>
    </row>
    <row r="82" spans="1:17" s="117" customFormat="1" ht="14.4" thickTop="1">
      <c r="A82" s="540"/>
      <c r="B82" s="499">
        <f>B26</f>
        <v>111</v>
      </c>
      <c r="C82" s="515"/>
      <c r="D82" s="515"/>
      <c r="E82" s="515"/>
      <c r="F82" s="515"/>
      <c r="G82" s="515"/>
      <c r="H82" s="515"/>
      <c r="I82" s="515"/>
      <c r="J82" s="515"/>
      <c r="K82" s="515"/>
      <c r="L82" s="541"/>
      <c r="M82" s="542"/>
      <c r="N82" s="1067"/>
      <c r="O82" s="1067"/>
      <c r="P82" s="45"/>
      <c r="Q82" s="465"/>
    </row>
    <row r="83" spans="1:17" s="117" customFormat="1" ht="14.4" thickBot="1">
      <c r="A83" s="540"/>
      <c r="B83" s="504"/>
      <c r="C83" s="521"/>
      <c r="D83" s="497"/>
      <c r="E83" s="497"/>
      <c r="F83" s="497"/>
      <c r="G83" s="497"/>
      <c r="H83" s="497"/>
      <c r="I83" s="497"/>
      <c r="J83" s="497"/>
      <c r="K83" s="497"/>
      <c r="L83" s="497"/>
      <c r="M83" s="498"/>
      <c r="N83" s="1069"/>
      <c r="O83" s="1069"/>
      <c r="P83" s="45"/>
      <c r="Q83" s="465"/>
    </row>
    <row r="84" spans="1:17" s="434" customFormat="1" ht="14.4" thickTop="1">
      <c r="A84" s="514"/>
      <c r="B84" s="499">
        <f>B27</f>
        <v>111</v>
      </c>
      <c r="C84" s="515"/>
      <c r="D84" s="515"/>
      <c r="E84" s="515"/>
      <c r="F84" s="515"/>
      <c r="G84" s="515"/>
      <c r="H84" s="515"/>
      <c r="I84" s="515"/>
      <c r="J84" s="515"/>
      <c r="K84" s="515"/>
      <c r="L84" s="541"/>
      <c r="M84" s="542"/>
      <c r="N84" s="1070"/>
      <c r="O84" s="1070"/>
      <c r="P84" s="519"/>
      <c r="Q84" s="520"/>
    </row>
    <row r="85" spans="1:17" s="434" customFormat="1" ht="14.4" thickBot="1">
      <c r="A85" s="514"/>
      <c r="B85" s="504"/>
      <c r="C85" s="521"/>
      <c r="D85" s="497"/>
      <c r="E85" s="497"/>
      <c r="F85" s="497"/>
      <c r="G85" s="497"/>
      <c r="H85" s="497"/>
      <c r="I85" s="497"/>
      <c r="J85" s="497"/>
      <c r="K85" s="497"/>
      <c r="L85" s="497"/>
      <c r="M85" s="498"/>
      <c r="N85" s="1070"/>
      <c r="O85" s="1070"/>
      <c r="P85" s="519"/>
      <c r="Q85" s="520"/>
    </row>
    <row r="86" spans="1:17" ht="14.4" thickTop="1">
      <c r="A86" s="495"/>
      <c r="B86" s="507">
        <f>B28</f>
        <v>111</v>
      </c>
      <c r="C86" s="484"/>
      <c r="D86" s="484"/>
      <c r="E86" s="484"/>
      <c r="F86" s="484"/>
      <c r="G86" s="548"/>
      <c r="H86" s="548"/>
      <c r="I86" s="548"/>
      <c r="J86" s="548"/>
      <c r="K86" s="549"/>
      <c r="L86" s="550"/>
      <c r="M86" s="551"/>
      <c r="N86" s="1068"/>
      <c r="O86" s="1068"/>
      <c r="P86" s="45"/>
      <c r="Q86" s="465"/>
    </row>
    <row r="87" spans="1:17" ht="14.4" thickBot="1">
      <c r="A87" s="2120"/>
      <c r="B87" s="530"/>
      <c r="C87" s="531"/>
      <c r="D87" s="531"/>
      <c r="E87" s="531"/>
      <c r="F87" s="531"/>
      <c r="G87" s="552"/>
      <c r="H87" s="552"/>
      <c r="I87" s="552"/>
      <c r="J87" s="552"/>
      <c r="K87" s="552"/>
      <c r="L87" s="552"/>
      <c r="M87" s="553"/>
      <c r="N87" s="1069"/>
      <c r="O87" s="1069"/>
      <c r="P87" s="45"/>
      <c r="Q87" s="465"/>
    </row>
    <row r="88" spans="1:17" ht="14.4">
      <c r="A88" s="488" t="s">
        <v>2393</v>
      </c>
      <c r="B88" s="489" t="s">
        <v>2442</v>
      </c>
      <c r="C88" s="491"/>
      <c r="D88" s="491"/>
      <c r="E88" s="491"/>
      <c r="F88" s="491"/>
      <c r="G88" s="491"/>
      <c r="H88" s="491"/>
      <c r="I88" s="491"/>
      <c r="J88" s="491"/>
      <c r="K88" s="492"/>
      <c r="L88" s="493"/>
      <c r="M88" s="494"/>
      <c r="N88" s="1068"/>
      <c r="O88" s="1068"/>
      <c r="P88" s="45"/>
      <c r="Q88" s="465"/>
    </row>
    <row r="89" spans="1:17" ht="14.4" thickBot="1">
      <c r="A89" s="495"/>
      <c r="B89" s="504"/>
      <c r="C89" s="505">
        <v>100</v>
      </c>
      <c r="D89" s="505">
        <f t="shared" ref="D89:M89" si="19">C89-$K29</f>
        <v>100</v>
      </c>
      <c r="E89" s="505">
        <f t="shared" si="19"/>
        <v>100</v>
      </c>
      <c r="F89" s="505">
        <f t="shared" si="19"/>
        <v>100</v>
      </c>
      <c r="G89" s="505">
        <f t="shared" si="19"/>
        <v>100</v>
      </c>
      <c r="H89" s="505">
        <f t="shared" si="19"/>
        <v>100</v>
      </c>
      <c r="I89" s="505">
        <f t="shared" si="19"/>
        <v>100</v>
      </c>
      <c r="J89" s="505">
        <f t="shared" si="19"/>
        <v>100</v>
      </c>
      <c r="K89" s="505">
        <f t="shared" si="19"/>
        <v>100</v>
      </c>
      <c r="L89" s="505">
        <f t="shared" si="19"/>
        <v>100</v>
      </c>
      <c r="M89" s="506">
        <f t="shared" si="19"/>
        <v>100</v>
      </c>
      <c r="N89" s="1069"/>
      <c r="O89" s="1069"/>
      <c r="P89" s="45"/>
      <c r="Q89" s="465"/>
    </row>
    <row r="90" spans="1:17" ht="15" thickTop="1">
      <c r="A90" s="495"/>
      <c r="B90" s="499" t="s">
        <v>2443</v>
      </c>
      <c r="C90" s="539" t="str">
        <f>C91&amp;"(含)"&amp;"-"&amp;D91</f>
        <v>(含)-</v>
      </c>
      <c r="D90" s="539" t="str">
        <f t="shared" ref="D90:L90" si="20">D91&amp;"(含)"&amp;"-"&amp;E91</f>
        <v>(含)-</v>
      </c>
      <c r="E90" s="539" t="str">
        <f t="shared" si="20"/>
        <v>(含)-</v>
      </c>
      <c r="F90" s="539" t="str">
        <f t="shared" si="20"/>
        <v>(含)-</v>
      </c>
      <c r="G90" s="539" t="str">
        <f t="shared" si="20"/>
        <v>(含)-</v>
      </c>
      <c r="H90" s="539" t="str">
        <f t="shared" si="20"/>
        <v>(含)-</v>
      </c>
      <c r="I90" s="539" t="str">
        <f t="shared" si="20"/>
        <v>(含)-</v>
      </c>
      <c r="J90" s="539" t="str">
        <f t="shared" si="20"/>
        <v>(含)-</v>
      </c>
      <c r="K90" s="539" t="str">
        <f t="shared" si="20"/>
        <v>(含)-</v>
      </c>
      <c r="L90" s="539" t="str">
        <f t="shared" si="20"/>
        <v>(含)-</v>
      </c>
      <c r="M90" s="582" t="str">
        <f>M91&amp;"(含)"&amp;"-"&amp;P91</f>
        <v>(含)-</v>
      </c>
      <c r="N90" s="1067"/>
      <c r="O90" s="1067"/>
      <c r="P90" s="45"/>
      <c r="Q90" s="465"/>
    </row>
    <row r="91" spans="1:17" s="434" customFormat="1">
      <c r="A91" s="554"/>
      <c r="B91" s="555"/>
      <c r="C91" s="556"/>
      <c r="D91" s="556"/>
      <c r="E91" s="556"/>
      <c r="F91" s="556"/>
      <c r="G91" s="556"/>
      <c r="H91" s="556"/>
      <c r="I91" s="556"/>
      <c r="J91" s="557"/>
      <c r="K91" s="557"/>
      <c r="L91" s="558"/>
      <c r="M91" s="559"/>
      <c r="N91" s="1070"/>
      <c r="O91" s="1070"/>
      <c r="P91" s="519"/>
      <c r="Q91" s="520"/>
    </row>
    <row r="92" spans="1:17" s="434" customFormat="1" ht="14.4" thickBot="1">
      <c r="A92" s="514"/>
      <c r="B92" s="504"/>
      <c r="C92" s="521"/>
      <c r="D92" s="497"/>
      <c r="E92" s="497"/>
      <c r="F92" s="497"/>
      <c r="G92" s="497"/>
      <c r="H92" s="497"/>
      <c r="I92" s="497"/>
      <c r="J92" s="497"/>
      <c r="K92" s="497"/>
      <c r="L92" s="497"/>
      <c r="M92" s="498"/>
      <c r="N92" s="1069"/>
      <c r="O92" s="1069"/>
      <c r="P92" s="519"/>
      <c r="Q92" s="520"/>
    </row>
    <row r="93" spans="1:17" ht="15" thickTop="1">
      <c r="A93" s="560"/>
      <c r="B93" s="499" t="s">
        <v>2444</v>
      </c>
      <c r="C93" s="515"/>
      <c r="D93" s="515"/>
      <c r="E93" s="544"/>
      <c r="F93" s="544"/>
      <c r="G93" s="544"/>
      <c r="H93" s="544"/>
      <c r="I93" s="544"/>
      <c r="J93" s="544"/>
      <c r="K93" s="545"/>
      <c r="L93" s="546"/>
      <c r="M93" s="547"/>
      <c r="N93" s="1068"/>
      <c r="O93" s="1068"/>
      <c r="P93" s="45"/>
      <c r="Q93" s="465"/>
    </row>
    <row r="94" spans="1:17" ht="14.4" thickBot="1">
      <c r="A94" s="495"/>
      <c r="B94" s="504"/>
      <c r="C94" s="505">
        <v>100</v>
      </c>
      <c r="D94" s="505">
        <f t="shared" ref="D94:M94" si="21">C94-$K31</f>
        <v>100</v>
      </c>
      <c r="E94" s="505">
        <f t="shared" si="21"/>
        <v>100</v>
      </c>
      <c r="F94" s="505">
        <f t="shared" si="21"/>
        <v>100</v>
      </c>
      <c r="G94" s="505">
        <f t="shared" si="21"/>
        <v>100</v>
      </c>
      <c r="H94" s="505">
        <f t="shared" si="21"/>
        <v>100</v>
      </c>
      <c r="I94" s="505">
        <f t="shared" si="21"/>
        <v>100</v>
      </c>
      <c r="J94" s="505">
        <f t="shared" si="21"/>
        <v>100</v>
      </c>
      <c r="K94" s="505">
        <f t="shared" si="21"/>
        <v>100</v>
      </c>
      <c r="L94" s="505">
        <f t="shared" si="21"/>
        <v>100</v>
      </c>
      <c r="M94" s="506">
        <f t="shared" si="21"/>
        <v>100</v>
      </c>
      <c r="N94" s="1069"/>
      <c r="O94" s="1069"/>
      <c r="P94" s="45"/>
      <c r="Q94" s="465"/>
    </row>
    <row r="95" spans="1:17" ht="15" thickTop="1">
      <c r="A95" s="560"/>
      <c r="B95" s="499" t="s">
        <v>2446</v>
      </c>
      <c r="C95" s="515"/>
      <c r="D95" s="515"/>
      <c r="E95" s="515"/>
      <c r="F95" s="544"/>
      <c r="G95" s="544"/>
      <c r="H95" s="544"/>
      <c r="I95" s="544"/>
      <c r="J95" s="544"/>
      <c r="K95" s="545"/>
      <c r="L95" s="546"/>
      <c r="M95" s="547"/>
      <c r="N95" s="1068"/>
      <c r="O95" s="1068"/>
      <c r="P95" s="45"/>
      <c r="Q95" s="465"/>
    </row>
    <row r="96" spans="1:17" ht="14.4" thickBot="1">
      <c r="A96" s="495"/>
      <c r="B96" s="504"/>
      <c r="C96" s="505">
        <v>100</v>
      </c>
      <c r="D96" s="505">
        <f t="shared" ref="D96:M96" si="22">C96-$K32</f>
        <v>100</v>
      </c>
      <c r="E96" s="505">
        <f t="shared" si="22"/>
        <v>100</v>
      </c>
      <c r="F96" s="505">
        <f t="shared" si="22"/>
        <v>100</v>
      </c>
      <c r="G96" s="505">
        <f t="shared" si="22"/>
        <v>100</v>
      </c>
      <c r="H96" s="505">
        <f t="shared" si="22"/>
        <v>100</v>
      </c>
      <c r="I96" s="505">
        <f t="shared" si="22"/>
        <v>100</v>
      </c>
      <c r="J96" s="505">
        <f t="shared" si="22"/>
        <v>100</v>
      </c>
      <c r="K96" s="505">
        <f t="shared" si="22"/>
        <v>100</v>
      </c>
      <c r="L96" s="505">
        <f t="shared" si="22"/>
        <v>100</v>
      </c>
      <c r="M96" s="506">
        <f t="shared" si="22"/>
        <v>100</v>
      </c>
      <c r="N96" s="1069"/>
      <c r="O96" s="1069"/>
      <c r="P96" s="45"/>
      <c r="Q96" s="465"/>
    </row>
    <row r="97" spans="1:17" ht="15" thickTop="1">
      <c r="A97" s="560"/>
      <c r="B97" s="499" t="s">
        <v>1876</v>
      </c>
      <c r="C97" s="539" t="str">
        <f>C98&amp;"(含)"&amp;"-"&amp;D98</f>
        <v>0.5(含)-0.6</v>
      </c>
      <c r="D97" s="539" t="str">
        <f>D98&amp;"(含)"&amp;"-"&amp;E98</f>
        <v>0.6(含)-0.7</v>
      </c>
      <c r="E97" s="539" t="str">
        <f>E98&amp;"(含)"&amp;"-"&amp;F98</f>
        <v>0.7(含)-0.8</v>
      </c>
      <c r="F97" s="539" t="str">
        <f>F98&amp;"(含)"&amp;"-"&amp;G98</f>
        <v>0.8(含)-0.9</v>
      </c>
      <c r="G97" s="539" t="str">
        <f>G98&amp;"(含)"&amp;"-"&amp;ROUND(H98,0)&amp;"(含)"</f>
        <v>0.9(含)-1(含)</v>
      </c>
      <c r="H97" s="539"/>
      <c r="I97" s="544"/>
      <c r="J97" s="544"/>
      <c r="K97" s="545"/>
      <c r="L97" s="546"/>
      <c r="M97" s="547"/>
      <c r="N97" s="1068"/>
      <c r="O97" s="1068"/>
      <c r="P97" s="45"/>
      <c r="Q97" s="465"/>
    </row>
    <row r="98" spans="1:17">
      <c r="A98" s="560"/>
      <c r="B98" s="507"/>
      <c r="C98" s="564">
        <v>0.5</v>
      </c>
      <c r="D98" s="564">
        <v>0.6</v>
      </c>
      <c r="E98" s="564">
        <v>0.7</v>
      </c>
      <c r="F98" s="564">
        <v>0.8</v>
      </c>
      <c r="G98" s="564">
        <v>0.9</v>
      </c>
      <c r="H98" s="564">
        <v>1.0001</v>
      </c>
      <c r="I98" s="583"/>
      <c r="J98" s="583"/>
      <c r="K98" s="584"/>
      <c r="L98" s="585"/>
      <c r="M98" s="586"/>
      <c r="N98" s="1068"/>
      <c r="O98" s="1068"/>
      <c r="P98" s="45"/>
      <c r="Q98" s="465"/>
    </row>
    <row r="99" spans="1:17" ht="14.4" thickBot="1">
      <c r="A99" s="495"/>
      <c r="B99" s="504"/>
      <c r="C99" s="543">
        <v>100</v>
      </c>
      <c r="D99" s="505">
        <f>C99+$K33</f>
        <v>100</v>
      </c>
      <c r="E99" s="505">
        <f t="shared" ref="E99:M99" si="23">D99+$K33</f>
        <v>100</v>
      </c>
      <c r="F99" s="505">
        <f t="shared" si="23"/>
        <v>100</v>
      </c>
      <c r="G99" s="505">
        <f t="shared" si="23"/>
        <v>100</v>
      </c>
      <c r="H99" s="505">
        <f t="shared" si="23"/>
        <v>100</v>
      </c>
      <c r="I99" s="505">
        <f t="shared" si="23"/>
        <v>100</v>
      </c>
      <c r="J99" s="505">
        <f t="shared" si="23"/>
        <v>100</v>
      </c>
      <c r="K99" s="505">
        <f t="shared" si="23"/>
        <v>100</v>
      </c>
      <c r="L99" s="505">
        <f t="shared" si="23"/>
        <v>100</v>
      </c>
      <c r="M99" s="505">
        <f t="shared" si="23"/>
        <v>100</v>
      </c>
      <c r="N99" s="1069"/>
      <c r="O99" s="1069"/>
      <c r="P99" s="45"/>
      <c r="Q99" s="465"/>
    </row>
    <row r="100" spans="1:17" s="434" customFormat="1" ht="15" thickTop="1">
      <c r="A100" s="554"/>
      <c r="B100" s="499" t="s">
        <v>2447</v>
      </c>
      <c r="C100" s="515"/>
      <c r="D100" s="515"/>
      <c r="E100" s="515"/>
      <c r="F100" s="515"/>
      <c r="G100" s="515"/>
      <c r="H100" s="544"/>
      <c r="I100" s="544"/>
      <c r="J100" s="544"/>
      <c r="K100" s="545"/>
      <c r="L100" s="546"/>
      <c r="M100" s="547"/>
      <c r="N100" s="1070"/>
      <c r="O100" s="1070"/>
      <c r="P100" s="519"/>
      <c r="Q100" s="520"/>
    </row>
    <row r="101" spans="1:17" s="434" customFormat="1" ht="14.4" thickBot="1">
      <c r="A101" s="514"/>
      <c r="B101" s="504"/>
      <c r="C101" s="505">
        <v>100</v>
      </c>
      <c r="D101" s="505">
        <f>C101-$K34</f>
        <v>100</v>
      </c>
      <c r="E101" s="505">
        <f t="shared" ref="E101:M101" si="24">D101-$K34</f>
        <v>100</v>
      </c>
      <c r="F101" s="505">
        <f t="shared" si="24"/>
        <v>100</v>
      </c>
      <c r="G101" s="505">
        <f t="shared" si="24"/>
        <v>100</v>
      </c>
      <c r="H101" s="505">
        <f t="shared" si="24"/>
        <v>100</v>
      </c>
      <c r="I101" s="505">
        <f t="shared" si="24"/>
        <v>100</v>
      </c>
      <c r="J101" s="505">
        <f t="shared" si="24"/>
        <v>100</v>
      </c>
      <c r="K101" s="505">
        <f t="shared" si="24"/>
        <v>100</v>
      </c>
      <c r="L101" s="505">
        <f t="shared" si="24"/>
        <v>100</v>
      </c>
      <c r="M101" s="505">
        <f t="shared" si="24"/>
        <v>100</v>
      </c>
      <c r="N101" s="1070"/>
      <c r="O101" s="1070"/>
      <c r="P101" s="519"/>
      <c r="Q101" s="520"/>
    </row>
    <row r="102" spans="1:17" ht="15" thickTop="1">
      <c r="A102" s="560"/>
      <c r="B102" s="499" t="s">
        <v>2448</v>
      </c>
      <c r="C102" s="515"/>
      <c r="D102" s="515"/>
      <c r="E102" s="515"/>
      <c r="F102" s="515"/>
      <c r="G102" s="515"/>
      <c r="H102" s="544"/>
      <c r="I102" s="544"/>
      <c r="J102" s="544"/>
      <c r="K102" s="545"/>
      <c r="L102" s="546"/>
      <c r="M102" s="547"/>
      <c r="N102" s="1068"/>
      <c r="O102" s="1068"/>
      <c r="P102" s="45"/>
      <c r="Q102" s="465"/>
    </row>
    <row r="103" spans="1:17" ht="14.4" thickBot="1">
      <c r="A103" s="495"/>
      <c r="B103" s="504"/>
      <c r="C103" s="505">
        <v>100</v>
      </c>
      <c r="D103" s="505">
        <f t="shared" ref="D103:M103" si="25">C103-$K35</f>
        <v>100</v>
      </c>
      <c r="E103" s="505">
        <f t="shared" si="25"/>
        <v>100</v>
      </c>
      <c r="F103" s="505">
        <f t="shared" si="25"/>
        <v>100</v>
      </c>
      <c r="G103" s="505">
        <f t="shared" si="25"/>
        <v>100</v>
      </c>
      <c r="H103" s="505">
        <f t="shared" si="25"/>
        <v>100</v>
      </c>
      <c r="I103" s="505">
        <f t="shared" si="25"/>
        <v>100</v>
      </c>
      <c r="J103" s="505">
        <f t="shared" si="25"/>
        <v>100</v>
      </c>
      <c r="K103" s="505">
        <f t="shared" si="25"/>
        <v>100</v>
      </c>
      <c r="L103" s="505">
        <f t="shared" si="25"/>
        <v>100</v>
      </c>
      <c r="M103" s="506">
        <f t="shared" si="25"/>
        <v>100</v>
      </c>
      <c r="N103" s="1069"/>
      <c r="O103" s="1069"/>
      <c r="P103" s="45"/>
      <c r="Q103" s="465"/>
    </row>
    <row r="104" spans="1:17" ht="15" thickTop="1">
      <c r="A104" s="560"/>
      <c r="B104" s="499" t="s">
        <v>2450</v>
      </c>
      <c r="C104" s="515"/>
      <c r="D104" s="515"/>
      <c r="E104" s="515"/>
      <c r="F104" s="515"/>
      <c r="G104" s="515"/>
      <c r="H104" s="544"/>
      <c r="I104" s="544"/>
      <c r="J104" s="544"/>
      <c r="K104" s="545"/>
      <c r="L104" s="546"/>
      <c r="M104" s="547"/>
      <c r="N104" s="1068"/>
      <c r="O104" s="1068"/>
      <c r="P104" s="45"/>
      <c r="Q104" s="465"/>
    </row>
    <row r="105" spans="1:17" ht="14.4" thickBot="1">
      <c r="A105" s="495"/>
      <c r="B105" s="504"/>
      <c r="C105" s="505">
        <v>100</v>
      </c>
      <c r="D105" s="505">
        <f>C105-$K36</f>
        <v>100</v>
      </c>
      <c r="E105" s="505">
        <f>D105-$K36</f>
        <v>100</v>
      </c>
      <c r="F105" s="505">
        <f>E105-$K36</f>
        <v>100</v>
      </c>
      <c r="G105" s="505">
        <f>F105-$K36</f>
        <v>100</v>
      </c>
      <c r="H105" s="505"/>
      <c r="I105" s="505"/>
      <c r="J105" s="505"/>
      <c r="K105" s="505"/>
      <c r="L105" s="505"/>
      <c r="M105" s="506"/>
      <c r="N105" s="1069"/>
      <c r="O105" s="1069"/>
      <c r="P105" s="45"/>
      <c r="Q105" s="465"/>
    </row>
    <row r="106" spans="1:17" ht="29.4" thickTop="1">
      <c r="A106" s="560"/>
      <c r="B106" s="596" t="s">
        <v>2536</v>
      </c>
      <c r="C106" s="539" t="s">
        <v>2427</v>
      </c>
      <c r="D106" s="539" t="s">
        <v>2428</v>
      </c>
      <c r="E106" s="539" t="s">
        <v>2429</v>
      </c>
      <c r="F106" s="539" t="s">
        <v>2430</v>
      </c>
      <c r="G106" s="539" t="s">
        <v>2431</v>
      </c>
      <c r="H106" s="500"/>
      <c r="I106" s="500"/>
      <c r="J106" s="500"/>
      <c r="K106" s="501"/>
      <c r="L106" s="502"/>
      <c r="M106" s="503"/>
      <c r="N106" s="1069"/>
      <c r="O106" s="1069"/>
      <c r="P106" s="597"/>
      <c r="Q106" s="598"/>
    </row>
    <row r="107" spans="1:17" ht="14.4" thickBot="1">
      <c r="A107" s="495"/>
      <c r="B107" s="504"/>
      <c r="C107" s="543">
        <v>100</v>
      </c>
      <c r="D107" s="505">
        <f t="shared" ref="D107:M107" si="26">C107-$K37</f>
        <v>100</v>
      </c>
      <c r="E107" s="505">
        <f t="shared" si="26"/>
        <v>100</v>
      </c>
      <c r="F107" s="505">
        <f t="shared" si="26"/>
        <v>100</v>
      </c>
      <c r="G107" s="505">
        <f t="shared" si="26"/>
        <v>100</v>
      </c>
      <c r="H107" s="505">
        <f t="shared" si="26"/>
        <v>100</v>
      </c>
      <c r="I107" s="505">
        <f t="shared" si="26"/>
        <v>100</v>
      </c>
      <c r="J107" s="505">
        <f t="shared" si="26"/>
        <v>100</v>
      </c>
      <c r="K107" s="505">
        <f t="shared" si="26"/>
        <v>100</v>
      </c>
      <c r="L107" s="505">
        <f t="shared" si="26"/>
        <v>100</v>
      </c>
      <c r="M107" s="505">
        <f t="shared" si="26"/>
        <v>100</v>
      </c>
      <c r="N107" s="1069"/>
      <c r="O107" s="1069"/>
      <c r="P107" s="45"/>
      <c r="Q107" s="465"/>
    </row>
    <row r="108" spans="1:17" s="434" customFormat="1" ht="14.4" thickTop="1">
      <c r="A108" s="554"/>
      <c r="B108" s="499">
        <f>B38</f>
        <v>111</v>
      </c>
      <c r="C108" s="515"/>
      <c r="D108" s="515"/>
      <c r="E108" s="515"/>
      <c r="F108" s="515"/>
      <c r="G108" s="515"/>
      <c r="H108" s="516"/>
      <c r="I108" s="516"/>
      <c r="J108" s="516"/>
      <c r="K108" s="516"/>
      <c r="L108" s="517"/>
      <c r="M108" s="518"/>
      <c r="N108" s="1070"/>
      <c r="O108" s="1070"/>
      <c r="P108" s="519"/>
      <c r="Q108" s="520"/>
    </row>
    <row r="109" spans="1:17" s="434" customFormat="1" ht="14.4" thickBot="1">
      <c r="A109" s="514"/>
      <c r="B109" s="496"/>
      <c r="C109" s="521"/>
      <c r="D109" s="497"/>
      <c r="E109" s="497"/>
      <c r="F109" s="497"/>
      <c r="G109" s="521"/>
      <c r="H109" s="523"/>
      <c r="I109" s="523"/>
      <c r="J109" s="523"/>
      <c r="K109" s="523"/>
      <c r="L109" s="523"/>
      <c r="M109" s="524"/>
      <c r="N109" s="1070"/>
      <c r="O109" s="1070"/>
      <c r="P109" s="519"/>
      <c r="Q109" s="520"/>
    </row>
    <row r="110" spans="1:17" ht="14.4" thickTop="1">
      <c r="A110" s="560"/>
      <c r="B110" s="499">
        <f>B39</f>
        <v>111</v>
      </c>
      <c r="C110" s="515"/>
      <c r="D110" s="515"/>
      <c r="E110" s="515"/>
      <c r="F110" s="515"/>
      <c r="G110" s="515"/>
      <c r="H110" s="516"/>
      <c r="I110" s="516"/>
      <c r="J110" s="516"/>
      <c r="K110" s="516"/>
      <c r="L110" s="517"/>
      <c r="M110" s="518"/>
      <c r="N110" s="1068"/>
      <c r="O110" s="1068"/>
      <c r="P110" s="45"/>
      <c r="Q110" s="465"/>
    </row>
    <row r="111" spans="1:17" ht="14.4" thickBot="1">
      <c r="A111" s="495"/>
      <c r="B111" s="504"/>
      <c r="C111" s="521"/>
      <c r="D111" s="497"/>
      <c r="E111" s="497"/>
      <c r="F111" s="497"/>
      <c r="G111" s="521"/>
      <c r="H111" s="523"/>
      <c r="I111" s="523"/>
      <c r="J111" s="523"/>
      <c r="K111" s="523"/>
      <c r="L111" s="523"/>
      <c r="M111" s="524"/>
      <c r="N111" s="1069"/>
      <c r="O111" s="1069"/>
      <c r="P111" s="45"/>
      <c r="Q111" s="465"/>
    </row>
    <row r="112" spans="1:17" ht="14.4" thickTop="1">
      <c r="A112" s="560"/>
      <c r="B112" s="507">
        <f>B40</f>
        <v>111</v>
      </c>
      <c r="C112" s="484"/>
      <c r="D112" s="484"/>
      <c r="E112" s="484"/>
      <c r="F112" s="484"/>
      <c r="G112" s="548"/>
      <c r="H112" s="548"/>
      <c r="I112" s="548"/>
      <c r="J112" s="548"/>
      <c r="K112" s="484"/>
      <c r="L112" s="485"/>
      <c r="M112" s="551"/>
      <c r="N112" s="1068"/>
      <c r="O112" s="1068"/>
      <c r="P112" s="45"/>
      <c r="Q112" s="465"/>
    </row>
    <row r="113" spans="1:17" ht="14.4" thickBot="1">
      <c r="A113" s="2120"/>
      <c r="B113" s="530"/>
      <c r="C113" s="531"/>
      <c r="D113" s="531"/>
      <c r="E113" s="531"/>
      <c r="F113" s="531"/>
      <c r="G113" s="552"/>
      <c r="H113" s="552"/>
      <c r="I113" s="552"/>
      <c r="J113" s="552"/>
      <c r="K113" s="552"/>
      <c r="L113" s="552"/>
      <c r="M113" s="553"/>
      <c r="N113" s="1069"/>
      <c r="O113" s="1069"/>
      <c r="P113" s="45"/>
      <c r="Q113" s="46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6" priority="19" stopIfTrue="1" operator="containsText" text="超过">
      <formula>NOT(ISERROR(SEARCH("超过",F46)))</formula>
    </cfRule>
  </conditionalFormatting>
  <conditionalFormatting sqref="H48">
    <cfRule type="containsText" dxfId="85" priority="18" stopIfTrue="1" operator="containsText" text="超过">
      <formula>NOT(ISERROR(SEARCH("超过",H48)))</formula>
    </cfRule>
  </conditionalFormatting>
  <conditionalFormatting sqref="F48">
    <cfRule type="containsText" dxfId="84" priority="17" stopIfTrue="1" operator="containsText" text="超过">
      <formula>NOT(ISERROR(SEARCH("超过",F48)))</formula>
    </cfRule>
  </conditionalFormatting>
  <conditionalFormatting sqref="F47 H47">
    <cfRule type="containsText" dxfId="83" priority="16" stopIfTrue="1" operator="containsText" text="超过">
      <formula>NOT(ISERROR(SEARCH("超过",F47)))</formula>
    </cfRule>
  </conditionalFormatting>
  <conditionalFormatting sqref="E46">
    <cfRule type="expression" dxfId="82" priority="15" stopIfTrue="1">
      <formula>$F$46="超过30%"</formula>
    </cfRule>
  </conditionalFormatting>
  <conditionalFormatting sqref="E47">
    <cfRule type="expression" dxfId="81" priority="14" stopIfTrue="1">
      <formula>$F$47="超过20%"</formula>
    </cfRule>
  </conditionalFormatting>
  <conditionalFormatting sqref="E48">
    <cfRule type="expression" dxfId="80" priority="13" stopIfTrue="1">
      <formula>$F$48="超过30%"</formula>
    </cfRule>
  </conditionalFormatting>
  <conditionalFormatting sqref="G48">
    <cfRule type="expression" dxfId="79" priority="12" stopIfTrue="1">
      <formula>$H$48="超过30%"</formula>
    </cfRule>
  </conditionalFormatting>
  <conditionalFormatting sqref="G46">
    <cfRule type="expression" dxfId="78" priority="11" stopIfTrue="1">
      <formula>$H$46="超过30%"</formula>
    </cfRule>
  </conditionalFormatting>
  <conditionalFormatting sqref="G47">
    <cfRule type="expression" dxfId="77" priority="10" stopIfTrue="1">
      <formula>$H$47="超过20%"</formula>
    </cfRule>
  </conditionalFormatting>
  <conditionalFormatting sqref="J46">
    <cfRule type="containsText" dxfId="76" priority="9" stopIfTrue="1" operator="containsText" text="超过">
      <formula>NOT(ISERROR(SEARCH("超过",J46)))</formula>
    </cfRule>
  </conditionalFormatting>
  <conditionalFormatting sqref="J48">
    <cfRule type="containsText" dxfId="75" priority="8" stopIfTrue="1" operator="containsText" text="超过">
      <formula>NOT(ISERROR(SEARCH("超过",J48)))</formula>
    </cfRule>
  </conditionalFormatting>
  <conditionalFormatting sqref="J47">
    <cfRule type="containsText" dxfId="74" priority="7" stopIfTrue="1" operator="containsText" text="超过">
      <formula>NOT(ISERROR(SEARCH("超过",J47)))</formula>
    </cfRule>
  </conditionalFormatting>
  <conditionalFormatting sqref="I46">
    <cfRule type="expression" dxfId="73" priority="6" stopIfTrue="1">
      <formula>$J$46="超过30%"</formula>
    </cfRule>
  </conditionalFormatting>
  <conditionalFormatting sqref="I47">
    <cfRule type="expression" dxfId="72" priority="5" stopIfTrue="1">
      <formula>$J$47="超过20%"</formula>
    </cfRule>
  </conditionalFormatting>
  <conditionalFormatting sqref="I48">
    <cfRule type="expression" dxfId="71" priority="4" stopIfTrue="1">
      <formula>$J$48="超过30%"</formula>
    </cfRule>
  </conditionalFormatting>
  <conditionalFormatting sqref="F42">
    <cfRule type="expression" dxfId="70" priority="3">
      <formula>$D$42="简单平均"</formula>
    </cfRule>
  </conditionalFormatting>
  <conditionalFormatting sqref="H42">
    <cfRule type="expression" dxfId="69" priority="2">
      <formula>$D$42="简单平均"</formula>
    </cfRule>
  </conditionalFormatting>
  <conditionalFormatting sqref="J42">
    <cfRule type="expression" dxfId="68"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D48" sqref="D48"/>
    </sheetView>
  </sheetViews>
  <sheetFormatPr defaultColWidth="9" defaultRowHeight="13.8"/>
  <cols>
    <col min="1" max="1" width="10.44140625" style="367" customWidth="1"/>
    <col min="2" max="2" width="15.77734375" style="367" customWidth="1"/>
    <col min="3" max="3" width="14.33203125" style="367" customWidth="1"/>
    <col min="4" max="4" width="12.21875" style="367" customWidth="1"/>
    <col min="5" max="5" width="14.33203125" style="367" customWidth="1"/>
    <col min="6" max="6" width="12.21875" style="367" customWidth="1"/>
    <col min="7" max="7" width="14.44140625" style="367" customWidth="1"/>
    <col min="8" max="8" width="12.21875" style="367" customWidth="1"/>
    <col min="9" max="9" width="15.44140625" style="367" customWidth="1"/>
    <col min="10" max="10" width="12.21875" style="367" customWidth="1"/>
    <col min="11" max="11" width="12.21875" style="456" customWidth="1"/>
    <col min="12" max="12" width="12.21875" style="457" customWidth="1"/>
    <col min="13" max="15" width="12.21875" style="367" customWidth="1"/>
    <col min="16" max="16" width="4.77734375" style="1041" customWidth="1"/>
    <col min="17" max="17" width="19.44140625" style="367" customWidth="1"/>
    <col min="18" max="22" width="6.109375" style="367" customWidth="1"/>
    <col min="23" max="23" width="5.77734375" style="367" customWidth="1"/>
    <col min="24" max="24" width="4.21875" style="367" customWidth="1"/>
    <col min="25" max="25" width="3.44140625" style="367" customWidth="1"/>
    <col min="26" max="26" width="19.77734375" style="367" customWidth="1"/>
    <col min="27" max="28" width="9.33203125" style="367" customWidth="1"/>
    <col min="29" max="16384" width="9" style="367"/>
  </cols>
  <sheetData>
    <row r="1" spans="1:29" s="1405" customFormat="1" ht="28.5" customHeight="1" thickBot="1">
      <c r="A1" s="1394" t="s">
        <v>2537</v>
      </c>
      <c r="B1" s="1395"/>
      <c r="C1" s="1396" t="s">
        <v>2360</v>
      </c>
      <c r="D1" s="1397"/>
      <c r="E1" s="1398"/>
      <c r="F1" s="2071"/>
      <c r="G1" s="1399" t="s">
        <v>2473</v>
      </c>
      <c r="H1" s="1398"/>
      <c r="I1" s="1398"/>
      <c r="J1" s="1398"/>
      <c r="K1" s="1400"/>
      <c r="L1" s="1401"/>
      <c r="M1" s="1402"/>
      <c r="N1" s="1402"/>
      <c r="O1" s="1402"/>
      <c r="P1" s="1403"/>
      <c r="Q1" s="1396"/>
      <c r="R1" s="1396"/>
      <c r="S1" s="1396"/>
      <c r="T1" s="1396"/>
      <c r="U1" s="1396"/>
      <c r="V1" s="1396"/>
      <c r="W1" s="1396"/>
      <c r="X1" s="1396"/>
      <c r="Y1" s="1396"/>
      <c r="Z1" s="1396"/>
      <c r="AA1" s="1396"/>
      <c r="AB1" s="1396"/>
      <c r="AC1" s="1404"/>
    </row>
    <row r="2" spans="1:29" s="362" customFormat="1" ht="28.5" customHeight="1" thickTop="1">
      <c r="A2" s="1393" t="s">
        <v>2157</v>
      </c>
      <c r="B2" s="1330" t="e">
        <f ca="1">IF(C2="——",IF(B37="元/平方米",ROUND(C39*D3/10000,0),ROUND(F3*C39/10000,0)),IF(B37="元/平方米",ROUND(C39*D3/10000,0),ROUND(F3*C39/10000,0))-D2)</f>
        <v>#DIV/0!</v>
      </c>
      <c r="C2" s="2073"/>
      <c r="D2" s="1042" t="e">
        <f ca="1">SUMIF(INDIRECT("'"&amp;F2&amp;"'"&amp;"!A:A"),"承租人权益价值",INDIRECT("'"&amp;F2&amp;"'"&amp;"!c:c"))</f>
        <v>#REF!</v>
      </c>
      <c r="E2" s="2074" t="s">
        <v>2158</v>
      </c>
      <c r="F2" s="2075"/>
      <c r="G2" s="1043"/>
      <c r="H2" s="1043"/>
      <c r="I2" s="1043"/>
      <c r="J2" s="1043"/>
      <c r="K2" s="1045"/>
      <c r="L2" s="2966"/>
      <c r="M2" s="2967"/>
      <c r="N2" s="2967"/>
      <c r="O2" s="2967"/>
      <c r="P2" s="1331"/>
      <c r="Q2" s="712"/>
      <c r="R2" s="712"/>
      <c r="S2" s="712"/>
      <c r="T2" s="712"/>
      <c r="U2" s="712"/>
      <c r="V2" s="712"/>
      <c r="W2" s="712"/>
      <c r="X2" s="712"/>
      <c r="Y2" s="712"/>
      <c r="Z2" s="712"/>
      <c r="AA2" s="712"/>
      <c r="AB2" s="712"/>
      <c r="AC2" s="713"/>
    </row>
    <row r="3" spans="1:29" s="362" customFormat="1" ht="28.5" customHeight="1" thickBot="1">
      <c r="A3" s="213" t="s">
        <v>2159</v>
      </c>
      <c r="B3" s="570" t="e">
        <f ca="1">IF(AND(C2="——",B37="元/平方米"),C39,ROUND(B2*10000/D3,0))</f>
        <v>#DIV/0!</v>
      </c>
      <c r="C3" s="364" t="s">
        <v>2474</v>
      </c>
      <c r="D3" s="363">
        <f>SUMIF('数据-汇总表'!$C19:$C33,D1,'数据-汇总表'!$E19:$E33)</f>
        <v>0</v>
      </c>
      <c r="E3" s="364" t="s">
        <v>2538</v>
      </c>
      <c r="F3" s="363">
        <f>SUMIF('数据-取费表'!A5:A15,D1,'数据-取费表'!AH5:AH15)</f>
        <v>0</v>
      </c>
      <c r="G3" s="1043"/>
      <c r="H3" s="1043"/>
      <c r="I3" s="1043"/>
      <c r="J3" s="1043"/>
      <c r="K3" s="1045"/>
      <c r="L3" s="2966"/>
      <c r="M3" s="2967"/>
      <c r="N3" s="2967"/>
      <c r="O3" s="2967"/>
      <c r="P3" s="1331"/>
      <c r="Q3" s="712"/>
      <c r="R3" s="712"/>
      <c r="S3" s="712"/>
      <c r="T3" s="712"/>
      <c r="U3" s="712"/>
      <c r="V3" s="712"/>
      <c r="W3" s="712"/>
      <c r="X3" s="712"/>
      <c r="Y3" s="712"/>
      <c r="Z3" s="712"/>
      <c r="AA3" s="712"/>
      <c r="AB3" s="729"/>
      <c r="AC3" s="726"/>
    </row>
    <row r="4" spans="1:29" ht="14.4">
      <c r="A4" s="365" t="s">
        <v>2475</v>
      </c>
      <c r="B4" s="366"/>
      <c r="C4" s="3380" t="s">
        <v>2476</v>
      </c>
      <c r="D4" s="3381"/>
      <c r="E4" s="3382" t="s">
        <v>2477</v>
      </c>
      <c r="F4" s="3383"/>
      <c r="G4" s="3380" t="s">
        <v>2478</v>
      </c>
      <c r="H4" s="3381"/>
      <c r="I4" s="3380" t="s">
        <v>2479</v>
      </c>
      <c r="J4" s="3381"/>
      <c r="K4" s="571" t="s">
        <v>2480</v>
      </c>
      <c r="L4" s="2947"/>
      <c r="M4" s="2948"/>
      <c r="N4" s="2948"/>
      <c r="O4" s="2948"/>
      <c r="P4" s="3384" t="s">
        <v>2481</v>
      </c>
      <c r="Q4" s="3385"/>
      <c r="R4" s="3367" t="s">
        <v>2477</v>
      </c>
      <c r="S4" s="3368"/>
      <c r="T4" s="3367" t="s">
        <v>2478</v>
      </c>
      <c r="U4" s="3368"/>
      <c r="V4" s="3392" t="s">
        <v>2479</v>
      </c>
      <c r="W4" s="3392"/>
      <c r="X4" s="1545"/>
      <c r="Y4" s="3367" t="s">
        <v>2481</v>
      </c>
      <c r="Z4" s="3368"/>
      <c r="AA4" s="3362" t="s">
        <v>2477</v>
      </c>
      <c r="AB4" s="3363" t="s">
        <v>2478</v>
      </c>
      <c r="AC4" s="3362" t="s">
        <v>2479</v>
      </c>
    </row>
    <row r="5" spans="1:29">
      <c r="A5" s="368"/>
      <c r="B5" s="369"/>
      <c r="C5" s="3373" t="s">
        <v>2372</v>
      </c>
      <c r="D5" s="3374"/>
      <c r="E5" s="3371" t="s">
        <v>2373</v>
      </c>
      <c r="F5" s="3372"/>
      <c r="G5" s="3373" t="s">
        <v>2374</v>
      </c>
      <c r="H5" s="3374"/>
      <c r="I5" s="3373" t="s">
        <v>2375</v>
      </c>
      <c r="J5" s="3374"/>
      <c r="K5" s="571"/>
      <c r="L5" s="2947"/>
      <c r="M5" s="2948"/>
      <c r="N5" s="2948"/>
      <c r="O5" s="2948"/>
      <c r="P5" s="3386"/>
      <c r="Q5" s="3387"/>
      <c r="R5" s="3369"/>
      <c r="S5" s="3370"/>
      <c r="T5" s="3369"/>
      <c r="U5" s="3370"/>
      <c r="V5" s="3392"/>
      <c r="W5" s="3392"/>
      <c r="X5" s="1545"/>
      <c r="Y5" s="3369"/>
      <c r="Z5" s="3370"/>
      <c r="AA5" s="3363"/>
      <c r="AB5" s="3363"/>
      <c r="AC5" s="3363"/>
    </row>
    <row r="6" spans="1:29" ht="15" thickBot="1">
      <c r="A6" s="370"/>
      <c r="B6" s="371"/>
      <c r="C6" s="3375" t="s">
        <v>2376</v>
      </c>
      <c r="D6" s="3376"/>
      <c r="E6" s="3377" t="s">
        <v>2376</v>
      </c>
      <c r="F6" s="3378"/>
      <c r="G6" s="3375" t="s">
        <v>2376</v>
      </c>
      <c r="H6" s="3376"/>
      <c r="I6" s="3375" t="s">
        <v>2376</v>
      </c>
      <c r="J6" s="3376"/>
      <c r="K6" s="571" t="s">
        <v>2377</v>
      </c>
      <c r="L6" s="2947"/>
      <c r="M6" s="2948"/>
      <c r="N6" s="2948"/>
      <c r="O6" s="2948"/>
      <c r="P6" s="3388"/>
      <c r="Q6" s="3389"/>
      <c r="R6" s="3369"/>
      <c r="S6" s="3370"/>
      <c r="T6" s="3390"/>
      <c r="U6" s="3391"/>
      <c r="V6" s="3392"/>
      <c r="W6" s="3392"/>
      <c r="X6" s="1545"/>
      <c r="Y6" s="3390"/>
      <c r="Z6" s="3391"/>
      <c r="AA6" s="3364"/>
      <c r="AB6" s="3364"/>
      <c r="AC6" s="3364"/>
    </row>
    <row r="7" spans="1:29" s="117" customFormat="1" ht="15" thickBot="1">
      <c r="A7" s="372" t="s">
        <v>2378</v>
      </c>
      <c r="B7" s="373"/>
      <c r="C7" s="374">
        <f>'数据-取费表'!B2</f>
        <v>44063</v>
      </c>
      <c r="D7" s="375">
        <v>100</v>
      </c>
      <c r="E7" s="376"/>
      <c r="F7" s="377">
        <f>SUMIF(48:48,YEAR(E7)&amp;"-"&amp;MONTH(E7),49:49)</f>
        <v>0</v>
      </c>
      <c r="G7" s="376"/>
      <c r="H7" s="375">
        <f>SUMIF(48:48,YEAR(G7)&amp;"-"&amp;MONTH(G7),49:49)</f>
        <v>0</v>
      </c>
      <c r="I7" s="376"/>
      <c r="J7" s="375">
        <f>SUMIF(48:48,YEAR(I7)&amp;"-"&amp;MONTH(I7),49:49)</f>
        <v>0</v>
      </c>
      <c r="K7" s="572"/>
      <c r="L7" s="2949"/>
      <c r="M7" s="2950"/>
      <c r="N7" s="2950"/>
      <c r="O7" s="2950"/>
      <c r="P7" s="3365" t="s">
        <v>2379</v>
      </c>
      <c r="Q7" s="3393"/>
      <c r="R7" s="714" t="s">
        <v>17</v>
      </c>
      <c r="S7" s="715">
        <f t="shared" ref="S7:S14" si="0">F7</f>
        <v>0</v>
      </c>
      <c r="T7" s="714" t="s">
        <v>17</v>
      </c>
      <c r="U7" s="715">
        <f t="shared" ref="U7:U14" si="1">H7</f>
        <v>0</v>
      </c>
      <c r="V7" s="714" t="s">
        <v>17</v>
      </c>
      <c r="W7" s="715">
        <f t="shared" ref="W7:W14" si="2">J7</f>
        <v>0</v>
      </c>
      <c r="X7" s="716"/>
      <c r="Y7" s="3365" t="s">
        <v>2379</v>
      </c>
      <c r="Z7" s="3366"/>
      <c r="AA7" s="717" t="e">
        <f>D7/F7</f>
        <v>#DIV/0!</v>
      </c>
      <c r="AB7" s="717" t="e">
        <f>D7/H7</f>
        <v>#DIV/0!</v>
      </c>
      <c r="AC7" s="717" t="e">
        <f>D7/J7</f>
        <v>#DIV/0!</v>
      </c>
    </row>
    <row r="8" spans="1:29" s="117" customFormat="1" ht="15" thickBot="1">
      <c r="A8" s="372" t="s">
        <v>2380</v>
      </c>
      <c r="B8" s="373"/>
      <c r="C8" s="378" t="s">
        <v>2482</v>
      </c>
      <c r="D8" s="375">
        <v>100</v>
      </c>
      <c r="E8" s="378"/>
      <c r="F8" s="377">
        <f>SUMIF(51:51,E8,52:52)-SUMIF(51:51,C8,52:52)+100</f>
        <v>0</v>
      </c>
      <c r="G8" s="378"/>
      <c r="H8" s="375">
        <f>SUMIF(51:51,G8,52:52)-SUMIF(51:51,C8,52:52)+100</f>
        <v>0</v>
      </c>
      <c r="I8" s="378"/>
      <c r="J8" s="375">
        <f>SUMIF(51:51,I8,52:52)-SUMIF(51:51,C8,52:52)+100</f>
        <v>0</v>
      </c>
      <c r="K8" s="572"/>
      <c r="L8" s="2949"/>
      <c r="M8" s="2950"/>
      <c r="N8" s="2950"/>
      <c r="O8" s="2950"/>
      <c r="P8" s="3365" t="s">
        <v>2382</v>
      </c>
      <c r="Q8" s="3366"/>
      <c r="R8" s="714" t="s">
        <v>17</v>
      </c>
      <c r="S8" s="715">
        <f t="shared" si="0"/>
        <v>0</v>
      </c>
      <c r="T8" s="714" t="s">
        <v>17</v>
      </c>
      <c r="U8" s="715">
        <f t="shared" si="1"/>
        <v>0</v>
      </c>
      <c r="V8" s="714" t="s">
        <v>17</v>
      </c>
      <c r="W8" s="715">
        <f t="shared" si="2"/>
        <v>0</v>
      </c>
      <c r="X8" s="716"/>
      <c r="Y8" s="3365" t="s">
        <v>2382</v>
      </c>
      <c r="Z8" s="3366"/>
      <c r="AA8" s="717" t="e">
        <f t="shared" ref="AA8:AA36" si="3">D8/F8</f>
        <v>#DIV/0!</v>
      </c>
      <c r="AB8" s="717" t="e">
        <f t="shared" ref="AB8:AB36" si="4">D8/H8</f>
        <v>#DIV/0!</v>
      </c>
      <c r="AC8" s="717" t="e">
        <f t="shared" ref="AC8:AC36" si="5">D8/J8</f>
        <v>#DIV/0!</v>
      </c>
    </row>
    <row r="9" spans="1:29" s="117" customFormat="1" ht="14.4">
      <c r="A9" s="68" t="s">
        <v>2383</v>
      </c>
      <c r="B9" s="600" t="s">
        <v>2384</v>
      </c>
      <c r="C9" s="380"/>
      <c r="D9" s="135">
        <v>100</v>
      </c>
      <c r="E9" s="383"/>
      <c r="F9" s="135">
        <f>SUMIF(53:53,E9,54:54)-SUMIF(53:53,C9,54:54)+100</f>
        <v>100</v>
      </c>
      <c r="G9" s="381"/>
      <c r="H9" s="135">
        <f>SUMIF(53:53,G9,54:54)-SUMIF(53:53,C9,54:54)+100</f>
        <v>100</v>
      </c>
      <c r="I9" s="381"/>
      <c r="J9" s="135">
        <f>SUMIF(53:53,I9,54:54)-SUMIF(53:53,C9,54:54)+100</f>
        <v>100</v>
      </c>
      <c r="K9" s="572"/>
      <c r="L9" s="2949"/>
      <c r="M9" s="2950"/>
      <c r="N9" s="2950"/>
      <c r="O9" s="2950"/>
      <c r="P9" s="3397" t="s">
        <v>2385</v>
      </c>
      <c r="Q9" s="1533" t="str">
        <f t="shared" ref="Q9:Q14" si="6">B9</f>
        <v>用途</v>
      </c>
      <c r="R9" s="714" t="s">
        <v>17</v>
      </c>
      <c r="S9" s="715">
        <f t="shared" si="0"/>
        <v>100</v>
      </c>
      <c r="T9" s="714" t="s">
        <v>17</v>
      </c>
      <c r="U9" s="715">
        <f t="shared" si="1"/>
        <v>100</v>
      </c>
      <c r="V9" s="714" t="s">
        <v>17</v>
      </c>
      <c r="W9" s="715">
        <f t="shared" si="2"/>
        <v>100</v>
      </c>
      <c r="X9" s="716"/>
      <c r="Y9" s="3282" t="s">
        <v>2386</v>
      </c>
      <c r="Z9" s="55" t="str">
        <f t="shared" ref="Z9:Z14" si="7">Q9</f>
        <v>用途</v>
      </c>
      <c r="AA9" s="717">
        <f t="shared" si="3"/>
        <v>1</v>
      </c>
      <c r="AB9" s="717">
        <f t="shared" si="4"/>
        <v>1</v>
      </c>
      <c r="AC9" s="717">
        <f t="shared" si="5"/>
        <v>1</v>
      </c>
    </row>
    <row r="10" spans="1:29" s="390" customFormat="1" ht="28.8">
      <c r="A10" s="601"/>
      <c r="B10" s="602" t="s">
        <v>2387</v>
      </c>
      <c r="C10" s="386"/>
      <c r="D10" s="136">
        <v>100</v>
      </c>
      <c r="E10" s="386"/>
      <c r="F10" s="136">
        <f>SUMIF(55:55,E10,56:56)-SUMIF(55:55,C10,56:56)+100</f>
        <v>100</v>
      </c>
      <c r="G10" s="387"/>
      <c r="H10" s="136">
        <f>SUMIF(55:55,G10,56:56)-SUMIF(55:55,C10,56:56)+100</f>
        <v>100</v>
      </c>
      <c r="I10" s="386"/>
      <c r="J10" s="136">
        <f>SUMIF(55:55,I10,56:56)-SUMIF(55:55,C10,56:56)+100</f>
        <v>100</v>
      </c>
      <c r="K10" s="573"/>
      <c r="L10" s="2951"/>
      <c r="M10" s="2952"/>
      <c r="N10" s="2952"/>
      <c r="O10" s="2952"/>
      <c r="P10" s="3397"/>
      <c r="Q10" s="1533" t="str">
        <f t="shared" si="6"/>
        <v>土地使用年限（年）</v>
      </c>
      <c r="R10" s="714" t="s">
        <v>17</v>
      </c>
      <c r="S10" s="715">
        <f t="shared" si="0"/>
        <v>100</v>
      </c>
      <c r="T10" s="714" t="s">
        <v>17</v>
      </c>
      <c r="U10" s="715">
        <f t="shared" si="1"/>
        <v>100</v>
      </c>
      <c r="V10" s="714" t="s">
        <v>17</v>
      </c>
      <c r="W10" s="715">
        <f t="shared" si="2"/>
        <v>100</v>
      </c>
      <c r="X10" s="716"/>
      <c r="Y10" s="3282"/>
      <c r="Z10" s="55" t="str">
        <f t="shared" si="7"/>
        <v>土地使用年限（年）</v>
      </c>
      <c r="AA10" s="717">
        <f t="shared" si="3"/>
        <v>1</v>
      </c>
      <c r="AB10" s="717">
        <f t="shared" si="4"/>
        <v>1</v>
      </c>
      <c r="AC10" s="717">
        <f t="shared" si="5"/>
        <v>1</v>
      </c>
    </row>
    <row r="11" spans="1:29" ht="15">
      <c r="A11" s="603"/>
      <c r="B11" s="604">
        <v>111</v>
      </c>
      <c r="C11" s="395"/>
      <c r="D11" s="136">
        <v>100</v>
      </c>
      <c r="E11" s="395"/>
      <c r="F11" s="136">
        <f>SUMIF(57:57,E11,58:58)-SUMIF(57:57,C11,58:58)+100</f>
        <v>100</v>
      </c>
      <c r="G11" s="395"/>
      <c r="H11" s="136">
        <f>SUMIF(57:57,G11,58:58)-SUMIF(57:57,C11,58:58)+100</f>
        <v>100</v>
      </c>
      <c r="I11" s="395"/>
      <c r="J11" s="136">
        <f>SUMIF(57:57,I11,58:58)-SUMIF(57:57,C11,58:58)+100</f>
        <v>100</v>
      </c>
      <c r="K11" s="574"/>
      <c r="L11" s="2953"/>
      <c r="M11" s="2948"/>
      <c r="N11" s="2948"/>
      <c r="O11" s="2948"/>
      <c r="P11" s="3397"/>
      <c r="Q11" s="1533">
        <f t="shared" si="6"/>
        <v>111</v>
      </c>
      <c r="R11" s="714" t="s">
        <v>17</v>
      </c>
      <c r="S11" s="715">
        <f t="shared" si="0"/>
        <v>100</v>
      </c>
      <c r="T11" s="714" t="s">
        <v>17</v>
      </c>
      <c r="U11" s="715">
        <f t="shared" si="1"/>
        <v>100</v>
      </c>
      <c r="V11" s="714" t="s">
        <v>17</v>
      </c>
      <c r="W11" s="715">
        <f t="shared" si="2"/>
        <v>100</v>
      </c>
      <c r="X11" s="716"/>
      <c r="Y11" s="3282"/>
      <c r="Z11" s="55">
        <f t="shared" si="7"/>
        <v>111</v>
      </c>
      <c r="AA11" s="717">
        <f t="shared" si="3"/>
        <v>1</v>
      </c>
      <c r="AB11" s="717">
        <f t="shared" si="4"/>
        <v>1</v>
      </c>
      <c r="AC11" s="717">
        <f t="shared" si="5"/>
        <v>1</v>
      </c>
    </row>
    <row r="12" spans="1:29" s="117" customFormat="1" ht="15">
      <c r="A12" s="605"/>
      <c r="B12" s="604">
        <v>111</v>
      </c>
      <c r="C12" s="395"/>
      <c r="D12" s="396">
        <v>100</v>
      </c>
      <c r="E12" s="395"/>
      <c r="F12" s="136">
        <f>SUMIF(59:59,E12,60:60)-SUMIF(59:59,C12,60:60)+100</f>
        <v>100</v>
      </c>
      <c r="G12" s="395"/>
      <c r="H12" s="136">
        <f>SUMIF(59:59,G12,60:60)-SUMIF(59:59,C12,60:60)+100</f>
        <v>100</v>
      </c>
      <c r="I12" s="395"/>
      <c r="J12" s="136">
        <f>SUMIF(59:59,I12,60:60)-SUMIF(59:59,C12,60:60)+100</f>
        <v>100</v>
      </c>
      <c r="K12" s="574"/>
      <c r="L12" s="2949"/>
      <c r="M12" s="2950"/>
      <c r="N12" s="2950"/>
      <c r="O12" s="2950"/>
      <c r="P12" s="3397"/>
      <c r="Q12" s="1533">
        <f t="shared" si="6"/>
        <v>111</v>
      </c>
      <c r="R12" s="714" t="s">
        <v>17</v>
      </c>
      <c r="S12" s="715">
        <f t="shared" si="0"/>
        <v>100</v>
      </c>
      <c r="T12" s="714" t="s">
        <v>17</v>
      </c>
      <c r="U12" s="715">
        <f t="shared" si="1"/>
        <v>100</v>
      </c>
      <c r="V12" s="714" t="s">
        <v>17</v>
      </c>
      <c r="W12" s="715">
        <f t="shared" si="2"/>
        <v>100</v>
      </c>
      <c r="X12" s="716"/>
      <c r="Y12" s="3282"/>
      <c r="Z12" s="55">
        <f t="shared" si="7"/>
        <v>111</v>
      </c>
      <c r="AA12" s="717">
        <f>D12/F12</f>
        <v>1</v>
      </c>
      <c r="AB12" s="717">
        <f>D12/H12</f>
        <v>1</v>
      </c>
      <c r="AC12" s="717">
        <f>D12/J12</f>
        <v>1</v>
      </c>
    </row>
    <row r="13" spans="1:29" ht="15.6" thickBot="1">
      <c r="A13" s="606"/>
      <c r="B13" s="604">
        <v>111</v>
      </c>
      <c r="C13" s="397"/>
      <c r="D13" s="398">
        <v>100</v>
      </c>
      <c r="E13" s="395"/>
      <c r="F13" s="136">
        <f>SUMIF(61:61,E13,62:62)-SUMIF(61:61,C13,62:62)+100</f>
        <v>100</v>
      </c>
      <c r="G13" s="395"/>
      <c r="H13" s="398">
        <f>SUMIF(61:61,G13,62:62)-SUMIF(61:61,C13,62:62)+100</f>
        <v>100</v>
      </c>
      <c r="I13" s="395"/>
      <c r="J13" s="398">
        <f>SUMIF(61:61,I13,62:62)-SUMIF(61:61,C13,62:62)+100</f>
        <v>100</v>
      </c>
      <c r="K13" s="574"/>
      <c r="L13" s="2954"/>
      <c r="M13" s="2948"/>
      <c r="N13" s="2948"/>
      <c r="O13" s="2948"/>
      <c r="P13" s="3397"/>
      <c r="Q13" s="1533">
        <f t="shared" si="6"/>
        <v>111</v>
      </c>
      <c r="R13" s="714" t="s">
        <v>17</v>
      </c>
      <c r="S13" s="715">
        <f t="shared" si="0"/>
        <v>100</v>
      </c>
      <c r="T13" s="714" t="s">
        <v>17</v>
      </c>
      <c r="U13" s="715">
        <f t="shared" si="1"/>
        <v>100</v>
      </c>
      <c r="V13" s="714" t="s">
        <v>17</v>
      </c>
      <c r="W13" s="715">
        <f t="shared" si="2"/>
        <v>100</v>
      </c>
      <c r="X13" s="716"/>
      <c r="Y13" s="3282"/>
      <c r="Z13" s="55">
        <f t="shared" si="7"/>
        <v>111</v>
      </c>
      <c r="AA13" s="717">
        <f t="shared" si="3"/>
        <v>1</v>
      </c>
      <c r="AB13" s="717">
        <f t="shared" si="4"/>
        <v>1</v>
      </c>
      <c r="AC13" s="717">
        <f t="shared" si="5"/>
        <v>1</v>
      </c>
    </row>
    <row r="14" spans="1:29" ht="96.6">
      <c r="A14" s="365" t="s">
        <v>2389</v>
      </c>
      <c r="B14" s="589" t="s">
        <v>2539</v>
      </c>
      <c r="C14" s="2163" t="str">
        <f>IF(B1="工业",估价对象房地状况!G4,估价对象房地状况!C6)</f>
        <v>估价对象周边道路状况、公共交通通达情况、停车便捷程度，综合评价交通便捷度较好</v>
      </c>
      <c r="D14" s="404">
        <v>100</v>
      </c>
      <c r="E14" s="405"/>
      <c r="F14" s="406">
        <f>SUMIF(63:63,E15,64:64)-SUMIF(63:63,C15,64:64)+100</f>
        <v>100</v>
      </c>
      <c r="G14" s="407"/>
      <c r="H14" s="404">
        <f>SUMIF(63:63,G15,64:64)-SUMIF(63:63,C15,64:64)+100</f>
        <v>100</v>
      </c>
      <c r="I14" s="405"/>
      <c r="J14" s="404">
        <f>SUMIF(63:63,I15,64:64)-SUMIF(63:63,C15,64:64)+100</f>
        <v>100</v>
      </c>
      <c r="K14" s="575"/>
      <c r="L14" s="2954"/>
      <c r="M14" s="2948"/>
      <c r="N14" s="2948"/>
      <c r="O14" s="2948"/>
      <c r="P14" s="3399" t="s">
        <v>2390</v>
      </c>
      <c r="Q14" s="1542" t="str">
        <f t="shared" si="6"/>
        <v>交通便捷度</v>
      </c>
      <c r="R14" s="718" t="s">
        <v>17</v>
      </c>
      <c r="S14" s="719">
        <f t="shared" si="0"/>
        <v>100</v>
      </c>
      <c r="T14" s="718" t="s">
        <v>17</v>
      </c>
      <c r="U14" s="719">
        <f t="shared" si="1"/>
        <v>100</v>
      </c>
      <c r="V14" s="718" t="s">
        <v>17</v>
      </c>
      <c r="W14" s="719">
        <f t="shared" si="2"/>
        <v>100</v>
      </c>
      <c r="X14" s="1545"/>
      <c r="Y14" s="3399" t="s">
        <v>2390</v>
      </c>
      <c r="Z14" s="1546" t="str">
        <f t="shared" si="7"/>
        <v>交通便捷度</v>
      </c>
      <c r="AA14" s="1543">
        <f t="shared" si="3"/>
        <v>1</v>
      </c>
      <c r="AB14" s="1543">
        <f t="shared" si="4"/>
        <v>1</v>
      </c>
      <c r="AC14" s="1543">
        <f t="shared" si="5"/>
        <v>1</v>
      </c>
    </row>
    <row r="15" spans="1:29" ht="15">
      <c r="A15" s="368"/>
      <c r="B15" s="607"/>
      <c r="C15" s="410"/>
      <c r="D15" s="411"/>
      <c r="E15" s="410"/>
      <c r="F15" s="412"/>
      <c r="G15" s="410"/>
      <c r="H15" s="413"/>
      <c r="I15" s="410"/>
      <c r="J15" s="411"/>
      <c r="K15" s="576"/>
      <c r="L15" s="2954"/>
      <c r="M15" s="2948"/>
      <c r="N15" s="2948"/>
      <c r="O15" s="2948"/>
      <c r="P15" s="3400"/>
      <c r="Q15" s="1542"/>
      <c r="R15" s="718"/>
      <c r="S15" s="719"/>
      <c r="T15" s="718"/>
      <c r="U15" s="719"/>
      <c r="V15" s="718"/>
      <c r="W15" s="719"/>
      <c r="X15" s="1545"/>
      <c r="Y15" s="3400"/>
      <c r="Z15" s="1546"/>
      <c r="AA15" s="1543">
        <v>1</v>
      </c>
      <c r="AB15" s="1543">
        <v>1</v>
      </c>
      <c r="AC15" s="1543">
        <v>1</v>
      </c>
    </row>
    <row r="16" spans="1:29" ht="41.4">
      <c r="A16" s="368"/>
      <c r="B16" s="591" t="s">
        <v>2518</v>
      </c>
      <c r="C16" s="2092" t="str">
        <f>IF(B1="工业",估价对象房地状况!G5,估价对象房地状况!C7)</f>
        <v>估价对象所在区域公共配套设施齐备情况</v>
      </c>
      <c r="D16" s="418">
        <v>100</v>
      </c>
      <c r="E16" s="420"/>
      <c r="F16" s="421">
        <f>SUMIF(65:65,E17,66:66)-SUMIF(65:65,C17,66:66)+100</f>
        <v>100</v>
      </c>
      <c r="G16" s="422"/>
      <c r="H16" s="418">
        <f>SUMIF(65:65,G17,66:66)-SUMIF(65:65,C17,66:66)+100</f>
        <v>100</v>
      </c>
      <c r="I16" s="420"/>
      <c r="J16" s="418">
        <f>SUMIF(65:65,I17,66:66)-SUMIF(65:65,C17,66:66)+100</f>
        <v>100</v>
      </c>
      <c r="K16" s="575"/>
      <c r="L16" s="2954"/>
      <c r="M16" s="2948"/>
      <c r="N16" s="2948"/>
      <c r="O16" s="2948"/>
      <c r="P16" s="3400"/>
      <c r="Q16" s="1542" t="str">
        <f>B16</f>
        <v>公共配套设施</v>
      </c>
      <c r="R16" s="718" t="s">
        <v>17</v>
      </c>
      <c r="S16" s="719">
        <f>F16</f>
        <v>100</v>
      </c>
      <c r="T16" s="718" t="s">
        <v>17</v>
      </c>
      <c r="U16" s="719">
        <f>H16</f>
        <v>100</v>
      </c>
      <c r="V16" s="718" t="s">
        <v>17</v>
      </c>
      <c r="W16" s="719">
        <f>J16</f>
        <v>100</v>
      </c>
      <c r="X16" s="1545"/>
      <c r="Y16" s="3400"/>
      <c r="Z16" s="1546" t="str">
        <f>Q16</f>
        <v>公共配套设施</v>
      </c>
      <c r="AA16" s="1543">
        <f t="shared" si="3"/>
        <v>1</v>
      </c>
      <c r="AB16" s="1543">
        <f t="shared" si="4"/>
        <v>1</v>
      </c>
      <c r="AC16" s="1543">
        <f t="shared" si="5"/>
        <v>1</v>
      </c>
    </row>
    <row r="17" spans="1:29" ht="15">
      <c r="A17" s="368"/>
      <c r="B17" s="592"/>
      <c r="C17" s="2093"/>
      <c r="D17" s="411"/>
      <c r="E17" s="410"/>
      <c r="F17" s="412"/>
      <c r="G17" s="410"/>
      <c r="H17" s="411"/>
      <c r="I17" s="410"/>
      <c r="J17" s="411"/>
      <c r="K17" s="576"/>
      <c r="L17" s="2954"/>
      <c r="M17" s="2948"/>
      <c r="N17" s="2948"/>
      <c r="O17" s="2948"/>
      <c r="P17" s="3400"/>
      <c r="Q17" s="1542"/>
      <c r="R17" s="718"/>
      <c r="S17" s="719"/>
      <c r="T17" s="718"/>
      <c r="U17" s="719"/>
      <c r="V17" s="718"/>
      <c r="W17" s="719"/>
      <c r="X17" s="1545"/>
      <c r="Y17" s="3400"/>
      <c r="Z17" s="1546"/>
      <c r="AA17" s="1543">
        <v>1</v>
      </c>
      <c r="AB17" s="1543">
        <v>1</v>
      </c>
      <c r="AC17" s="1543">
        <v>1</v>
      </c>
    </row>
    <row r="18" spans="1:29" ht="41.4">
      <c r="A18" s="368"/>
      <c r="B18" s="593" t="s">
        <v>2519</v>
      </c>
      <c r="C18" s="2092" t="str">
        <f>IF(B1="工业",估价对象房地状况!G6,估价对象房地状况!C8)</f>
        <v>估价对象所在区域基础设施水平</v>
      </c>
      <c r="D18" s="413">
        <v>100</v>
      </c>
      <c r="E18" s="415"/>
      <c r="F18" s="421">
        <f>SUMIF(67:67,E19,68:68)-SUMIF(67:67,C19,68:68)+100</f>
        <v>100</v>
      </c>
      <c r="G18" s="417"/>
      <c r="H18" s="418">
        <f>SUMIF(67:67,G19,68:68)-SUMIF(67:67,C19,68:68)+100</f>
        <v>100</v>
      </c>
      <c r="I18" s="415"/>
      <c r="J18" s="418">
        <f>SUMIF(67:67,I19,68:68)-SUMIF(67:67,C19,68:68)+100</f>
        <v>100</v>
      </c>
      <c r="K18" s="575"/>
      <c r="L18" s="2954"/>
      <c r="M18" s="2948"/>
      <c r="N18" s="2948"/>
      <c r="O18" s="2948"/>
      <c r="P18" s="3400"/>
      <c r="Q18" s="1542" t="str">
        <f>B18</f>
        <v>基础设施水平</v>
      </c>
      <c r="R18" s="718" t="s">
        <v>17</v>
      </c>
      <c r="S18" s="719">
        <f>F18</f>
        <v>100</v>
      </c>
      <c r="T18" s="718" t="s">
        <v>17</v>
      </c>
      <c r="U18" s="719">
        <f>H18</f>
        <v>100</v>
      </c>
      <c r="V18" s="718" t="s">
        <v>17</v>
      </c>
      <c r="W18" s="719">
        <f>J18</f>
        <v>100</v>
      </c>
      <c r="X18" s="1545"/>
      <c r="Y18" s="3400"/>
      <c r="Z18" s="1546" t="str">
        <f>Q18</f>
        <v>基础设施水平</v>
      </c>
      <c r="AA18" s="1543">
        <f t="shared" ref="AA18" si="8">D18/F18</f>
        <v>1</v>
      </c>
      <c r="AB18" s="1543">
        <f t="shared" ref="AB18" si="9">D18/H18</f>
        <v>1</v>
      </c>
      <c r="AC18" s="1543">
        <f t="shared" ref="AC18" si="10">D18/J18</f>
        <v>1</v>
      </c>
    </row>
    <row r="19" spans="1:29" ht="15">
      <c r="A19" s="368"/>
      <c r="B19" s="593"/>
      <c r="C19" s="2093"/>
      <c r="D19" s="413"/>
      <c r="E19" s="2093"/>
      <c r="F19" s="416"/>
      <c r="G19" s="2093"/>
      <c r="H19" s="411"/>
      <c r="I19" s="410"/>
      <c r="J19" s="411"/>
      <c r="K19" s="1296"/>
      <c r="L19" s="2954"/>
      <c r="M19" s="2948"/>
      <c r="N19" s="2948"/>
      <c r="O19" s="2948"/>
      <c r="P19" s="3400"/>
      <c r="Q19" s="1542"/>
      <c r="R19" s="718"/>
      <c r="S19" s="719"/>
      <c r="T19" s="718"/>
      <c r="U19" s="719"/>
      <c r="V19" s="718"/>
      <c r="W19" s="719"/>
      <c r="X19" s="1545"/>
      <c r="Y19" s="3400"/>
      <c r="Z19" s="1546"/>
      <c r="AA19" s="1543">
        <v>1</v>
      </c>
      <c r="AB19" s="1543">
        <v>1</v>
      </c>
      <c r="AC19" s="1543">
        <v>1</v>
      </c>
    </row>
    <row r="20" spans="1:29" ht="55.2">
      <c r="A20" s="368"/>
      <c r="B20" s="591" t="s">
        <v>2540</v>
      </c>
      <c r="C20" s="2092" t="str">
        <f>IF(B1="工业",估价对象房地状况!G7,估价对象房地状况!C9)</f>
        <v>区域自然环境：；人文环境；综合评价环境状况一般</v>
      </c>
      <c r="D20" s="418">
        <v>100</v>
      </c>
      <c r="E20" s="420"/>
      <c r="F20" s="421">
        <f>SUMIF(69:69,E21,70:70)-SUMIF(69:69,C21,70:70)+100</f>
        <v>100</v>
      </c>
      <c r="G20" s="422"/>
      <c r="H20" s="413">
        <f>SUMIF(69:69,G21,70:70)-SUMIF(69:69,C21,70:70)+100</f>
        <v>100</v>
      </c>
      <c r="I20" s="415"/>
      <c r="J20" s="413">
        <f>SUMIF(69:69,I21,70:70)-SUMIF(69:69,C21,70:70)+100</f>
        <v>100</v>
      </c>
      <c r="K20" s="575"/>
      <c r="L20" s="2954"/>
      <c r="M20" s="2948"/>
      <c r="N20" s="2948"/>
      <c r="O20" s="2948"/>
      <c r="P20" s="3400"/>
      <c r="Q20" s="1542" t="str">
        <f>B20</f>
        <v>自然及人文环境</v>
      </c>
      <c r="R20" s="718" t="s">
        <v>17</v>
      </c>
      <c r="S20" s="719">
        <f>F20</f>
        <v>100</v>
      </c>
      <c r="T20" s="718" t="s">
        <v>17</v>
      </c>
      <c r="U20" s="719">
        <f>H20</f>
        <v>100</v>
      </c>
      <c r="V20" s="718" t="s">
        <v>17</v>
      </c>
      <c r="W20" s="719">
        <f>J20</f>
        <v>100</v>
      </c>
      <c r="X20" s="1545"/>
      <c r="Y20" s="3400"/>
      <c r="Z20" s="1546" t="str">
        <f>Q20</f>
        <v>自然及人文环境</v>
      </c>
      <c r="AA20" s="1543">
        <f t="shared" si="3"/>
        <v>1</v>
      </c>
      <c r="AB20" s="1543">
        <f t="shared" si="4"/>
        <v>1</v>
      </c>
      <c r="AC20" s="1543">
        <f t="shared" si="5"/>
        <v>1</v>
      </c>
    </row>
    <row r="21" spans="1:29" ht="15">
      <c r="A21" s="368"/>
      <c r="B21" s="592"/>
      <c r="C21" s="410"/>
      <c r="D21" s="411"/>
      <c r="E21" s="410"/>
      <c r="F21" s="412"/>
      <c r="G21" s="410"/>
      <c r="H21" s="411"/>
      <c r="I21" s="410"/>
      <c r="J21" s="411"/>
      <c r="K21" s="576"/>
      <c r="L21" s="2954"/>
      <c r="M21" s="2948"/>
      <c r="N21" s="2948"/>
      <c r="O21" s="2948"/>
      <c r="P21" s="3400"/>
      <c r="Q21" s="1542"/>
      <c r="R21" s="718"/>
      <c r="S21" s="719"/>
      <c r="T21" s="718"/>
      <c r="U21" s="719"/>
      <c r="V21" s="718"/>
      <c r="W21" s="719"/>
      <c r="X21" s="1545"/>
      <c r="Y21" s="3400"/>
      <c r="Z21" s="1546"/>
      <c r="AA21" s="1543">
        <v>1</v>
      </c>
      <c r="AB21" s="1543">
        <v>1</v>
      </c>
      <c r="AC21" s="1543">
        <v>1</v>
      </c>
    </row>
    <row r="22" spans="1:29" ht="15">
      <c r="A22" s="368"/>
      <c r="B22" s="591" t="s">
        <v>2541</v>
      </c>
      <c r="C22" s="577"/>
      <c r="D22" s="413">
        <v>100</v>
      </c>
      <c r="E22" s="577"/>
      <c r="F22" s="424">
        <f>SUMIF(71:71,E22,72:72)-SUMIF(71:71,C22,72:72)+100</f>
        <v>100</v>
      </c>
      <c r="G22" s="577"/>
      <c r="H22" s="398">
        <f>SUMIF(71:71,G22,72:72)-SUMIF(71:71,C22,72:72)+100</f>
        <v>100</v>
      </c>
      <c r="I22" s="577"/>
      <c r="J22" s="398">
        <f>SUMIF(71:71,I22,72:72)-SUMIF(71:71,C22,72:72)+100</f>
        <v>100</v>
      </c>
      <c r="K22" s="573"/>
      <c r="L22" s="2954"/>
      <c r="M22" s="2948"/>
      <c r="N22" s="2948"/>
      <c r="O22" s="2948"/>
      <c r="P22" s="3400"/>
      <c r="Q22" s="1542" t="str">
        <f>B22</f>
        <v>楼层</v>
      </c>
      <c r="R22" s="718" t="s">
        <v>17</v>
      </c>
      <c r="S22" s="719">
        <f>F22</f>
        <v>100</v>
      </c>
      <c r="T22" s="718" t="s">
        <v>17</v>
      </c>
      <c r="U22" s="719">
        <f>H22</f>
        <v>100</v>
      </c>
      <c r="V22" s="718" t="s">
        <v>17</v>
      </c>
      <c r="W22" s="719">
        <f>J22</f>
        <v>100</v>
      </c>
      <c r="X22" s="1545"/>
      <c r="Y22" s="3400"/>
      <c r="Z22" s="1546" t="str">
        <f>Q22</f>
        <v>楼层</v>
      </c>
      <c r="AA22" s="1543">
        <f t="shared" si="3"/>
        <v>1</v>
      </c>
      <c r="AB22" s="1543">
        <f t="shared" si="4"/>
        <v>1</v>
      </c>
      <c r="AC22" s="1543">
        <f t="shared" si="5"/>
        <v>1</v>
      </c>
    </row>
    <row r="23" spans="1:29" ht="15">
      <c r="A23" s="368"/>
      <c r="B23" s="608">
        <v>111</v>
      </c>
      <c r="C23" s="395"/>
      <c r="D23" s="398">
        <v>100</v>
      </c>
      <c r="E23" s="395"/>
      <c r="F23" s="424">
        <f>SUMIF(73:73,E23,74:74)-SUMIF(73:73,C23,74:74)+100</f>
        <v>100</v>
      </c>
      <c r="G23" s="395"/>
      <c r="H23" s="398">
        <f>SUMIF(73:73,G23,74:74)-SUMIF(73:73,C23,74:74)+100</f>
        <v>100</v>
      </c>
      <c r="I23" s="395"/>
      <c r="J23" s="398">
        <f>SUMIF(73:73,I23,74:74)-SUMIF(73:73,C23,74:74)+100</f>
        <v>100</v>
      </c>
      <c r="K23" s="574"/>
      <c r="L23" s="2954"/>
      <c r="M23" s="2948"/>
      <c r="N23" s="2948"/>
      <c r="O23" s="2948"/>
      <c r="P23" s="3400"/>
      <c r="Q23" s="1542">
        <f>B23</f>
        <v>111</v>
      </c>
      <c r="R23" s="718" t="s">
        <v>17</v>
      </c>
      <c r="S23" s="719">
        <f>F23</f>
        <v>100</v>
      </c>
      <c r="T23" s="718" t="s">
        <v>17</v>
      </c>
      <c r="U23" s="719">
        <f>H23</f>
        <v>100</v>
      </c>
      <c r="V23" s="718" t="s">
        <v>17</v>
      </c>
      <c r="W23" s="719">
        <f>J23</f>
        <v>100</v>
      </c>
      <c r="X23" s="1545"/>
      <c r="Y23" s="3400"/>
      <c r="Z23" s="1546">
        <f>Q23</f>
        <v>111</v>
      </c>
      <c r="AA23" s="1543">
        <f t="shared" si="3"/>
        <v>1</v>
      </c>
      <c r="AB23" s="1543">
        <f t="shared" si="4"/>
        <v>1</v>
      </c>
      <c r="AC23" s="1543">
        <f t="shared" si="5"/>
        <v>1</v>
      </c>
    </row>
    <row r="24" spans="1:29" ht="15">
      <c r="A24" s="368"/>
      <c r="B24" s="608">
        <v>111</v>
      </c>
      <c r="C24" s="395"/>
      <c r="D24" s="398">
        <v>100</v>
      </c>
      <c r="E24" s="395"/>
      <c r="F24" s="424">
        <f>SUMIF(75:75,E24,76:76)-SUMIF(75:75,C24,76:76)+100</f>
        <v>100</v>
      </c>
      <c r="G24" s="395"/>
      <c r="H24" s="398">
        <f>SUMIF(75:75,G24,76:76)-SUMIF(75:75,C24,76:76)+100</f>
        <v>100</v>
      </c>
      <c r="I24" s="395"/>
      <c r="J24" s="398">
        <f>SUMIF(75:75,I24,76:76)-SUMIF(75:75,C24,76:76)+100</f>
        <v>100</v>
      </c>
      <c r="K24" s="574"/>
      <c r="L24" s="2954"/>
      <c r="M24" s="2948"/>
      <c r="N24" s="2948"/>
      <c r="O24" s="2948"/>
      <c r="P24" s="3400"/>
      <c r="Q24" s="1542">
        <f t="shared" ref="Q24:Q36" si="11">B24</f>
        <v>111</v>
      </c>
      <c r="R24" s="718" t="s">
        <v>17</v>
      </c>
      <c r="S24" s="719">
        <f>F24</f>
        <v>100</v>
      </c>
      <c r="T24" s="718" t="s">
        <v>17</v>
      </c>
      <c r="U24" s="719">
        <f>H24</f>
        <v>100</v>
      </c>
      <c r="V24" s="718" t="s">
        <v>17</v>
      </c>
      <c r="W24" s="719">
        <f>J24</f>
        <v>100</v>
      </c>
      <c r="X24" s="1545"/>
      <c r="Y24" s="3400"/>
      <c r="Z24" s="1546">
        <f>Q24</f>
        <v>111</v>
      </c>
      <c r="AA24" s="1543">
        <f t="shared" si="3"/>
        <v>1</v>
      </c>
      <c r="AB24" s="1543">
        <f t="shared" si="4"/>
        <v>1</v>
      </c>
      <c r="AC24" s="1543">
        <f t="shared" si="5"/>
        <v>1</v>
      </c>
    </row>
    <row r="25" spans="1:29" s="117" customFormat="1" ht="15.6" thickBot="1">
      <c r="A25" s="609"/>
      <c r="B25" s="595">
        <v>111</v>
      </c>
      <c r="C25" s="400"/>
      <c r="D25" s="610">
        <v>100</v>
      </c>
      <c r="E25" s="588"/>
      <c r="F25" s="611">
        <f>SUMIF(77:77,E25,78:78)-SUMIF(77:77,C25,78:78)+100</f>
        <v>100</v>
      </c>
      <c r="G25" s="588"/>
      <c r="H25" s="610">
        <f>SUMIF(77:77,G25,78:78)-SUMIF(77:77,C25,78:78)+100</f>
        <v>100</v>
      </c>
      <c r="I25" s="588"/>
      <c r="J25" s="610">
        <f>SUMIF(77:77,I25,78:78)-SUMIF(77:77,C25,78:78)+100</f>
        <v>100</v>
      </c>
      <c r="K25" s="574"/>
      <c r="L25" s="2949"/>
      <c r="M25" s="2950"/>
      <c r="N25" s="2950"/>
      <c r="O25" s="2950"/>
      <c r="P25" s="3400"/>
      <c r="Q25" s="1533">
        <f t="shared" si="11"/>
        <v>111</v>
      </c>
      <c r="R25" s="714" t="s">
        <v>17</v>
      </c>
      <c r="S25" s="715">
        <f>F25</f>
        <v>100</v>
      </c>
      <c r="T25" s="714" t="s">
        <v>17</v>
      </c>
      <c r="U25" s="715">
        <f>H25</f>
        <v>100</v>
      </c>
      <c r="V25" s="714" t="s">
        <v>17</v>
      </c>
      <c r="W25" s="715">
        <f>J25</f>
        <v>100</v>
      </c>
      <c r="X25" s="716"/>
      <c r="Y25" s="3400"/>
      <c r="Z25" s="55">
        <f>Q25</f>
        <v>111</v>
      </c>
      <c r="AA25" s="1543">
        <f>D25/F25</f>
        <v>1</v>
      </c>
      <c r="AB25" s="1543">
        <f>D25/H25</f>
        <v>1</v>
      </c>
      <c r="AC25" s="1543">
        <f>D25/J25</f>
        <v>1</v>
      </c>
    </row>
    <row r="26" spans="1:29" ht="30">
      <c r="A26" s="612" t="s">
        <v>2393</v>
      </c>
      <c r="B26" s="70" t="s">
        <v>2542</v>
      </c>
      <c r="C26" s="2164">
        <f>B1</f>
        <v>0</v>
      </c>
      <c r="D26" s="411">
        <v>100</v>
      </c>
      <c r="E26" s="410"/>
      <c r="F26" s="412">
        <f>SUMIF(79:79,E26,80:80)-SUMIF(79:79,C26,80:80)+100</f>
        <v>100</v>
      </c>
      <c r="G26" s="410"/>
      <c r="H26" s="411">
        <f>SUMIF(79:79,G26,80:80)-SUMIF(79:79,C26,80:80)+100</f>
        <v>100</v>
      </c>
      <c r="I26" s="410"/>
      <c r="J26" s="411">
        <f>SUMIF(79:79,I26,80:80)-SUMIF(79:79,C26,80:80)+100</f>
        <v>100</v>
      </c>
      <c r="K26" s="573"/>
      <c r="L26" s="2954"/>
      <c r="M26" s="2948"/>
      <c r="N26" s="2948"/>
      <c r="O26" s="2948"/>
      <c r="P26" s="3423" t="s">
        <v>2395</v>
      </c>
      <c r="Q26" s="1542" t="str">
        <f t="shared" si="11"/>
        <v>配套类型</v>
      </c>
      <c r="R26" s="718" t="s">
        <v>17</v>
      </c>
      <c r="S26" s="719">
        <f t="shared" ref="S26:S36" si="12">F26</f>
        <v>100</v>
      </c>
      <c r="T26" s="718" t="s">
        <v>17</v>
      </c>
      <c r="U26" s="719">
        <f t="shared" ref="U26:U36" si="13">H26</f>
        <v>100</v>
      </c>
      <c r="V26" s="718" t="s">
        <v>17</v>
      </c>
      <c r="W26" s="719">
        <f t="shared" ref="W26:W36" si="14">J26</f>
        <v>100</v>
      </c>
      <c r="X26" s="1545"/>
      <c r="Y26" s="3404" t="s">
        <v>2395</v>
      </c>
      <c r="Z26" s="1546" t="str">
        <f t="shared" ref="Z26:Z36" si="15">Q26</f>
        <v>配套类型</v>
      </c>
      <c r="AA26" s="1543">
        <f t="shared" si="3"/>
        <v>1</v>
      </c>
      <c r="AB26" s="1543">
        <f t="shared" si="4"/>
        <v>1</v>
      </c>
      <c r="AC26" s="1543">
        <f t="shared" si="5"/>
        <v>1</v>
      </c>
    </row>
    <row r="27" spans="1:29" s="434" customFormat="1" ht="15">
      <c r="A27" s="613"/>
      <c r="B27" s="614" t="s">
        <v>2543</v>
      </c>
      <c r="C27" s="615"/>
      <c r="D27" s="136">
        <v>100</v>
      </c>
      <c r="E27" s="615"/>
      <c r="F27" s="424">
        <f>SUMIF(81:81,E27,82:82)-SUMIF(81:81,C27,82:82)+100</f>
        <v>100</v>
      </c>
      <c r="G27" s="615"/>
      <c r="H27" s="398">
        <f>SUMIF(81:81,G27,82:82)-SUMIF(81:81,C27,82:82)+100</f>
        <v>100</v>
      </c>
      <c r="I27" s="615"/>
      <c r="J27" s="398">
        <f>SUMIF(81:81,I27,82:82)-SUMIF(81:81,C27,82:82)+100</f>
        <v>100</v>
      </c>
      <c r="K27" s="574"/>
      <c r="L27" s="2953"/>
      <c r="M27" s="2955"/>
      <c r="N27" s="2955"/>
      <c r="O27" s="2955"/>
      <c r="P27" s="3404"/>
      <c r="Q27" s="720" t="str">
        <f t="shared" si="11"/>
        <v>项目停车位配比</v>
      </c>
      <c r="R27" s="721" t="s">
        <v>17</v>
      </c>
      <c r="S27" s="722">
        <f t="shared" si="12"/>
        <v>100</v>
      </c>
      <c r="T27" s="721" t="s">
        <v>17</v>
      </c>
      <c r="U27" s="722">
        <f t="shared" si="13"/>
        <v>100</v>
      </c>
      <c r="V27" s="721" t="s">
        <v>17</v>
      </c>
      <c r="W27" s="722">
        <f t="shared" si="14"/>
        <v>100</v>
      </c>
      <c r="X27" s="723"/>
      <c r="Y27" s="3404"/>
      <c r="Z27" s="724" t="str">
        <f t="shared" si="15"/>
        <v>项目停车位配比</v>
      </c>
      <c r="AA27" s="1543">
        <f t="shared" si="3"/>
        <v>1</v>
      </c>
      <c r="AB27" s="1543">
        <f t="shared" si="4"/>
        <v>1</v>
      </c>
      <c r="AC27" s="1543">
        <f t="shared" si="5"/>
        <v>1</v>
      </c>
    </row>
    <row r="28" spans="1:29" ht="15">
      <c r="A28" s="616"/>
      <c r="B28" s="614" t="s">
        <v>2544</v>
      </c>
      <c r="C28" s="423"/>
      <c r="D28" s="398">
        <v>100</v>
      </c>
      <c r="E28" s="423"/>
      <c r="F28" s="424">
        <f>SUMIF(83:83,E28,84:84)-SUMIF(83:83,C28,84:84)+100</f>
        <v>100</v>
      </c>
      <c r="G28" s="423"/>
      <c r="H28" s="398">
        <f>SUMIF(83:83,G28,84:84)-SUMIF(83:83,C28,84:84)+100</f>
        <v>100</v>
      </c>
      <c r="I28" s="423"/>
      <c r="J28" s="398">
        <f>SUMIF(83:83,I28,84:84)-SUMIF(83:83,C28,84:84)+100</f>
        <v>100</v>
      </c>
      <c r="K28" s="573"/>
      <c r="L28" s="2954"/>
      <c r="M28" s="2948"/>
      <c r="N28" s="2948"/>
      <c r="O28" s="2948"/>
      <c r="P28" s="3404"/>
      <c r="Q28" s="1542" t="str">
        <f t="shared" si="11"/>
        <v>公共部分装修</v>
      </c>
      <c r="R28" s="718" t="s">
        <v>17</v>
      </c>
      <c r="S28" s="719">
        <f t="shared" si="12"/>
        <v>100</v>
      </c>
      <c r="T28" s="718" t="s">
        <v>17</v>
      </c>
      <c r="U28" s="719">
        <f t="shared" si="13"/>
        <v>100</v>
      </c>
      <c r="V28" s="718" t="s">
        <v>17</v>
      </c>
      <c r="W28" s="719">
        <f t="shared" si="14"/>
        <v>100</v>
      </c>
      <c r="X28" s="1545"/>
      <c r="Y28" s="3404"/>
      <c r="Z28" s="1546" t="str">
        <f t="shared" si="15"/>
        <v>公共部分装修</v>
      </c>
      <c r="AA28" s="1543">
        <f t="shared" si="3"/>
        <v>1</v>
      </c>
      <c r="AB28" s="1543">
        <f t="shared" si="4"/>
        <v>1</v>
      </c>
      <c r="AC28" s="1543">
        <f t="shared" si="5"/>
        <v>1</v>
      </c>
    </row>
    <row r="29" spans="1:29" ht="15">
      <c r="A29" s="616"/>
      <c r="B29" s="614" t="s">
        <v>2545</v>
      </c>
      <c r="C29" s="432"/>
      <c r="D29" s="398">
        <v>100</v>
      </c>
      <c r="E29" s="437"/>
      <c r="F29" s="424" t="e">
        <f>LOOKUP(E29,86:86,87:87)-LOOKUP(C29,86:86,87:87)+100</f>
        <v>#N/A</v>
      </c>
      <c r="G29" s="437"/>
      <c r="H29" s="424" t="e">
        <f>LOOKUP(G29,86:86,87:87)-LOOKUP(C29,86:86,87:87)+100</f>
        <v>#N/A</v>
      </c>
      <c r="I29" s="437"/>
      <c r="J29" s="398" t="e">
        <f>LOOKUP(I29,86:86,87:87)-LOOKUP(C29,86:86,87:87)+100</f>
        <v>#N/A</v>
      </c>
      <c r="K29" s="573"/>
      <c r="L29" s="2954"/>
      <c r="M29" s="2948"/>
      <c r="N29" s="2948"/>
      <c r="O29" s="2948"/>
      <c r="P29" s="3404"/>
      <c r="Q29" s="1542" t="str">
        <f t="shared" si="11"/>
        <v>成新率</v>
      </c>
      <c r="R29" s="718" t="s">
        <v>17</v>
      </c>
      <c r="S29" s="719" t="e">
        <f t="shared" si="12"/>
        <v>#N/A</v>
      </c>
      <c r="T29" s="718" t="s">
        <v>17</v>
      </c>
      <c r="U29" s="719" t="e">
        <f t="shared" si="13"/>
        <v>#N/A</v>
      </c>
      <c r="V29" s="718" t="s">
        <v>17</v>
      </c>
      <c r="W29" s="719" t="e">
        <f t="shared" si="14"/>
        <v>#N/A</v>
      </c>
      <c r="X29" s="1545"/>
      <c r="Y29" s="3404"/>
      <c r="Z29" s="1546" t="str">
        <f t="shared" si="15"/>
        <v>成新率</v>
      </c>
      <c r="AA29" s="1543" t="e">
        <f t="shared" si="3"/>
        <v>#N/A</v>
      </c>
      <c r="AB29" s="1543" t="e">
        <f t="shared" si="4"/>
        <v>#N/A</v>
      </c>
      <c r="AC29" s="1543" t="e">
        <f t="shared" si="5"/>
        <v>#N/A</v>
      </c>
    </row>
    <row r="30" spans="1:29" ht="15">
      <c r="A30" s="616"/>
      <c r="B30" s="614" t="s">
        <v>2546</v>
      </c>
      <c r="C30" s="617"/>
      <c r="D30" s="398">
        <v>100</v>
      </c>
      <c r="E30" s="617"/>
      <c r="F30" s="424">
        <f>SUMIF(88:88,E30,89:89)-SUMIF(88:88,C30,89:89)+100</f>
        <v>100</v>
      </c>
      <c r="G30" s="617"/>
      <c r="H30" s="398">
        <f>SUMIF(88:88,E30,89:89)-SUMIF(88:88,C30,89:89)+100</f>
        <v>100</v>
      </c>
      <c r="I30" s="617"/>
      <c r="J30" s="398">
        <f>SUMIF(88:88,E30,89:89)-SUMIF(88:88,C30,89:89)+100</f>
        <v>100</v>
      </c>
      <c r="K30" s="573"/>
      <c r="L30" s="2954"/>
      <c r="M30" s="2948"/>
      <c r="N30" s="2948"/>
      <c r="O30" s="2948"/>
      <c r="P30" s="3404"/>
      <c r="Q30" s="1542" t="str">
        <f t="shared" si="11"/>
        <v>物业等级</v>
      </c>
      <c r="R30" s="718" t="s">
        <v>17</v>
      </c>
      <c r="S30" s="719">
        <f t="shared" si="12"/>
        <v>100</v>
      </c>
      <c r="T30" s="718" t="s">
        <v>17</v>
      </c>
      <c r="U30" s="719">
        <f t="shared" si="13"/>
        <v>100</v>
      </c>
      <c r="V30" s="718" t="s">
        <v>17</v>
      </c>
      <c r="W30" s="719">
        <f t="shared" si="14"/>
        <v>100</v>
      </c>
      <c r="X30" s="1545"/>
      <c r="Y30" s="3404"/>
      <c r="Z30" s="1546" t="str">
        <f t="shared" si="15"/>
        <v>物业等级</v>
      </c>
      <c r="AA30" s="1543">
        <f t="shared" si="3"/>
        <v>1</v>
      </c>
      <c r="AB30" s="1543">
        <f t="shared" si="4"/>
        <v>1</v>
      </c>
      <c r="AC30" s="1543">
        <f t="shared" si="5"/>
        <v>1</v>
      </c>
    </row>
    <row r="31" spans="1:29" s="117" customFormat="1" ht="15">
      <c r="A31" s="618"/>
      <c r="B31" s="614" t="s">
        <v>2547</v>
      </c>
      <c r="C31" s="432"/>
      <c r="D31" s="136">
        <v>100</v>
      </c>
      <c r="E31" s="432"/>
      <c r="F31" s="424" t="e">
        <f>LOOKUP(E31,91:91,92:92)-LOOKUP(C31,91:91,92:92)+100</f>
        <v>#N/A</v>
      </c>
      <c r="G31" s="432"/>
      <c r="H31" s="398" t="e">
        <f>LOOKUP(G31,91:91,92:92)-LOOKUP(C31,91:91,92:92)+100</f>
        <v>#N/A</v>
      </c>
      <c r="I31" s="432"/>
      <c r="J31" s="398" t="e">
        <f>LOOKUP(I31,91:91,92:92)-LOOKUP(C31,91:91,92:92)+100</f>
        <v>#N/A</v>
      </c>
      <c r="K31" s="573"/>
      <c r="L31" s="2949"/>
      <c r="M31" s="2950"/>
      <c r="N31" s="2950"/>
      <c r="O31" s="2950"/>
      <c r="P31" s="3404"/>
      <c r="Q31" s="1533" t="str">
        <f t="shared" si="11"/>
        <v>停车位面积</v>
      </c>
      <c r="R31" s="714" t="s">
        <v>17</v>
      </c>
      <c r="S31" s="715" t="e">
        <f t="shared" si="12"/>
        <v>#N/A</v>
      </c>
      <c r="T31" s="714" t="s">
        <v>17</v>
      </c>
      <c r="U31" s="715" t="e">
        <f t="shared" si="13"/>
        <v>#N/A</v>
      </c>
      <c r="V31" s="714" t="s">
        <v>17</v>
      </c>
      <c r="W31" s="715" t="e">
        <f t="shared" si="14"/>
        <v>#N/A</v>
      </c>
      <c r="X31" s="716"/>
      <c r="Y31" s="3404"/>
      <c r="Z31" s="55" t="str">
        <f t="shared" si="15"/>
        <v>停车位面积</v>
      </c>
      <c r="AA31" s="717" t="e">
        <f t="shared" si="3"/>
        <v>#N/A</v>
      </c>
      <c r="AB31" s="717" t="e">
        <f t="shared" si="4"/>
        <v>#N/A</v>
      </c>
      <c r="AC31" s="717" t="e">
        <f t="shared" si="5"/>
        <v>#N/A</v>
      </c>
    </row>
    <row r="32" spans="1:29" ht="15">
      <c r="A32" s="616"/>
      <c r="B32" s="614" t="s">
        <v>2548</v>
      </c>
      <c r="C32" s="423"/>
      <c r="D32" s="398">
        <v>100</v>
      </c>
      <c r="E32" s="423"/>
      <c r="F32" s="424">
        <f>SUMIF(93:93,E32,94:94)-SUMIF(93:93,C32,94:94)+100</f>
        <v>100</v>
      </c>
      <c r="G32" s="423"/>
      <c r="H32" s="398">
        <f>SUMIF(93:93,G32,94:94)-SUMIF(93:93,C32,94:94)+100</f>
        <v>100</v>
      </c>
      <c r="I32" s="423"/>
      <c r="J32" s="398">
        <f>SUMIF(93:93,I32,94:94)-SUMIF(93:93,C32,94:94)+100</f>
        <v>100</v>
      </c>
      <c r="K32" s="573"/>
      <c r="L32" s="2954"/>
      <c r="M32" s="2948"/>
      <c r="N32" s="2948"/>
      <c r="O32" s="2948"/>
      <c r="P32" s="3404" t="s">
        <v>2395</v>
      </c>
      <c r="Q32" s="1542" t="str">
        <f t="shared" si="11"/>
        <v>车位类型</v>
      </c>
      <c r="R32" s="718" t="s">
        <v>17</v>
      </c>
      <c r="S32" s="719">
        <f t="shared" si="12"/>
        <v>100</v>
      </c>
      <c r="T32" s="718" t="s">
        <v>17</v>
      </c>
      <c r="U32" s="719">
        <f t="shared" si="13"/>
        <v>100</v>
      </c>
      <c r="V32" s="718" t="s">
        <v>17</v>
      </c>
      <c r="W32" s="719">
        <f t="shared" si="14"/>
        <v>100</v>
      </c>
      <c r="X32" s="1545"/>
      <c r="Y32" s="3404" t="s">
        <v>2395</v>
      </c>
      <c r="Z32" s="1546" t="str">
        <f t="shared" si="15"/>
        <v>车位类型</v>
      </c>
      <c r="AA32" s="1543">
        <f t="shared" si="3"/>
        <v>1</v>
      </c>
      <c r="AB32" s="1543">
        <f t="shared" si="4"/>
        <v>1</v>
      </c>
      <c r="AC32" s="1543">
        <f t="shared" si="5"/>
        <v>1</v>
      </c>
    </row>
    <row r="33" spans="1:29" ht="15">
      <c r="A33" s="616"/>
      <c r="B33" s="614" t="s">
        <v>2549</v>
      </c>
      <c r="C33" s="423"/>
      <c r="D33" s="398">
        <v>100</v>
      </c>
      <c r="E33" s="423"/>
      <c r="F33" s="424">
        <f>SUMIF(95:95,E33,96:96)-SUMIF(95:95,C33,96:96)+100</f>
        <v>100</v>
      </c>
      <c r="G33" s="423"/>
      <c r="H33" s="398">
        <f>SUMIF(95:95,G33,96:96)-SUMIF(95:95,C33,96:96)+100</f>
        <v>100</v>
      </c>
      <c r="I33" s="423"/>
      <c r="J33" s="398">
        <f>SUMIF(95:95,I33,96:96)-SUMIF(95:95,C33,96:96)+100</f>
        <v>100</v>
      </c>
      <c r="K33" s="573"/>
      <c r="L33" s="2954"/>
      <c r="M33" s="2948"/>
      <c r="N33" s="2948"/>
      <c r="O33" s="2948"/>
      <c r="P33" s="3404"/>
      <c r="Q33" s="1542" t="str">
        <f t="shared" si="11"/>
        <v>是否直接入户</v>
      </c>
      <c r="R33" s="718" t="s">
        <v>17</v>
      </c>
      <c r="S33" s="719">
        <f t="shared" si="12"/>
        <v>100</v>
      </c>
      <c r="T33" s="718" t="s">
        <v>17</v>
      </c>
      <c r="U33" s="719">
        <f t="shared" si="13"/>
        <v>100</v>
      </c>
      <c r="V33" s="718" t="s">
        <v>17</v>
      </c>
      <c r="W33" s="719">
        <f t="shared" si="14"/>
        <v>100</v>
      </c>
      <c r="X33" s="1545"/>
      <c r="Y33" s="3404"/>
      <c r="Z33" s="1546" t="str">
        <f t="shared" si="15"/>
        <v>是否直接入户</v>
      </c>
      <c r="AA33" s="1543">
        <f t="shared" si="3"/>
        <v>1</v>
      </c>
      <c r="AB33" s="1543">
        <f t="shared" si="4"/>
        <v>1</v>
      </c>
      <c r="AC33" s="1543">
        <f t="shared" si="5"/>
        <v>1</v>
      </c>
    </row>
    <row r="34" spans="1:29" ht="15">
      <c r="A34" s="616"/>
      <c r="B34" s="608">
        <v>111</v>
      </c>
      <c r="C34" s="395"/>
      <c r="D34" s="398">
        <v>100</v>
      </c>
      <c r="E34" s="395"/>
      <c r="F34" s="424">
        <f>SUMIF(97:97,E34,98:98)-SUMIF(97:97,C34,98:98)+100</f>
        <v>100</v>
      </c>
      <c r="G34" s="395"/>
      <c r="H34" s="398">
        <f>SUMIF(97:97,G34,98:98)-SUMIF(97:97,C34,98:98)+100</f>
        <v>100</v>
      </c>
      <c r="I34" s="395"/>
      <c r="J34" s="398">
        <f>SUMIF(97:97,I34,98:98)-SUMIF(97:97,C34,98:98)+100</f>
        <v>100</v>
      </c>
      <c r="K34" s="574"/>
      <c r="L34" s="2954"/>
      <c r="M34" s="2948"/>
      <c r="N34" s="2948"/>
      <c r="O34" s="2948"/>
      <c r="P34" s="3404"/>
      <c r="Q34" s="1542">
        <f t="shared" si="11"/>
        <v>111</v>
      </c>
      <c r="R34" s="718" t="s">
        <v>17</v>
      </c>
      <c r="S34" s="719">
        <f t="shared" si="12"/>
        <v>100</v>
      </c>
      <c r="T34" s="718" t="s">
        <v>17</v>
      </c>
      <c r="U34" s="719">
        <f t="shared" si="13"/>
        <v>100</v>
      </c>
      <c r="V34" s="718" t="s">
        <v>17</v>
      </c>
      <c r="W34" s="719">
        <f t="shared" si="14"/>
        <v>100</v>
      </c>
      <c r="X34" s="1545"/>
      <c r="Y34" s="3404"/>
      <c r="Z34" s="1546">
        <f t="shared" si="15"/>
        <v>111</v>
      </c>
      <c r="AA34" s="1543">
        <f t="shared" si="3"/>
        <v>1</v>
      </c>
      <c r="AB34" s="1543">
        <f t="shared" si="4"/>
        <v>1</v>
      </c>
      <c r="AC34" s="1543">
        <f t="shared" si="5"/>
        <v>1</v>
      </c>
    </row>
    <row r="35" spans="1:29" s="434" customFormat="1" ht="15">
      <c r="A35" s="613"/>
      <c r="B35" s="608">
        <v>111</v>
      </c>
      <c r="C35" s="395"/>
      <c r="D35" s="398">
        <v>100</v>
      </c>
      <c r="E35" s="395"/>
      <c r="F35" s="424">
        <f>SUMIF(99:99,E35,100:100)-SUMIF(99:99,C35,100:100)+100</f>
        <v>100</v>
      </c>
      <c r="G35" s="395"/>
      <c r="H35" s="398">
        <f>SUMIF(99:99,G35,100:100)-SUMIF(99:99,C35,100:100)+100</f>
        <v>100</v>
      </c>
      <c r="I35" s="395"/>
      <c r="J35" s="398">
        <f>SUMIF(99:99,I35,100:100)-SUMIF(99:99,C35,100:100)+100</f>
        <v>100</v>
      </c>
      <c r="K35" s="574"/>
      <c r="L35" s="2953"/>
      <c r="M35" s="2955"/>
      <c r="N35" s="2955"/>
      <c r="O35" s="2955"/>
      <c r="P35" s="3404"/>
      <c r="Q35" s="720">
        <f t="shared" si="11"/>
        <v>111</v>
      </c>
      <c r="R35" s="721" t="s">
        <v>17</v>
      </c>
      <c r="S35" s="722">
        <f t="shared" si="12"/>
        <v>100</v>
      </c>
      <c r="T35" s="721" t="s">
        <v>17</v>
      </c>
      <c r="U35" s="722">
        <f t="shared" si="13"/>
        <v>100</v>
      </c>
      <c r="V35" s="721" t="s">
        <v>17</v>
      </c>
      <c r="W35" s="722">
        <f t="shared" si="14"/>
        <v>100</v>
      </c>
      <c r="X35" s="723"/>
      <c r="Y35" s="3404"/>
      <c r="Z35" s="724">
        <f t="shared" si="15"/>
        <v>111</v>
      </c>
      <c r="AA35" s="1543">
        <f t="shared" si="3"/>
        <v>1</v>
      </c>
      <c r="AB35" s="1543">
        <f t="shared" si="4"/>
        <v>1</v>
      </c>
      <c r="AC35" s="1543">
        <f t="shared" si="5"/>
        <v>1</v>
      </c>
    </row>
    <row r="36" spans="1:29" ht="15.6" thickBot="1">
      <c r="A36" s="619"/>
      <c r="B36" s="595">
        <v>111</v>
      </c>
      <c r="C36" s="397"/>
      <c r="D36" s="398">
        <v>100</v>
      </c>
      <c r="E36" s="395"/>
      <c r="F36" s="424">
        <f>SUMIF(101:101,E36,102:102)-SUMIF(101:101,C36,102:102)+100</f>
        <v>100</v>
      </c>
      <c r="G36" s="395"/>
      <c r="H36" s="398">
        <f>SUMIF(101:101,G36,102:102)-SUMIF(101:101,C36,102:102)+100</f>
        <v>100</v>
      </c>
      <c r="I36" s="395"/>
      <c r="J36" s="398">
        <f>SUMIF(101:101,I36,102:102)-SUMIF(101:101,C36,102:102)+100</f>
        <v>100</v>
      </c>
      <c r="K36" s="574"/>
      <c r="L36" s="2954"/>
      <c r="M36" s="2948"/>
      <c r="N36" s="2948"/>
      <c r="O36" s="2948"/>
      <c r="P36" s="3404"/>
      <c r="Q36" s="1542">
        <f t="shared" si="11"/>
        <v>111</v>
      </c>
      <c r="R36" s="718" t="s">
        <v>17</v>
      </c>
      <c r="S36" s="719">
        <f t="shared" si="12"/>
        <v>100</v>
      </c>
      <c r="T36" s="718" t="s">
        <v>17</v>
      </c>
      <c r="U36" s="719">
        <f t="shared" si="13"/>
        <v>100</v>
      </c>
      <c r="V36" s="718" t="s">
        <v>17</v>
      </c>
      <c r="W36" s="719">
        <f t="shared" si="14"/>
        <v>100</v>
      </c>
      <c r="X36" s="1545"/>
      <c r="Y36" s="3404"/>
      <c r="Z36" s="1546">
        <f t="shared" si="15"/>
        <v>111</v>
      </c>
      <c r="AA36" s="1543">
        <f t="shared" si="3"/>
        <v>1</v>
      </c>
      <c r="AB36" s="1543">
        <f t="shared" si="4"/>
        <v>1</v>
      </c>
      <c r="AC36" s="1543">
        <f t="shared" si="5"/>
        <v>1</v>
      </c>
    </row>
    <row r="37" spans="1:29" ht="14.4">
      <c r="A37" s="442" t="s">
        <v>2550</v>
      </c>
      <c r="B37" s="2165" t="s">
        <v>2551</v>
      </c>
      <c r="C37" s="1320" t="s">
        <v>1</v>
      </c>
      <c r="D37" s="1321"/>
      <c r="E37" s="1322"/>
      <c r="F37" s="1323"/>
      <c r="G37" s="1324"/>
      <c r="H37" s="1325"/>
      <c r="I37" s="1322"/>
      <c r="J37" s="1325"/>
      <c r="K37" s="580"/>
      <c r="L37" s="2956"/>
      <c r="M37" s="2957"/>
      <c r="N37" s="2948"/>
      <c r="O37" s="2957"/>
      <c r="P37" s="3397" t="str">
        <f>A37</f>
        <v>成交单价</v>
      </c>
      <c r="Q37" s="3397"/>
      <c r="R37" s="3398">
        <f>E37</f>
        <v>0</v>
      </c>
      <c r="S37" s="3398"/>
      <c r="T37" s="3398">
        <f>G37</f>
        <v>0</v>
      </c>
      <c r="U37" s="3398"/>
      <c r="V37" s="3398">
        <f>I37</f>
        <v>0</v>
      </c>
      <c r="W37" s="3398"/>
      <c r="X37" s="703"/>
      <c r="Y37" s="725"/>
      <c r="Z37" s="703"/>
      <c r="AA37" s="703"/>
      <c r="AB37" s="703"/>
      <c r="AC37" s="703"/>
    </row>
    <row r="38" spans="1:29" ht="15" thickBot="1">
      <c r="A38" s="449" t="s">
        <v>2552</v>
      </c>
      <c r="B38" s="450" t="str">
        <f>B37</f>
        <v>元/车位</v>
      </c>
      <c r="C38" s="1326" t="e">
        <f>R39</f>
        <v>#DIV/0!</v>
      </c>
      <c r="D38" s="2544" t="s">
        <v>2891</v>
      </c>
      <c r="E38" s="1327" t="e">
        <f>R38</f>
        <v>#DIV/0!</v>
      </c>
      <c r="F38" s="2545"/>
      <c r="G38" s="1326" t="e">
        <f>T38</f>
        <v>#DIV/0!</v>
      </c>
      <c r="H38" s="2545"/>
      <c r="I38" s="1327" t="e">
        <f>V38</f>
        <v>#DIV/0!</v>
      </c>
      <c r="J38" s="2545"/>
      <c r="K38" s="2547">
        <f>F38+H38+J38</f>
        <v>0</v>
      </c>
      <c r="L38" s="2956"/>
      <c r="M38" s="2957"/>
      <c r="N38" s="2957"/>
      <c r="O38" s="2957"/>
      <c r="P38" s="3397" t="str">
        <f>A38</f>
        <v>比较价值（元/平方米）</v>
      </c>
      <c r="Q38" s="3397"/>
      <c r="R38" s="3398" t="e">
        <f>IF(F1="售价",ROUND(PRODUCT(R37,AA7:AA36),0),ROUND(PRODUCT(R37,AA7:AA36),1))</f>
        <v>#DIV/0!</v>
      </c>
      <c r="S38" s="3398"/>
      <c r="T38" s="3398" t="e">
        <f>IF(F1="售价",ROUND(PRODUCT(T37,AB7:AB36),0),ROUND(PRODUCT(T37,AB7:AB36),1))</f>
        <v>#DIV/0!</v>
      </c>
      <c r="U38" s="3398"/>
      <c r="V38" s="3398" t="e">
        <f>IF(F1="售价",ROUND(PRODUCT(V37,AC7:AC36),0),ROUND(PRODUCT(V37,AC7:AC36),1))</f>
        <v>#DIV/0!</v>
      </c>
      <c r="W38" s="3398"/>
      <c r="X38" s="703"/>
      <c r="Y38" s="703"/>
      <c r="Z38" s="703"/>
      <c r="AA38" s="703"/>
      <c r="AB38" s="703"/>
      <c r="AC38" s="703"/>
    </row>
    <row r="39" spans="1:29" ht="15" thickBot="1">
      <c r="A39" s="453" t="s">
        <v>2553</v>
      </c>
      <c r="B39" s="454"/>
      <c r="C39" s="1329" t="e">
        <f>R39</f>
        <v>#DIV/0!</v>
      </c>
      <c r="D39" s="1329"/>
      <c r="E39" s="1329"/>
      <c r="F39" s="1329"/>
      <c r="G39" s="1329"/>
      <c r="H39" s="1329"/>
      <c r="I39" s="1329"/>
      <c r="J39" s="1329"/>
      <c r="K39" s="581"/>
      <c r="L39" s="2956"/>
      <c r="M39" s="2957"/>
      <c r="N39" s="2957"/>
      <c r="O39" s="2957"/>
      <c r="P39" s="3394" t="str">
        <f>A39</f>
        <v>估价对象XX用房的比较价值（楼面单价，元/平方米）</v>
      </c>
      <c r="Q39" s="3395"/>
      <c r="R39" s="3424" t="e">
        <f>IF(F1="售价",ROUND(IF(D38="简单平均",AVERAGE(R38:W38),R38*F38+T38*H38+V38*J38),0),ROUND(IF(D38="简单平均",AVERAGE(R38:V38),R38*F38+T38*H38+V38*J38),1))</f>
        <v>#DIV/0!</v>
      </c>
      <c r="S39" s="3424"/>
      <c r="T39" s="3424"/>
      <c r="U39" s="3424"/>
      <c r="V39" s="3424"/>
      <c r="W39" s="3424"/>
      <c r="X39" s="703"/>
      <c r="Y39" s="703"/>
      <c r="Z39" s="703"/>
      <c r="AA39" s="703"/>
      <c r="AB39" s="703"/>
      <c r="AC39" s="703"/>
    </row>
    <row r="40" spans="1:29">
      <c r="A40" s="2957"/>
      <c r="B40" s="2957"/>
      <c r="C40" s="2957"/>
      <c r="D40" s="2957"/>
      <c r="E40" s="2957"/>
      <c r="F40" s="2957"/>
      <c r="G40" s="2961"/>
      <c r="H40" s="2957"/>
      <c r="I40" s="2957"/>
      <c r="J40" s="2957"/>
      <c r="K40" s="2962"/>
      <c r="L40" s="2958"/>
      <c r="M40" s="2957"/>
      <c r="N40" s="2957"/>
      <c r="O40" s="2957"/>
      <c r="P40" s="2988"/>
      <c r="Q40" s="2957"/>
      <c r="R40" s="2957"/>
      <c r="S40" s="2957"/>
      <c r="T40" s="2957"/>
      <c r="U40" s="2957"/>
      <c r="V40" s="2957"/>
      <c r="W40" s="2957"/>
      <c r="X40" s="2957"/>
      <c r="Y40" s="2957"/>
      <c r="Z40" s="2957"/>
      <c r="AA40" s="2957"/>
      <c r="AB40" s="2957"/>
      <c r="AC40" s="2957"/>
    </row>
    <row r="41" spans="1:29">
      <c r="A41" s="2957"/>
      <c r="B41" s="2957"/>
      <c r="C41" s="2957"/>
      <c r="D41" s="2957"/>
      <c r="E41" s="2957"/>
      <c r="F41" s="2957"/>
      <c r="G41" s="2957"/>
      <c r="H41" s="2957"/>
      <c r="I41" s="2957"/>
      <c r="J41" s="2957"/>
      <c r="K41" s="2962"/>
      <c r="L41" s="2958"/>
      <c r="M41" s="2957"/>
      <c r="N41" s="2957"/>
      <c r="O41" s="2957"/>
      <c r="P41" s="2988"/>
      <c r="Q41" s="2957"/>
      <c r="R41" s="2957"/>
      <c r="S41" s="2957"/>
      <c r="T41" s="2957"/>
      <c r="U41" s="2957"/>
      <c r="V41" s="2957"/>
      <c r="W41" s="2957"/>
      <c r="X41" s="2957"/>
      <c r="Y41" s="2957"/>
      <c r="Z41" s="2957"/>
      <c r="AA41" s="2957"/>
      <c r="AB41" s="2957"/>
      <c r="AC41" s="2957"/>
    </row>
    <row r="42" spans="1:29" ht="13.5" customHeight="1">
      <c r="A42" s="2957"/>
      <c r="B42" s="2957"/>
      <c r="C42" s="458" t="s">
        <v>2554</v>
      </c>
      <c r="D42" s="459"/>
      <c r="E42" s="460" t="e">
        <f>IF(E37&lt;E38,E38/E37-1,E37/E38-1)</f>
        <v>#DIV/0!</v>
      </c>
      <c r="F42" s="461" t="e">
        <f>IF(OR(E42&gt;=0.3,E42&lt;=-0.3),"超过30%","")</f>
        <v>#DIV/0!</v>
      </c>
      <c r="G42" s="460" t="e">
        <f>IF(G37&lt;G38,G38/G37-1,G37/G38-1)</f>
        <v>#DIV/0!</v>
      </c>
      <c r="H42" s="461" t="e">
        <f>IF(OR(G42&gt;=0.3,G42&lt;=-0.3),"超过30%","")</f>
        <v>#DIV/0!</v>
      </c>
      <c r="I42" s="460" t="e">
        <f>IF(I37&lt;I38,I38/I37-1,I37/I38-1)</f>
        <v>#DIV/0!</v>
      </c>
      <c r="J42" s="461" t="e">
        <f>IF(OR(I42&gt;=0.3,I42&lt;=-0.3),"超过30%","")</f>
        <v>#DIV/0!</v>
      </c>
      <c r="K42" s="2962"/>
      <c r="L42" s="2958"/>
      <c r="M42" s="2957"/>
      <c r="N42" s="2957"/>
      <c r="O42" s="2957"/>
      <c r="P42" s="2988"/>
      <c r="Q42" s="2957"/>
      <c r="R42" s="2957"/>
      <c r="S42" s="2957"/>
      <c r="T42" s="2957"/>
      <c r="U42" s="2957"/>
      <c r="V42" s="2957"/>
      <c r="W42" s="2957"/>
      <c r="X42" s="2957"/>
      <c r="Y42" s="2957"/>
      <c r="Z42" s="2957"/>
      <c r="AA42" s="2957"/>
      <c r="AB42" s="2957"/>
      <c r="AC42" s="2957"/>
    </row>
    <row r="43" spans="1:29" ht="13.5" customHeight="1">
      <c r="A43" s="2957"/>
      <c r="B43" s="2957"/>
      <c r="C43" s="458" t="s">
        <v>2555</v>
      </c>
      <c r="D43" s="462"/>
      <c r="E43" s="460" t="e">
        <f>IF(E38&lt;G38,G38/E38-1,E38/G38-1)</f>
        <v>#DIV/0!</v>
      </c>
      <c r="F43" s="461" t="e">
        <f>IF(OR(E43&gt;=0.2,E43&lt;=-0.2),"超过20%","")</f>
        <v>#DIV/0!</v>
      </c>
      <c r="G43" s="460" t="e">
        <f>IF(G38&lt;I38,I38/G38-1,G38/I38-1)</f>
        <v>#DIV/0!</v>
      </c>
      <c r="H43" s="461" t="e">
        <f>IF(OR(G43&gt;=0.2,G43&lt;=-0.2),"超过20%","")</f>
        <v>#DIV/0!</v>
      </c>
      <c r="I43" s="460" t="e">
        <f>IF(I38&lt;E38,E38/I38-1,I38/E38-1)</f>
        <v>#DIV/0!</v>
      </c>
      <c r="J43" s="461" t="e">
        <f>IF(OR(I43&gt;=0.2,I43&lt;=-0.2),"超过20%","")</f>
        <v>#DIV/0!</v>
      </c>
      <c r="K43" s="2962"/>
      <c r="L43" s="2958"/>
      <c r="M43" s="2957"/>
      <c r="N43" s="2957"/>
      <c r="O43" s="2957"/>
      <c r="P43" s="2988"/>
      <c r="Q43" s="2957"/>
      <c r="R43" s="2957"/>
      <c r="S43" s="2957"/>
      <c r="T43" s="2957"/>
      <c r="U43" s="2957"/>
      <c r="V43" s="2957"/>
      <c r="W43" s="2957"/>
      <c r="X43" s="2957"/>
      <c r="Y43" s="2957"/>
      <c r="Z43" s="2957"/>
      <c r="AA43" s="2957"/>
      <c r="AB43" s="2957"/>
      <c r="AC43" s="2957"/>
    </row>
    <row r="44" spans="1:29" s="463" customFormat="1" ht="13.5" customHeight="1">
      <c r="A44" s="2960"/>
      <c r="B44" s="2960"/>
      <c r="C44" s="458" t="s">
        <v>2556</v>
      </c>
      <c r="D44" s="462"/>
      <c r="E44" s="460" t="e">
        <f>IF(E37&lt;G37,G37/E37-1,E37/G37-1)</f>
        <v>#DIV/0!</v>
      </c>
      <c r="F44" s="461" t="e">
        <f>IF(OR(E44&gt;=0.3,E44&lt;=-0.3),"超过30%","")</f>
        <v>#DIV/0!</v>
      </c>
      <c r="G44" s="460" t="e">
        <f>IF(G37&lt;I37,I37/G37-1,G37/I37-1)</f>
        <v>#DIV/0!</v>
      </c>
      <c r="H44" s="461" t="e">
        <f>IF(OR(G44&gt;=0.3,G44&lt;=-0.3),"超过30%","")</f>
        <v>#DIV/0!</v>
      </c>
      <c r="I44" s="460" t="e">
        <f>IF(I37&lt;E37,E37/I37-1,I37/E37-1)</f>
        <v>#DIV/0!</v>
      </c>
      <c r="J44" s="461" t="e">
        <f>IF(OR(I44&gt;=0.3,I44&lt;=-0.3),"超过30%","")</f>
        <v>#DIV/0!</v>
      </c>
      <c r="K44" s="2965"/>
      <c r="L44" s="2959"/>
      <c r="M44" s="2960"/>
      <c r="N44" s="2960"/>
      <c r="O44" s="2960"/>
      <c r="P44" s="2989"/>
      <c r="Q44" s="2960"/>
      <c r="R44" s="2960"/>
      <c r="S44" s="2960"/>
      <c r="T44" s="2960"/>
      <c r="U44" s="2960"/>
      <c r="V44" s="2960"/>
      <c r="W44" s="2960"/>
      <c r="X44" s="2960"/>
      <c r="Y44" s="2960"/>
      <c r="Z44" s="2960"/>
      <c r="AA44" s="2960"/>
      <c r="AB44" s="2960"/>
      <c r="AC44" s="2960"/>
    </row>
    <row r="45" spans="1:29" s="463" customFormat="1">
      <c r="A45" s="2960"/>
      <c r="B45" s="2963"/>
      <c r="C45" s="2964"/>
      <c r="D45" s="2960"/>
      <c r="E45" s="2960"/>
      <c r="F45" s="2960"/>
      <c r="G45" s="2960"/>
      <c r="H45" s="2960"/>
      <c r="I45" s="2960"/>
      <c r="J45" s="2960"/>
      <c r="K45" s="2965"/>
      <c r="L45" s="2959"/>
      <c r="M45" s="2960"/>
      <c r="N45" s="2960"/>
      <c r="O45" s="2960"/>
      <c r="P45" s="2989"/>
      <c r="Q45" s="2960"/>
      <c r="R45" s="2960"/>
      <c r="S45" s="2960"/>
      <c r="T45" s="2960"/>
      <c r="U45" s="2960"/>
      <c r="V45" s="2960"/>
      <c r="W45" s="2960"/>
      <c r="X45" s="2960"/>
      <c r="Y45" s="2960"/>
      <c r="Z45" s="2960"/>
      <c r="AA45" s="2960"/>
      <c r="AB45" s="2960"/>
      <c r="AC45" s="2960"/>
    </row>
    <row r="46" spans="1:29">
      <c r="A46" s="2957"/>
      <c r="B46" s="2963"/>
      <c r="C46" s="2964"/>
      <c r="D46" s="2957"/>
      <c r="E46" s="2957"/>
      <c r="F46" s="2957"/>
      <c r="G46" s="2957"/>
      <c r="H46" s="2957"/>
      <c r="I46" s="2957"/>
      <c r="J46" s="2957"/>
      <c r="K46" s="2962"/>
      <c r="L46" s="2958"/>
      <c r="M46" s="2957"/>
      <c r="N46" s="2957"/>
      <c r="O46" s="2957"/>
      <c r="P46" s="2988"/>
      <c r="Q46" s="2957"/>
      <c r="R46" s="2957"/>
      <c r="S46" s="2957"/>
      <c r="T46" s="2957"/>
      <c r="U46" s="2957"/>
      <c r="V46" s="2957"/>
      <c r="W46" s="2957"/>
      <c r="X46" s="2957"/>
      <c r="Y46" s="2957"/>
      <c r="Z46" s="2957"/>
      <c r="AA46" s="2957"/>
      <c r="AB46" s="2957"/>
      <c r="AC46" s="2957"/>
    </row>
    <row r="47" spans="1:29" ht="22.2" thickBot="1">
      <c r="A47" s="1332" t="s">
        <v>2557</v>
      </c>
      <c r="B47" s="1062"/>
      <c r="C47" s="1075"/>
      <c r="D47" s="1075"/>
      <c r="E47" s="1075"/>
      <c r="F47" s="1333"/>
      <c r="G47" s="1333"/>
      <c r="H47" s="1075"/>
      <c r="I47" s="1075"/>
      <c r="J47" s="1075"/>
      <c r="K47" s="1076"/>
      <c r="L47" s="1077"/>
      <c r="M47" s="1075"/>
      <c r="N47" s="3001"/>
      <c r="O47" s="3001"/>
      <c r="P47" s="2990"/>
      <c r="Q47" s="2971"/>
      <c r="R47" s="2957"/>
      <c r="S47" s="2957"/>
      <c r="T47" s="2957"/>
      <c r="U47" s="2957"/>
      <c r="V47" s="2957"/>
      <c r="W47" s="2957"/>
      <c r="X47" s="2957"/>
      <c r="Y47" s="2957"/>
      <c r="Z47" s="2957"/>
      <c r="AA47" s="2957"/>
      <c r="AB47" s="2957"/>
      <c r="AC47" s="2957"/>
    </row>
    <row r="48" spans="1:29" s="469" customFormat="1" ht="14.4">
      <c r="A48" s="466" t="s">
        <v>2558</v>
      </c>
      <c r="B48" s="467"/>
      <c r="C48" s="1350" t="str">
        <f>YEAR(C7)&amp;"-"&amp;MONTH(C7)</f>
        <v>2020-8</v>
      </c>
      <c r="D48" s="1351">
        <f>EDATE(C48,-1)</f>
        <v>44013</v>
      </c>
      <c r="E48" s="1351">
        <f t="shared" ref="E48:O48" si="16">EDATE(D48,-1)</f>
        <v>43983</v>
      </c>
      <c r="F48" s="1351">
        <f t="shared" si="16"/>
        <v>43952</v>
      </c>
      <c r="G48" s="1351">
        <f t="shared" si="16"/>
        <v>43922</v>
      </c>
      <c r="H48" s="1351">
        <f t="shared" si="16"/>
        <v>43891</v>
      </c>
      <c r="I48" s="1351">
        <f t="shared" si="16"/>
        <v>43862</v>
      </c>
      <c r="J48" s="1351">
        <f t="shared" si="16"/>
        <v>43831</v>
      </c>
      <c r="K48" s="1351">
        <f t="shared" si="16"/>
        <v>43800</v>
      </c>
      <c r="L48" s="1351">
        <f t="shared" si="16"/>
        <v>43770</v>
      </c>
      <c r="M48" s="1351">
        <f t="shared" si="16"/>
        <v>43739</v>
      </c>
      <c r="N48" s="1351">
        <f t="shared" si="16"/>
        <v>43709</v>
      </c>
      <c r="O48" s="1351">
        <f t="shared" si="16"/>
        <v>43678</v>
      </c>
      <c r="P48" s="2991"/>
      <c r="Q48" s="2973"/>
      <c r="R48" s="2973"/>
      <c r="S48" s="2973"/>
      <c r="T48" s="2973"/>
      <c r="U48" s="2973"/>
      <c r="V48" s="2973"/>
      <c r="W48" s="2973"/>
      <c r="X48" s="2973"/>
      <c r="Y48" s="2973"/>
      <c r="Z48" s="2973"/>
      <c r="AA48" s="2973"/>
      <c r="AB48" s="2973"/>
      <c r="AC48" s="2973"/>
    </row>
    <row r="49" spans="1:29" s="117" customFormat="1">
      <c r="A49" s="470"/>
      <c r="B49" s="471"/>
      <c r="C49" s="1343">
        <v>100</v>
      </c>
      <c r="D49" s="473"/>
      <c r="E49" s="473"/>
      <c r="F49" s="473"/>
      <c r="G49" s="473"/>
      <c r="H49" s="473"/>
      <c r="I49" s="473"/>
      <c r="J49" s="473"/>
      <c r="K49" s="473"/>
      <c r="L49" s="473"/>
      <c r="M49" s="474"/>
      <c r="N49" s="473"/>
      <c r="O49" s="474"/>
      <c r="P49" s="2992"/>
      <c r="Q49" s="2889"/>
      <c r="R49" s="2889"/>
      <c r="S49" s="2889"/>
      <c r="T49" s="2889"/>
      <c r="U49" s="2889"/>
      <c r="V49" s="2889"/>
      <c r="W49" s="2889"/>
      <c r="X49" s="2889"/>
      <c r="Y49" s="2889"/>
      <c r="Z49" s="2889"/>
      <c r="AA49" s="2889"/>
      <c r="AB49" s="2889"/>
      <c r="AC49" s="2889"/>
    </row>
    <row r="50" spans="1:29" s="117" customFormat="1" ht="15" thickBot="1">
      <c r="A50" s="476" t="s">
        <v>2415</v>
      </c>
      <c r="B50" s="477"/>
      <c r="C50" s="478"/>
      <c r="D50" s="479"/>
      <c r="E50" s="479"/>
      <c r="F50" s="479"/>
      <c r="G50" s="479"/>
      <c r="H50" s="479"/>
      <c r="I50" s="479"/>
      <c r="J50" s="479"/>
      <c r="K50" s="479"/>
      <c r="L50" s="479"/>
      <c r="M50" s="480"/>
      <c r="N50" s="479"/>
      <c r="O50" s="480"/>
      <c r="P50" s="2992"/>
      <c r="Q50" s="2971"/>
      <c r="R50" s="2889"/>
      <c r="S50" s="2889"/>
      <c r="T50" s="2889"/>
      <c r="U50" s="2889"/>
      <c r="V50" s="2889"/>
      <c r="W50" s="2889"/>
      <c r="X50" s="2889"/>
      <c r="Y50" s="2889"/>
      <c r="Z50" s="2889"/>
      <c r="AA50" s="2889"/>
      <c r="AB50" s="2889"/>
      <c r="AC50" s="2889"/>
    </row>
    <row r="51" spans="1:29" s="117" customFormat="1" ht="14.4">
      <c r="A51" s="482" t="s">
        <v>2380</v>
      </c>
      <c r="B51" s="471"/>
      <c r="C51" s="483" t="s">
        <v>2482</v>
      </c>
      <c r="D51" s="484"/>
      <c r="E51" s="484"/>
      <c r="F51" s="484"/>
      <c r="G51" s="484"/>
      <c r="H51" s="484"/>
      <c r="I51" s="484"/>
      <c r="J51" s="484"/>
      <c r="K51" s="484"/>
      <c r="L51" s="485"/>
      <c r="M51" s="486"/>
      <c r="N51" s="2984"/>
      <c r="O51" s="2984"/>
      <c r="P51" s="2993"/>
      <c r="Q51" s="2971"/>
      <c r="R51" s="2889"/>
      <c r="S51" s="2889"/>
      <c r="T51" s="2889"/>
      <c r="U51" s="2889"/>
      <c r="V51" s="2889"/>
      <c r="W51" s="2889"/>
      <c r="X51" s="2889"/>
      <c r="Y51" s="2889"/>
      <c r="Z51" s="2889"/>
      <c r="AA51" s="2889"/>
      <c r="AB51" s="2889"/>
      <c r="AC51" s="2889"/>
    </row>
    <row r="52" spans="1:29" s="117" customFormat="1" ht="14.4" thickBot="1">
      <c r="A52" s="482"/>
      <c r="B52" s="471"/>
      <c r="C52" s="599">
        <v>100</v>
      </c>
      <c r="D52" s="473"/>
      <c r="E52" s="473"/>
      <c r="F52" s="473"/>
      <c r="G52" s="473"/>
      <c r="H52" s="473"/>
      <c r="I52" s="473"/>
      <c r="J52" s="473"/>
      <c r="K52" s="473"/>
      <c r="L52" s="473"/>
      <c r="M52" s="475"/>
      <c r="N52" s="2984"/>
      <c r="O52" s="2984"/>
      <c r="P52" s="2992"/>
      <c r="Q52" s="2971"/>
      <c r="R52" s="2889"/>
      <c r="S52" s="2889"/>
      <c r="T52" s="2889"/>
      <c r="U52" s="2889"/>
      <c r="V52" s="2889"/>
      <c r="W52" s="2889"/>
      <c r="X52" s="2889"/>
      <c r="Y52" s="2889"/>
      <c r="Z52" s="2889"/>
      <c r="AA52" s="2889"/>
      <c r="AB52" s="2889"/>
      <c r="AC52" s="2889"/>
    </row>
    <row r="53" spans="1:29" ht="14.4">
      <c r="A53" s="488" t="s">
        <v>2418</v>
      </c>
      <c r="B53" s="489" t="s">
        <v>2384</v>
      </c>
      <c r="C53" s="490">
        <f>C9</f>
        <v>0</v>
      </c>
      <c r="D53" s="491"/>
      <c r="E53" s="491"/>
      <c r="F53" s="491"/>
      <c r="G53" s="491"/>
      <c r="H53" s="491"/>
      <c r="I53" s="491"/>
      <c r="J53" s="491"/>
      <c r="K53" s="492"/>
      <c r="L53" s="493"/>
      <c r="M53" s="494"/>
      <c r="N53" s="2985"/>
      <c r="O53" s="2985"/>
      <c r="P53" s="2994"/>
      <c r="Q53" s="2971"/>
      <c r="R53" s="2957"/>
      <c r="S53" s="2957"/>
      <c r="T53" s="2957"/>
      <c r="U53" s="2957"/>
      <c r="V53" s="2957"/>
      <c r="W53" s="2957"/>
      <c r="X53" s="2957"/>
      <c r="Y53" s="2957"/>
      <c r="Z53" s="2957"/>
      <c r="AA53" s="2957"/>
      <c r="AB53" s="2957"/>
      <c r="AC53" s="2957"/>
    </row>
    <row r="54" spans="1:29" ht="14.4" thickBot="1">
      <c r="A54" s="495"/>
      <c r="B54" s="496"/>
      <c r="C54" s="497">
        <v>100</v>
      </c>
      <c r="D54" s="497"/>
      <c r="E54" s="497"/>
      <c r="F54" s="497"/>
      <c r="G54" s="497"/>
      <c r="H54" s="497"/>
      <c r="I54" s="497"/>
      <c r="J54" s="497"/>
      <c r="K54" s="497"/>
      <c r="L54" s="497"/>
      <c r="M54" s="498"/>
      <c r="N54" s="2986"/>
      <c r="O54" s="2986"/>
      <c r="P54" s="2994"/>
      <c r="Q54" s="2971"/>
      <c r="R54" s="2957"/>
      <c r="S54" s="2957"/>
      <c r="T54" s="2957"/>
      <c r="U54" s="2957"/>
      <c r="V54" s="2957"/>
      <c r="W54" s="2957"/>
      <c r="X54" s="2957"/>
      <c r="Y54" s="2957"/>
      <c r="Z54" s="2957"/>
      <c r="AA54" s="2957"/>
      <c r="AB54" s="2957"/>
      <c r="AC54" s="2957"/>
    </row>
    <row r="55" spans="1:29" ht="29.4" thickTop="1">
      <c r="A55" s="495"/>
      <c r="B55" s="499" t="s">
        <v>2387</v>
      </c>
      <c r="C55" s="500" t="s">
        <v>2419</v>
      </c>
      <c r="D55" s="500" t="s">
        <v>2420</v>
      </c>
      <c r="E55" s="500" t="s">
        <v>2421</v>
      </c>
      <c r="F55" s="500" t="s">
        <v>2422</v>
      </c>
      <c r="G55" s="500" t="s">
        <v>2423</v>
      </c>
      <c r="H55" s="500" t="s">
        <v>2424</v>
      </c>
      <c r="I55" s="500" t="s">
        <v>2425</v>
      </c>
      <c r="J55" s="500"/>
      <c r="K55" s="501"/>
      <c r="L55" s="502"/>
      <c r="M55" s="503"/>
      <c r="N55" s="2985"/>
      <c r="O55" s="2985"/>
      <c r="P55" s="2994"/>
      <c r="Q55" s="2971"/>
      <c r="R55" s="2957"/>
      <c r="S55" s="2957"/>
      <c r="T55" s="2957"/>
      <c r="U55" s="2957"/>
      <c r="V55" s="2957"/>
      <c r="W55" s="2957"/>
      <c r="X55" s="2957"/>
      <c r="Y55" s="2957"/>
      <c r="Z55" s="2957"/>
      <c r="AA55" s="2957"/>
      <c r="AB55" s="2957"/>
      <c r="AC55" s="2957"/>
    </row>
    <row r="56" spans="1:29" ht="14.4" thickBot="1">
      <c r="A56" s="495"/>
      <c r="B56" s="504"/>
      <c r="C56" s="505" t="s">
        <v>24</v>
      </c>
      <c r="D56" s="505" t="s">
        <v>25</v>
      </c>
      <c r="E56" s="505">
        <v>100</v>
      </c>
      <c r="F56" s="505">
        <f>E56-$K10</f>
        <v>100</v>
      </c>
      <c r="G56" s="505">
        <f>F56-$K10</f>
        <v>100</v>
      </c>
      <c r="H56" s="505">
        <f>G56-$K10</f>
        <v>100</v>
      </c>
      <c r="I56" s="505">
        <f>H56-$K10</f>
        <v>100</v>
      </c>
      <c r="J56" s="505"/>
      <c r="K56" s="505"/>
      <c r="L56" s="505"/>
      <c r="M56" s="506"/>
      <c r="N56" s="2986"/>
      <c r="O56" s="2986"/>
      <c r="P56" s="2994"/>
      <c r="Q56" s="2971"/>
      <c r="R56" s="2957"/>
      <c r="S56" s="2957"/>
      <c r="T56" s="2957"/>
      <c r="U56" s="2957"/>
      <c r="V56" s="2957"/>
      <c r="W56" s="2957"/>
      <c r="X56" s="2957"/>
      <c r="Y56" s="2957"/>
      <c r="Z56" s="2957"/>
      <c r="AA56" s="2957"/>
      <c r="AB56" s="2957"/>
      <c r="AC56" s="2957"/>
    </row>
    <row r="57" spans="1:29" ht="14.4" thickTop="1">
      <c r="A57" s="495"/>
      <c r="B57" s="620">
        <f>B11</f>
        <v>111</v>
      </c>
      <c r="C57" s="510"/>
      <c r="D57" s="510"/>
      <c r="E57" s="510"/>
      <c r="F57" s="510"/>
      <c r="G57" s="510"/>
      <c r="H57" s="510"/>
      <c r="I57" s="510"/>
      <c r="J57" s="510"/>
      <c r="K57" s="511"/>
      <c r="L57" s="512"/>
      <c r="M57" s="513"/>
      <c r="N57" s="2985"/>
      <c r="O57" s="2985"/>
      <c r="P57" s="2994"/>
      <c r="Q57" s="2971"/>
      <c r="R57" s="2957"/>
      <c r="S57" s="2957"/>
      <c r="T57" s="2957"/>
      <c r="U57" s="2957"/>
      <c r="V57" s="2957"/>
      <c r="W57" s="2957"/>
      <c r="X57" s="2957"/>
      <c r="Y57" s="2957"/>
      <c r="Z57" s="2957"/>
      <c r="AA57" s="2957"/>
      <c r="AB57" s="2957"/>
      <c r="AC57" s="2957"/>
    </row>
    <row r="58" spans="1:29" ht="14.4" thickBot="1">
      <c r="A58" s="495"/>
      <c r="B58" s="496"/>
      <c r="C58" s="521"/>
      <c r="D58" s="497"/>
      <c r="E58" s="497"/>
      <c r="F58" s="497"/>
      <c r="G58" s="497"/>
      <c r="H58" s="497"/>
      <c r="I58" s="497"/>
      <c r="J58" s="497"/>
      <c r="K58" s="497"/>
      <c r="L58" s="497"/>
      <c r="M58" s="498"/>
      <c r="N58" s="2986"/>
      <c r="O58" s="2986"/>
      <c r="P58" s="2994"/>
      <c r="Q58" s="2971"/>
      <c r="R58" s="2957"/>
      <c r="S58" s="2957"/>
      <c r="T58" s="2957"/>
      <c r="U58" s="2957"/>
      <c r="V58" s="2957"/>
      <c r="W58" s="2957"/>
      <c r="X58" s="2957"/>
      <c r="Y58" s="2957"/>
      <c r="Z58" s="2957"/>
      <c r="AA58" s="2957"/>
      <c r="AB58" s="2957"/>
      <c r="AC58" s="2957"/>
    </row>
    <row r="59" spans="1:29" s="434" customFormat="1" ht="14.4" thickTop="1">
      <c r="A59" s="514"/>
      <c r="B59" s="499">
        <f>B12</f>
        <v>111</v>
      </c>
      <c r="C59" s="510"/>
      <c r="D59" s="510"/>
      <c r="E59" s="510"/>
      <c r="F59" s="510"/>
      <c r="G59" s="515"/>
      <c r="H59" s="516"/>
      <c r="I59" s="516"/>
      <c r="J59" s="516"/>
      <c r="K59" s="516"/>
      <c r="L59" s="517"/>
      <c r="M59" s="518"/>
      <c r="N59" s="2987"/>
      <c r="O59" s="2987"/>
      <c r="P59" s="2995"/>
      <c r="Q59" s="2978"/>
      <c r="R59" s="2979"/>
      <c r="S59" s="2979"/>
      <c r="T59" s="2979"/>
      <c r="U59" s="2979"/>
      <c r="V59" s="2979"/>
      <c r="W59" s="2979"/>
      <c r="X59" s="2979"/>
      <c r="Y59" s="2979"/>
      <c r="Z59" s="2979"/>
      <c r="AA59" s="2979"/>
      <c r="AB59" s="2979"/>
      <c r="AC59" s="2979"/>
    </row>
    <row r="60" spans="1:29" s="434" customFormat="1" ht="14.4" thickBot="1">
      <c r="A60" s="514"/>
      <c r="B60" s="504"/>
      <c r="C60" s="521"/>
      <c r="D60" s="497"/>
      <c r="E60" s="497"/>
      <c r="F60" s="497"/>
      <c r="G60" s="497"/>
      <c r="H60" s="497"/>
      <c r="I60" s="497"/>
      <c r="J60" s="497"/>
      <c r="K60" s="497"/>
      <c r="L60" s="497"/>
      <c r="M60" s="498"/>
      <c r="N60" s="2986"/>
      <c r="O60" s="2986"/>
      <c r="P60" s="2995"/>
      <c r="Q60" s="2978"/>
      <c r="R60" s="2979"/>
      <c r="S60" s="2979"/>
      <c r="T60" s="2979"/>
      <c r="U60" s="2979"/>
      <c r="V60" s="2979"/>
      <c r="W60" s="2979"/>
      <c r="X60" s="2979"/>
      <c r="Y60" s="2979"/>
      <c r="Z60" s="2979"/>
      <c r="AA60" s="2979"/>
      <c r="AB60" s="2979"/>
      <c r="AC60" s="2979"/>
    </row>
    <row r="61" spans="1:29" s="434" customFormat="1" ht="14.4" thickTop="1">
      <c r="A61" s="514"/>
      <c r="B61" s="499">
        <f>B13</f>
        <v>111</v>
      </c>
      <c r="C61" s="515"/>
      <c r="D61" s="515"/>
      <c r="E61" s="515"/>
      <c r="F61" s="515"/>
      <c r="G61" s="515"/>
      <c r="H61" s="516"/>
      <c r="I61" s="516"/>
      <c r="J61" s="516"/>
      <c r="K61" s="516"/>
      <c r="L61" s="517"/>
      <c r="M61" s="518"/>
      <c r="N61" s="2987"/>
      <c r="O61" s="2987"/>
      <c r="P61" s="2996"/>
      <c r="Q61" s="2981"/>
      <c r="R61" s="2979"/>
      <c r="S61" s="2979"/>
      <c r="T61" s="2979"/>
      <c r="U61" s="2979"/>
      <c r="V61" s="2979"/>
      <c r="W61" s="2979"/>
      <c r="X61" s="2979"/>
      <c r="Y61" s="2979"/>
      <c r="Z61" s="2979"/>
      <c r="AA61" s="2979"/>
      <c r="AB61" s="2979"/>
      <c r="AC61" s="2979"/>
    </row>
    <row r="62" spans="1:29" s="434" customFormat="1" ht="14.4" thickBot="1">
      <c r="A62" s="514"/>
      <c r="B62" s="504"/>
      <c r="C62" s="521"/>
      <c r="D62" s="521"/>
      <c r="E62" s="521"/>
      <c r="F62" s="521"/>
      <c r="G62" s="521"/>
      <c r="H62" s="523"/>
      <c r="I62" s="523"/>
      <c r="J62" s="523"/>
      <c r="K62" s="523"/>
      <c r="L62" s="523"/>
      <c r="M62" s="524"/>
      <c r="N62" s="2987"/>
      <c r="O62" s="2987"/>
      <c r="P62" s="2995"/>
      <c r="Q62" s="2978"/>
      <c r="R62" s="2979"/>
      <c r="S62" s="2979"/>
      <c r="T62" s="2979"/>
      <c r="U62" s="2979"/>
      <c r="V62" s="2979"/>
      <c r="W62" s="2979"/>
      <c r="X62" s="2979"/>
      <c r="Y62" s="2979"/>
      <c r="Z62" s="2979"/>
      <c r="AA62" s="2979"/>
      <c r="AB62" s="2979"/>
      <c r="AC62" s="2979"/>
    </row>
    <row r="63" spans="1:29" ht="15" thickTop="1">
      <c r="A63" s="488" t="s">
        <v>2389</v>
      </c>
      <c r="B63" s="489" t="s">
        <v>2432</v>
      </c>
      <c r="C63" s="534" t="s">
        <v>2427</v>
      </c>
      <c r="D63" s="534" t="s">
        <v>2428</v>
      </c>
      <c r="E63" s="534" t="s">
        <v>2429</v>
      </c>
      <c r="F63" s="534" t="s">
        <v>2430</v>
      </c>
      <c r="G63" s="534" t="s">
        <v>2431</v>
      </c>
      <c r="H63" s="490"/>
      <c r="I63" s="490"/>
      <c r="J63" s="490"/>
      <c r="K63" s="535"/>
      <c r="L63" s="536"/>
      <c r="M63" s="537"/>
      <c r="N63" s="2985"/>
      <c r="O63" s="2985"/>
      <c r="P63" s="2998"/>
      <c r="Q63" s="2971"/>
      <c r="R63" s="2957"/>
      <c r="S63" s="2957"/>
      <c r="T63" s="2957"/>
      <c r="U63" s="2957"/>
      <c r="V63" s="2957"/>
      <c r="W63" s="2957"/>
      <c r="X63" s="2957"/>
      <c r="Y63" s="2957"/>
      <c r="Z63" s="2957"/>
      <c r="AA63" s="2957"/>
      <c r="AB63" s="2957"/>
      <c r="AC63" s="2957"/>
    </row>
    <row r="64" spans="1:29" ht="14.4" thickBot="1">
      <c r="A64" s="495"/>
      <c r="B64" s="504"/>
      <c r="C64" s="505">
        <v>100</v>
      </c>
      <c r="D64" s="505">
        <f>C64-$K14</f>
        <v>100</v>
      </c>
      <c r="E64" s="505">
        <f>D64-$K14</f>
        <v>100</v>
      </c>
      <c r="F64" s="505">
        <f>E64-$K14</f>
        <v>100</v>
      </c>
      <c r="G64" s="505">
        <f>F64-$K14</f>
        <v>100</v>
      </c>
      <c r="H64" s="505"/>
      <c r="I64" s="505"/>
      <c r="J64" s="505"/>
      <c r="K64" s="505"/>
      <c r="L64" s="505"/>
      <c r="M64" s="506"/>
      <c r="N64" s="2986"/>
      <c r="O64" s="2986"/>
      <c r="P64" s="2994"/>
      <c r="Q64" s="2971"/>
      <c r="R64" s="2957"/>
      <c r="S64" s="2957"/>
      <c r="T64" s="2957"/>
      <c r="U64" s="2957"/>
      <c r="V64" s="2957"/>
      <c r="W64" s="2957"/>
      <c r="X64" s="2957"/>
      <c r="Y64" s="2957"/>
      <c r="Z64" s="2957"/>
      <c r="AA64" s="2957"/>
      <c r="AB64" s="2957"/>
      <c r="AC64" s="2957"/>
    </row>
    <row r="65" spans="1:29" ht="15" thickTop="1">
      <c r="A65" s="495"/>
      <c r="B65" s="499" t="s">
        <v>2433</v>
      </c>
      <c r="C65" s="539" t="s">
        <v>2427</v>
      </c>
      <c r="D65" s="539" t="s">
        <v>2428</v>
      </c>
      <c r="E65" s="539" t="s">
        <v>2429</v>
      </c>
      <c r="F65" s="539" t="s">
        <v>2430</v>
      </c>
      <c r="G65" s="539" t="s">
        <v>2431</v>
      </c>
      <c r="H65" s="500"/>
      <c r="I65" s="500"/>
      <c r="J65" s="500"/>
      <c r="K65" s="501"/>
      <c r="L65" s="502"/>
      <c r="M65" s="503"/>
      <c r="N65" s="2985"/>
      <c r="O65" s="2985"/>
      <c r="P65" s="2994"/>
      <c r="Q65" s="2971"/>
      <c r="R65" s="2957"/>
      <c r="S65" s="2957"/>
      <c r="T65" s="2957"/>
      <c r="U65" s="2957"/>
      <c r="V65" s="2957"/>
      <c r="W65" s="2957"/>
      <c r="X65" s="2957"/>
      <c r="Y65" s="2957"/>
      <c r="Z65" s="2957"/>
      <c r="AA65" s="2957"/>
      <c r="AB65" s="2957"/>
      <c r="AC65" s="2957"/>
    </row>
    <row r="66" spans="1:29" ht="14.4" thickBot="1">
      <c r="A66" s="495"/>
      <c r="B66" s="504"/>
      <c r="C66" s="505">
        <v>100</v>
      </c>
      <c r="D66" s="505">
        <f>C66-$K16</f>
        <v>100</v>
      </c>
      <c r="E66" s="505">
        <f>D66-$K16</f>
        <v>100</v>
      </c>
      <c r="F66" s="505">
        <f>E66-$K16</f>
        <v>100</v>
      </c>
      <c r="G66" s="505">
        <f>F66-$K16</f>
        <v>100</v>
      </c>
      <c r="H66" s="505"/>
      <c r="I66" s="505"/>
      <c r="J66" s="505"/>
      <c r="K66" s="505"/>
      <c r="L66" s="505"/>
      <c r="M66" s="506"/>
      <c r="N66" s="2986"/>
      <c r="O66" s="2986"/>
      <c r="P66" s="2994"/>
      <c r="Q66" s="2971"/>
      <c r="R66" s="2957"/>
      <c r="S66" s="2957"/>
      <c r="T66" s="2957"/>
      <c r="U66" s="2957"/>
      <c r="V66" s="2957"/>
      <c r="W66" s="2957"/>
      <c r="X66" s="2957"/>
      <c r="Y66" s="2957"/>
      <c r="Z66" s="2957"/>
      <c r="AA66" s="2957"/>
      <c r="AB66" s="2957"/>
      <c r="AC66" s="2957"/>
    </row>
    <row r="67" spans="1:29" ht="15" thickTop="1">
      <c r="A67" s="495"/>
      <c r="B67" s="507" t="s">
        <v>2519</v>
      </c>
      <c r="C67" s="620" t="s">
        <v>2505</v>
      </c>
      <c r="D67" s="620" t="s">
        <v>2506</v>
      </c>
      <c r="E67" s="620" t="s">
        <v>2507</v>
      </c>
      <c r="F67" s="620" t="s">
        <v>2508</v>
      </c>
      <c r="G67" s="620" t="s">
        <v>2509</v>
      </c>
      <c r="H67" s="500"/>
      <c r="I67" s="500"/>
      <c r="J67" s="500"/>
      <c r="K67" s="500"/>
      <c r="L67" s="500"/>
      <c r="M67" s="1295"/>
      <c r="N67" s="2986"/>
      <c r="O67" s="2986"/>
      <c r="P67" s="2994"/>
      <c r="Q67" s="2971"/>
      <c r="R67" s="2957"/>
      <c r="S67" s="2957"/>
      <c r="T67" s="2957"/>
      <c r="U67" s="2957"/>
      <c r="V67" s="2957"/>
      <c r="W67" s="2957"/>
      <c r="X67" s="2957"/>
      <c r="Y67" s="2957"/>
      <c r="Z67" s="2957"/>
      <c r="AA67" s="2957"/>
      <c r="AB67" s="2957"/>
      <c r="AC67" s="2957"/>
    </row>
    <row r="68" spans="1:29" ht="14.4" thickBot="1">
      <c r="A68" s="495"/>
      <c r="B68" s="507"/>
      <c r="C68" s="505">
        <v>100</v>
      </c>
      <c r="D68" s="505">
        <f>C68-$K18</f>
        <v>100</v>
      </c>
      <c r="E68" s="505">
        <f>D68-$K18</f>
        <v>100</v>
      </c>
      <c r="F68" s="505">
        <f>E68-$K18</f>
        <v>100</v>
      </c>
      <c r="G68" s="505">
        <f>F68-$K18</f>
        <v>100</v>
      </c>
      <c r="H68" s="620"/>
      <c r="I68" s="620"/>
      <c r="J68" s="620"/>
      <c r="K68" s="620"/>
      <c r="L68" s="620"/>
      <c r="M68" s="413"/>
      <c r="N68" s="2986"/>
      <c r="O68" s="2986"/>
      <c r="P68" s="2994"/>
      <c r="Q68" s="2971"/>
      <c r="R68" s="2957"/>
      <c r="S68" s="2957"/>
      <c r="T68" s="2957"/>
      <c r="U68" s="2957"/>
      <c r="V68" s="2957"/>
      <c r="W68" s="2957"/>
      <c r="X68" s="2957"/>
      <c r="Y68" s="2957"/>
      <c r="Z68" s="2957"/>
      <c r="AA68" s="2957"/>
      <c r="AB68" s="2957"/>
      <c r="AC68" s="2957"/>
    </row>
    <row r="69" spans="1:29" ht="15" thickTop="1">
      <c r="A69" s="495"/>
      <c r="B69" s="499" t="s">
        <v>2439</v>
      </c>
      <c r="C69" s="539" t="s">
        <v>2427</v>
      </c>
      <c r="D69" s="539" t="s">
        <v>2428</v>
      </c>
      <c r="E69" s="539" t="s">
        <v>2429</v>
      </c>
      <c r="F69" s="539" t="s">
        <v>2430</v>
      </c>
      <c r="G69" s="539" t="s">
        <v>2431</v>
      </c>
      <c r="H69" s="500"/>
      <c r="I69" s="500"/>
      <c r="J69" s="500"/>
      <c r="K69" s="501"/>
      <c r="L69" s="502"/>
      <c r="M69" s="503"/>
      <c r="N69" s="2985"/>
      <c r="O69" s="2985"/>
      <c r="P69" s="2994"/>
      <c r="Q69" s="2971"/>
      <c r="R69" s="2957"/>
      <c r="S69" s="2957"/>
      <c r="T69" s="2957"/>
      <c r="U69" s="2957"/>
      <c r="V69" s="2957"/>
      <c r="W69" s="2957"/>
      <c r="X69" s="2957"/>
      <c r="Y69" s="2957"/>
      <c r="Z69" s="2957"/>
      <c r="AA69" s="2957"/>
      <c r="AB69" s="2957"/>
      <c r="AC69" s="2957"/>
    </row>
    <row r="70" spans="1:29" ht="14.4" thickBot="1">
      <c r="A70" s="495"/>
      <c r="B70" s="504"/>
      <c r="C70" s="505">
        <v>100</v>
      </c>
      <c r="D70" s="505">
        <f>C70-$K20</f>
        <v>100</v>
      </c>
      <c r="E70" s="505">
        <f>D70-$K20</f>
        <v>100</v>
      </c>
      <c r="F70" s="505">
        <f>E70-$K20</f>
        <v>100</v>
      </c>
      <c r="G70" s="505">
        <f>F70-$K20</f>
        <v>100</v>
      </c>
      <c r="H70" s="505"/>
      <c r="I70" s="505"/>
      <c r="J70" s="505"/>
      <c r="K70" s="505"/>
      <c r="L70" s="505"/>
      <c r="M70" s="506"/>
      <c r="N70" s="2986"/>
      <c r="O70" s="2986"/>
      <c r="P70" s="2994"/>
      <c r="Q70" s="2971"/>
      <c r="R70" s="2957"/>
      <c r="S70" s="2957"/>
      <c r="T70" s="2957"/>
      <c r="U70" s="2957"/>
      <c r="V70" s="2957"/>
      <c r="W70" s="2957"/>
      <c r="X70" s="2957"/>
      <c r="Y70" s="2957"/>
      <c r="Z70" s="2957"/>
      <c r="AA70" s="2957"/>
      <c r="AB70" s="2957"/>
      <c r="AC70" s="2957"/>
    </row>
    <row r="71" spans="1:29" ht="15" thickTop="1">
      <c r="A71" s="495"/>
      <c r="B71" s="499" t="s">
        <v>2559</v>
      </c>
      <c r="C71" s="515"/>
      <c r="D71" s="515"/>
      <c r="E71" s="515"/>
      <c r="F71" s="515"/>
      <c r="G71" s="515"/>
      <c r="H71" s="544"/>
      <c r="I71" s="544"/>
      <c r="J71" s="544"/>
      <c r="K71" s="545"/>
      <c r="L71" s="546"/>
      <c r="M71" s="547"/>
      <c r="N71" s="2985"/>
      <c r="O71" s="2985"/>
      <c r="P71" s="2994"/>
      <c r="Q71" s="2971"/>
      <c r="R71" s="2957"/>
      <c r="S71" s="2957"/>
      <c r="T71" s="2957"/>
      <c r="U71" s="2957"/>
      <c r="V71" s="2957"/>
      <c r="W71" s="2957"/>
      <c r="X71" s="2957"/>
      <c r="Y71" s="2957"/>
      <c r="Z71" s="2957"/>
      <c r="AA71" s="2957"/>
      <c r="AB71" s="2957"/>
      <c r="AC71" s="2957"/>
    </row>
    <row r="72" spans="1:29" ht="14.4" thickBot="1">
      <c r="A72" s="495"/>
      <c r="B72" s="504"/>
      <c r="C72" s="505">
        <v>100</v>
      </c>
      <c r="D72" s="505">
        <f>C72-$K22</f>
        <v>100</v>
      </c>
      <c r="E72" s="505">
        <f>D72-$K22</f>
        <v>100</v>
      </c>
      <c r="F72" s="505">
        <f>E72-$K22</f>
        <v>100</v>
      </c>
      <c r="G72" s="505">
        <f>F72-$K22</f>
        <v>100</v>
      </c>
      <c r="H72" s="505"/>
      <c r="I72" s="505"/>
      <c r="J72" s="505"/>
      <c r="K72" s="505"/>
      <c r="L72" s="505"/>
      <c r="M72" s="506"/>
      <c r="N72" s="2986"/>
      <c r="O72" s="2986"/>
      <c r="P72" s="2994"/>
      <c r="Q72" s="2971"/>
      <c r="R72" s="2957"/>
      <c r="S72" s="2957"/>
      <c r="T72" s="2957"/>
      <c r="U72" s="2957"/>
      <c r="V72" s="2957"/>
      <c r="W72" s="2957"/>
      <c r="X72" s="2957"/>
      <c r="Y72" s="2957"/>
      <c r="Z72" s="2957"/>
      <c r="AA72" s="2957"/>
      <c r="AB72" s="2957"/>
      <c r="AC72" s="2957"/>
    </row>
    <row r="73" spans="1:29" s="117" customFormat="1" ht="14.4" thickTop="1">
      <c r="A73" s="540"/>
      <c r="B73" s="499">
        <f>B23</f>
        <v>111</v>
      </c>
      <c r="C73" s="510"/>
      <c r="D73" s="510"/>
      <c r="E73" s="510"/>
      <c r="F73" s="510"/>
      <c r="G73" s="515"/>
      <c r="H73" s="515"/>
      <c r="I73" s="515"/>
      <c r="J73" s="515"/>
      <c r="K73" s="515"/>
      <c r="L73" s="541"/>
      <c r="M73" s="542"/>
      <c r="N73" s="2984"/>
      <c r="O73" s="2984"/>
      <c r="P73" s="2994"/>
      <c r="Q73" s="2971"/>
      <c r="R73" s="2889"/>
      <c r="S73" s="2889"/>
      <c r="T73" s="2889"/>
      <c r="U73" s="2889"/>
      <c r="V73" s="2889"/>
      <c r="W73" s="2889"/>
      <c r="X73" s="2889"/>
      <c r="Y73" s="2889"/>
      <c r="Z73" s="2889"/>
      <c r="AA73" s="2889"/>
      <c r="AB73" s="2889"/>
      <c r="AC73" s="2889"/>
    </row>
    <row r="74" spans="1:29" s="117" customFormat="1" ht="14.4" thickBot="1">
      <c r="A74" s="540"/>
      <c r="B74" s="504"/>
      <c r="C74" s="521"/>
      <c r="D74" s="497"/>
      <c r="E74" s="497"/>
      <c r="F74" s="497"/>
      <c r="G74" s="497"/>
      <c r="H74" s="497"/>
      <c r="I74" s="497"/>
      <c r="J74" s="497"/>
      <c r="K74" s="497"/>
      <c r="L74" s="497"/>
      <c r="M74" s="498"/>
      <c r="N74" s="2986"/>
      <c r="O74" s="2986"/>
      <c r="P74" s="2994"/>
      <c r="Q74" s="2971"/>
      <c r="R74" s="2889"/>
      <c r="S74" s="2889"/>
      <c r="T74" s="2889"/>
      <c r="U74" s="2889"/>
      <c r="V74" s="2889"/>
      <c r="W74" s="2889"/>
      <c r="X74" s="2889"/>
      <c r="Y74" s="2889"/>
      <c r="Z74" s="2889"/>
      <c r="AA74" s="2889"/>
      <c r="AB74" s="2889"/>
      <c r="AC74" s="2889"/>
    </row>
    <row r="75" spans="1:29" s="117" customFormat="1" ht="14.4" thickTop="1">
      <c r="A75" s="540"/>
      <c r="B75" s="499">
        <f>B24</f>
        <v>111</v>
      </c>
      <c r="C75" s="510"/>
      <c r="D75" s="510"/>
      <c r="E75" s="510"/>
      <c r="F75" s="510"/>
      <c r="G75" s="515"/>
      <c r="H75" s="515"/>
      <c r="I75" s="515"/>
      <c r="J75" s="515"/>
      <c r="K75" s="515"/>
      <c r="L75" s="515"/>
      <c r="M75" s="542"/>
      <c r="N75" s="2984"/>
      <c r="O75" s="2984"/>
      <c r="P75" s="2994"/>
      <c r="Q75" s="2971"/>
      <c r="R75" s="2889"/>
      <c r="S75" s="2889"/>
      <c r="T75" s="2889"/>
      <c r="U75" s="2889"/>
      <c r="V75" s="2889"/>
      <c r="W75" s="2889"/>
      <c r="X75" s="2889"/>
      <c r="Y75" s="2889"/>
      <c r="Z75" s="2889"/>
      <c r="AA75" s="2889"/>
      <c r="AB75" s="2889"/>
      <c r="AC75" s="2889"/>
    </row>
    <row r="76" spans="1:29" s="117" customFormat="1" ht="14.4" thickBot="1">
      <c r="A76" s="540"/>
      <c r="B76" s="504"/>
      <c r="C76" s="521"/>
      <c r="D76" s="497"/>
      <c r="E76" s="497"/>
      <c r="F76" s="497"/>
      <c r="G76" s="497"/>
      <c r="H76" s="497"/>
      <c r="I76" s="497"/>
      <c r="J76" s="497"/>
      <c r="K76" s="497"/>
      <c r="L76" s="497"/>
      <c r="M76" s="498"/>
      <c r="N76" s="2986"/>
      <c r="O76" s="2986"/>
      <c r="P76" s="2994"/>
      <c r="Q76" s="2971"/>
      <c r="R76" s="2889"/>
      <c r="S76" s="2889"/>
      <c r="T76" s="2889"/>
      <c r="U76" s="2889"/>
      <c r="V76" s="2889"/>
      <c r="W76" s="2889"/>
      <c r="X76" s="2889"/>
      <c r="Y76" s="2889"/>
      <c r="Z76" s="2889"/>
      <c r="AA76" s="2889"/>
      <c r="AB76" s="2889"/>
      <c r="AC76" s="2889"/>
    </row>
    <row r="77" spans="1:29" s="434" customFormat="1" ht="14.4" thickTop="1">
      <c r="A77" s="514"/>
      <c r="B77" s="499">
        <f>B25</f>
        <v>111</v>
      </c>
      <c r="C77" s="515"/>
      <c r="D77" s="515"/>
      <c r="E77" s="515"/>
      <c r="F77" s="515"/>
      <c r="G77" s="515"/>
      <c r="H77" s="516"/>
      <c r="I77" s="516"/>
      <c r="J77" s="516"/>
      <c r="K77" s="516"/>
      <c r="L77" s="517"/>
      <c r="M77" s="518"/>
      <c r="N77" s="2987"/>
      <c r="O77" s="2987"/>
      <c r="P77" s="2995"/>
      <c r="Q77" s="2978"/>
      <c r="R77" s="2979"/>
      <c r="S77" s="2979"/>
      <c r="T77" s="2979"/>
      <c r="U77" s="2979"/>
      <c r="V77" s="2979"/>
      <c r="W77" s="2979"/>
      <c r="X77" s="2979"/>
      <c r="Y77" s="2979"/>
      <c r="Z77" s="2979"/>
      <c r="AA77" s="2979"/>
      <c r="AB77" s="2979"/>
      <c r="AC77" s="2979"/>
    </row>
    <row r="78" spans="1:29" s="434" customFormat="1" ht="14.4" thickBot="1">
      <c r="A78" s="514"/>
      <c r="B78" s="504"/>
      <c r="C78" s="521"/>
      <c r="D78" s="521"/>
      <c r="E78" s="521"/>
      <c r="F78" s="521"/>
      <c r="G78" s="497"/>
      <c r="H78" s="497"/>
      <c r="I78" s="497"/>
      <c r="J78" s="497"/>
      <c r="K78" s="497"/>
      <c r="L78" s="497"/>
      <c r="M78" s="498"/>
      <c r="N78" s="2987"/>
      <c r="O78" s="2987"/>
      <c r="P78" s="2995"/>
      <c r="Q78" s="2978"/>
      <c r="R78" s="2979"/>
      <c r="S78" s="2979"/>
      <c r="T78" s="2979"/>
      <c r="U78" s="2979"/>
      <c r="V78" s="2979"/>
      <c r="W78" s="2979"/>
      <c r="X78" s="2979"/>
      <c r="Y78" s="2979"/>
      <c r="Z78" s="2979"/>
      <c r="AA78" s="2979"/>
      <c r="AB78" s="2979"/>
      <c r="AC78" s="2979"/>
    </row>
    <row r="79" spans="1:29" ht="29.4" thickTop="1">
      <c r="A79" s="488" t="s">
        <v>2393</v>
      </c>
      <c r="B79" s="489" t="s">
        <v>2560</v>
      </c>
      <c r="C79" s="490">
        <f>C26</f>
        <v>0</v>
      </c>
      <c r="D79" s="491"/>
      <c r="E79" s="491"/>
      <c r="F79" s="491"/>
      <c r="G79" s="491"/>
      <c r="H79" s="491"/>
      <c r="I79" s="491"/>
      <c r="J79" s="491"/>
      <c r="K79" s="492"/>
      <c r="L79" s="493"/>
      <c r="M79" s="494"/>
      <c r="N79" s="2985"/>
      <c r="O79" s="2985"/>
      <c r="P79" s="2994"/>
      <c r="Q79" s="2971"/>
      <c r="R79" s="2957"/>
      <c r="S79" s="2957"/>
      <c r="T79" s="2957"/>
      <c r="U79" s="2957"/>
      <c r="V79" s="2957"/>
      <c r="W79" s="2957"/>
      <c r="X79" s="2957"/>
      <c r="Y79" s="2957"/>
      <c r="Z79" s="2957"/>
      <c r="AA79" s="2957"/>
      <c r="AB79" s="2957"/>
      <c r="AC79" s="2957"/>
    </row>
    <row r="80" spans="1:29" ht="14.4" thickBot="1">
      <c r="A80" s="495"/>
      <c r="B80" s="504"/>
      <c r="C80" s="505">
        <v>100</v>
      </c>
      <c r="D80" s="505">
        <f t="shared" ref="D80:M80" si="17">C80-$K26</f>
        <v>100</v>
      </c>
      <c r="E80" s="505">
        <f t="shared" si="17"/>
        <v>100</v>
      </c>
      <c r="F80" s="505">
        <f t="shared" si="17"/>
        <v>100</v>
      </c>
      <c r="G80" s="505">
        <f t="shared" si="17"/>
        <v>100</v>
      </c>
      <c r="H80" s="505">
        <f t="shared" si="17"/>
        <v>100</v>
      </c>
      <c r="I80" s="505">
        <f t="shared" si="17"/>
        <v>100</v>
      </c>
      <c r="J80" s="505">
        <f t="shared" si="17"/>
        <v>100</v>
      </c>
      <c r="K80" s="505">
        <f t="shared" si="17"/>
        <v>100</v>
      </c>
      <c r="L80" s="505">
        <f t="shared" si="17"/>
        <v>100</v>
      </c>
      <c r="M80" s="506">
        <f t="shared" si="17"/>
        <v>100</v>
      </c>
      <c r="N80" s="2986"/>
      <c r="O80" s="2986"/>
      <c r="P80" s="2994"/>
      <c r="Q80" s="2971"/>
      <c r="R80" s="2957"/>
      <c r="S80" s="2957"/>
      <c r="T80" s="2957"/>
      <c r="U80" s="2957"/>
      <c r="V80" s="2957"/>
      <c r="W80" s="2957"/>
      <c r="X80" s="2957"/>
      <c r="Y80" s="2957"/>
      <c r="Z80" s="2957"/>
      <c r="AA80" s="2957"/>
      <c r="AB80" s="2957"/>
      <c r="AC80" s="2957"/>
    </row>
    <row r="81" spans="1:29" ht="15" thickTop="1">
      <c r="A81" s="495"/>
      <c r="B81" s="499" t="s">
        <v>2561</v>
      </c>
      <c r="C81" s="621"/>
      <c r="D81" s="621"/>
      <c r="E81" s="621"/>
      <c r="F81" s="621"/>
      <c r="G81" s="621"/>
      <c r="H81" s="621"/>
      <c r="I81" s="621"/>
      <c r="J81" s="621"/>
      <c r="K81" s="622"/>
      <c r="L81" s="623"/>
      <c r="M81" s="624"/>
      <c r="N81" s="2984"/>
      <c r="O81" s="2984"/>
      <c r="P81" s="2994"/>
      <c r="Q81" s="2971"/>
      <c r="R81" s="2957"/>
      <c r="S81" s="2957"/>
      <c r="T81" s="2957"/>
      <c r="U81" s="2957"/>
      <c r="V81" s="2957"/>
      <c r="W81" s="2957"/>
      <c r="X81" s="2957"/>
      <c r="Y81" s="2957"/>
      <c r="Z81" s="2957"/>
      <c r="AA81" s="2957"/>
      <c r="AB81" s="2957"/>
      <c r="AC81" s="2957"/>
    </row>
    <row r="82" spans="1:29" s="434" customFormat="1" ht="14.4" thickBot="1">
      <c r="A82" s="514"/>
      <c r="B82" s="504"/>
      <c r="C82" s="521"/>
      <c r="D82" s="497"/>
      <c r="E82" s="497"/>
      <c r="F82" s="497"/>
      <c r="G82" s="497"/>
      <c r="H82" s="497"/>
      <c r="I82" s="497"/>
      <c r="J82" s="497"/>
      <c r="K82" s="497"/>
      <c r="L82" s="497"/>
      <c r="M82" s="498"/>
      <c r="N82" s="2986"/>
      <c r="O82" s="2986"/>
      <c r="P82" s="2995"/>
      <c r="Q82" s="2978"/>
      <c r="R82" s="2979"/>
      <c r="S82" s="2979"/>
      <c r="T82" s="2979"/>
      <c r="U82" s="2979"/>
      <c r="V82" s="2979"/>
      <c r="W82" s="2979"/>
      <c r="X82" s="2979"/>
      <c r="Y82" s="2979"/>
      <c r="Z82" s="2979"/>
      <c r="AA82" s="2979"/>
      <c r="AB82" s="2979"/>
      <c r="AC82" s="2979"/>
    </row>
    <row r="83" spans="1:29" ht="15" thickTop="1">
      <c r="A83" s="560"/>
      <c r="B83" s="499" t="s">
        <v>2446</v>
      </c>
      <c r="C83" s="515"/>
      <c r="D83" s="515"/>
      <c r="E83" s="544"/>
      <c r="F83" s="544"/>
      <c r="G83" s="544"/>
      <c r="H83" s="544"/>
      <c r="I83" s="544"/>
      <c r="J83" s="544"/>
      <c r="K83" s="545"/>
      <c r="L83" s="546"/>
      <c r="M83" s="547"/>
      <c r="N83" s="2985"/>
      <c r="O83" s="2985"/>
      <c r="P83" s="2994"/>
      <c r="Q83" s="2971"/>
      <c r="R83" s="2957"/>
      <c r="S83" s="2957"/>
      <c r="T83" s="2957"/>
      <c r="U83" s="2957"/>
      <c r="V83" s="2957"/>
      <c r="W83" s="2957"/>
      <c r="X83" s="2957"/>
      <c r="Y83" s="2957"/>
      <c r="Z83" s="2957"/>
      <c r="AA83" s="2957"/>
      <c r="AB83" s="2957"/>
      <c r="AC83" s="2957"/>
    </row>
    <row r="84" spans="1:29" ht="14.4" thickBot="1">
      <c r="A84" s="495"/>
      <c r="B84" s="504"/>
      <c r="C84" s="505">
        <v>100</v>
      </c>
      <c r="D84" s="505">
        <f t="shared" ref="D84:M84" si="18">C84-$K28</f>
        <v>100</v>
      </c>
      <c r="E84" s="505">
        <f t="shared" si="18"/>
        <v>100</v>
      </c>
      <c r="F84" s="505">
        <f t="shared" si="18"/>
        <v>100</v>
      </c>
      <c r="G84" s="505">
        <f t="shared" si="18"/>
        <v>100</v>
      </c>
      <c r="H84" s="505">
        <f t="shared" si="18"/>
        <v>100</v>
      </c>
      <c r="I84" s="505">
        <f t="shared" si="18"/>
        <v>100</v>
      </c>
      <c r="J84" s="505">
        <f t="shared" si="18"/>
        <v>100</v>
      </c>
      <c r="K84" s="505">
        <f t="shared" si="18"/>
        <v>100</v>
      </c>
      <c r="L84" s="505">
        <f t="shared" si="18"/>
        <v>100</v>
      </c>
      <c r="M84" s="506">
        <f t="shared" si="18"/>
        <v>100</v>
      </c>
      <c r="N84" s="2986"/>
      <c r="O84" s="2986"/>
      <c r="P84" s="2994"/>
      <c r="Q84" s="2971"/>
      <c r="R84" s="2957"/>
      <c r="S84" s="2957"/>
      <c r="T84" s="2957"/>
      <c r="U84" s="2957"/>
      <c r="V84" s="2957"/>
      <c r="W84" s="2957"/>
      <c r="X84" s="2957"/>
      <c r="Y84" s="2957"/>
      <c r="Z84" s="2957"/>
      <c r="AA84" s="2957"/>
      <c r="AB84" s="2957"/>
      <c r="AC84" s="2957"/>
    </row>
    <row r="85" spans="1:29" ht="15" thickTop="1">
      <c r="A85" s="560"/>
      <c r="B85" s="499" t="s">
        <v>2562</v>
      </c>
      <c r="C85" s="539" t="str">
        <f>C86&amp;"(含)"&amp;"-"&amp;D86</f>
        <v>0.5(含)-0.6</v>
      </c>
      <c r="D85" s="539" t="str">
        <f>D86&amp;"(含)"&amp;"-"&amp;E86</f>
        <v>0.6(含)-0.7</v>
      </c>
      <c r="E85" s="539" t="str">
        <f>E86&amp;"(含)"&amp;"-"&amp;F86</f>
        <v>0.7(含)-0.8</v>
      </c>
      <c r="F85" s="539" t="str">
        <f>F86&amp;"(含)"&amp;"-"&amp;G86</f>
        <v>0.8(含)-0.9</v>
      </c>
      <c r="G85" s="539" t="str">
        <f>G86&amp;"(含)"&amp;"-"&amp;ROUND(H86,0)&amp;"(含)"</f>
        <v>0.9(含)-1(含)</v>
      </c>
      <c r="H85" s="539"/>
      <c r="I85" s="544"/>
      <c r="J85" s="544"/>
      <c r="K85" s="545"/>
      <c r="L85" s="546"/>
      <c r="M85" s="547"/>
      <c r="N85" s="2985"/>
      <c r="O85" s="2985"/>
      <c r="P85" s="2994"/>
      <c r="Q85" s="2971"/>
      <c r="R85" s="2957"/>
      <c r="S85" s="2957"/>
      <c r="T85" s="2957"/>
      <c r="U85" s="2957"/>
      <c r="V85" s="2957"/>
      <c r="W85" s="2957"/>
      <c r="X85" s="2957"/>
      <c r="Y85" s="2957"/>
      <c r="Z85" s="2957"/>
      <c r="AA85" s="2957"/>
      <c r="AB85" s="2957"/>
      <c r="AC85" s="2957"/>
    </row>
    <row r="86" spans="1:29">
      <c r="A86" s="560"/>
      <c r="B86" s="507"/>
      <c r="C86" s="564">
        <v>0.5</v>
      </c>
      <c r="D86" s="564">
        <v>0.6</v>
      </c>
      <c r="E86" s="564">
        <v>0.7</v>
      </c>
      <c r="F86" s="564">
        <v>0.8</v>
      </c>
      <c r="G86" s="564">
        <v>0.9</v>
      </c>
      <c r="H86" s="564">
        <v>1.0001</v>
      </c>
      <c r="I86" s="583"/>
      <c r="J86" s="583"/>
      <c r="K86" s="584"/>
      <c r="L86" s="585"/>
      <c r="M86" s="586"/>
      <c r="N86" s="2985"/>
      <c r="O86" s="2985"/>
      <c r="P86" s="2994"/>
      <c r="Q86" s="2971"/>
      <c r="R86" s="2957"/>
      <c r="S86" s="2957"/>
      <c r="T86" s="2957"/>
      <c r="U86" s="2957"/>
      <c r="V86" s="2957"/>
      <c r="W86" s="2957"/>
      <c r="X86" s="2957"/>
      <c r="Y86" s="2957"/>
      <c r="Z86" s="2957"/>
      <c r="AA86" s="2957"/>
      <c r="AB86" s="2957"/>
      <c r="AC86" s="2957"/>
    </row>
    <row r="87" spans="1:29" ht="14.4" thickBot="1">
      <c r="A87" s="495"/>
      <c r="B87" s="504"/>
      <c r="C87" s="543">
        <v>100</v>
      </c>
      <c r="D87" s="505">
        <f>C87+$K$29</f>
        <v>100</v>
      </c>
      <c r="E87" s="505">
        <f t="shared" ref="E87:M87" si="19">D87+$K$29</f>
        <v>100</v>
      </c>
      <c r="F87" s="505">
        <f t="shared" si="19"/>
        <v>100</v>
      </c>
      <c r="G87" s="505">
        <f t="shared" si="19"/>
        <v>100</v>
      </c>
      <c r="H87" s="505">
        <f t="shared" si="19"/>
        <v>100</v>
      </c>
      <c r="I87" s="505">
        <f t="shared" si="19"/>
        <v>100</v>
      </c>
      <c r="J87" s="505">
        <f t="shared" si="19"/>
        <v>100</v>
      </c>
      <c r="K87" s="505">
        <f t="shared" si="19"/>
        <v>100</v>
      </c>
      <c r="L87" s="505">
        <f t="shared" si="19"/>
        <v>100</v>
      </c>
      <c r="M87" s="505">
        <f t="shared" si="19"/>
        <v>100</v>
      </c>
      <c r="N87" s="2986"/>
      <c r="O87" s="2986"/>
      <c r="P87" s="2994"/>
      <c r="Q87" s="2971"/>
      <c r="R87" s="2957"/>
      <c r="S87" s="2957"/>
      <c r="T87" s="2957"/>
      <c r="U87" s="2957"/>
      <c r="V87" s="2957"/>
      <c r="W87" s="2957"/>
      <c r="X87" s="2957"/>
      <c r="Y87" s="2957"/>
      <c r="Z87" s="2957"/>
      <c r="AA87" s="2957"/>
      <c r="AB87" s="2957"/>
      <c r="AC87" s="2957"/>
    </row>
    <row r="88" spans="1:29" ht="15" thickTop="1">
      <c r="A88" s="560"/>
      <c r="B88" s="507" t="s">
        <v>2563</v>
      </c>
      <c r="C88" s="491"/>
      <c r="D88" s="491"/>
      <c r="E88" s="491"/>
      <c r="F88" s="491"/>
      <c r="G88" s="491"/>
      <c r="H88" s="491"/>
      <c r="I88" s="491"/>
      <c r="J88" s="491"/>
      <c r="K88" s="492"/>
      <c r="L88" s="493"/>
      <c r="M88" s="494"/>
      <c r="N88" s="2985"/>
      <c r="O88" s="2985"/>
      <c r="P88" s="2994"/>
      <c r="Q88" s="2971"/>
      <c r="R88" s="2957"/>
      <c r="S88" s="2957"/>
      <c r="T88" s="2957"/>
      <c r="U88" s="2957"/>
      <c r="V88" s="2957"/>
      <c r="W88" s="2957"/>
      <c r="X88" s="2957"/>
      <c r="Y88" s="2957"/>
      <c r="Z88" s="2957"/>
      <c r="AA88" s="2957"/>
      <c r="AB88" s="2957"/>
      <c r="AC88" s="2957"/>
    </row>
    <row r="89" spans="1:29" ht="14.4" thickBot="1">
      <c r="A89" s="495"/>
      <c r="B89" s="504"/>
      <c r="C89" s="543">
        <v>100</v>
      </c>
      <c r="D89" s="505">
        <f t="shared" ref="D89:M89" si="20">C89+$K30</f>
        <v>100</v>
      </c>
      <c r="E89" s="505">
        <f t="shared" si="20"/>
        <v>100</v>
      </c>
      <c r="F89" s="505">
        <f t="shared" si="20"/>
        <v>100</v>
      </c>
      <c r="G89" s="505">
        <f t="shared" si="20"/>
        <v>100</v>
      </c>
      <c r="H89" s="505">
        <f t="shared" si="20"/>
        <v>100</v>
      </c>
      <c r="I89" s="505">
        <f t="shared" si="20"/>
        <v>100</v>
      </c>
      <c r="J89" s="505">
        <f t="shared" si="20"/>
        <v>100</v>
      </c>
      <c r="K89" s="505">
        <f t="shared" si="20"/>
        <v>100</v>
      </c>
      <c r="L89" s="505">
        <f t="shared" si="20"/>
        <v>100</v>
      </c>
      <c r="M89" s="505">
        <f t="shared" si="20"/>
        <v>100</v>
      </c>
      <c r="N89" s="2986"/>
      <c r="O89" s="2986"/>
      <c r="P89" s="2994"/>
      <c r="Q89" s="2971"/>
      <c r="R89" s="2957"/>
      <c r="S89" s="2957"/>
      <c r="T89" s="2957"/>
      <c r="U89" s="2957"/>
      <c r="V89" s="2957"/>
      <c r="W89" s="2957"/>
      <c r="X89" s="2957"/>
      <c r="Y89" s="2957"/>
      <c r="Z89" s="2957"/>
      <c r="AA89" s="2957"/>
      <c r="AB89" s="2957"/>
      <c r="AC89" s="2957"/>
    </row>
    <row r="90" spans="1:29" s="434" customFormat="1" ht="15" thickTop="1">
      <c r="A90" s="554"/>
      <c r="B90" s="499" t="s">
        <v>2564</v>
      </c>
      <c r="C90" s="539" t="str">
        <f>C91&amp;"(含)"&amp;"-"&amp;D91</f>
        <v>(含)-</v>
      </c>
      <c r="D90" s="539" t="str">
        <f t="shared" ref="D90:L90" si="21">D91&amp;"(含)"&amp;"-"&amp;E91</f>
        <v>(含)-</v>
      </c>
      <c r="E90" s="539" t="str">
        <f t="shared" si="21"/>
        <v>(含)-</v>
      </c>
      <c r="F90" s="539" t="str">
        <f t="shared" si="21"/>
        <v>(含)-</v>
      </c>
      <c r="G90" s="539" t="str">
        <f t="shared" si="21"/>
        <v>(含)-</v>
      </c>
      <c r="H90" s="539" t="str">
        <f t="shared" si="21"/>
        <v>(含)-</v>
      </c>
      <c r="I90" s="539" t="str">
        <f t="shared" si="21"/>
        <v>(含)-</v>
      </c>
      <c r="J90" s="539" t="str">
        <f t="shared" si="21"/>
        <v>(含)-</v>
      </c>
      <c r="K90" s="539" t="str">
        <f t="shared" si="21"/>
        <v>(含)-</v>
      </c>
      <c r="L90" s="539" t="str">
        <f t="shared" si="21"/>
        <v>(含)-</v>
      </c>
      <c r="M90" s="582" t="str">
        <f>M91&amp;"(含)"&amp;"-"&amp;P91</f>
        <v>(含)-</v>
      </c>
      <c r="N90" s="2987"/>
      <c r="O90" s="2987"/>
      <c r="P90" s="2995"/>
      <c r="Q90" s="2978"/>
      <c r="R90" s="2979"/>
      <c r="S90" s="2979"/>
      <c r="T90" s="2979"/>
      <c r="U90" s="2979"/>
      <c r="V90" s="2979"/>
      <c r="W90" s="2979"/>
      <c r="X90" s="2979"/>
      <c r="Y90" s="2979"/>
      <c r="Z90" s="2979"/>
      <c r="AA90" s="2979"/>
      <c r="AB90" s="2979"/>
      <c r="AC90" s="2979"/>
    </row>
    <row r="91" spans="1:29" s="434" customFormat="1">
      <c r="A91" s="554"/>
      <c r="B91" s="507"/>
      <c r="C91" s="556"/>
      <c r="D91" s="556"/>
      <c r="E91" s="556"/>
      <c r="F91" s="556"/>
      <c r="G91" s="556"/>
      <c r="H91" s="556"/>
      <c r="I91" s="556"/>
      <c r="J91" s="557"/>
      <c r="K91" s="557"/>
      <c r="L91" s="558"/>
      <c r="M91" s="559"/>
      <c r="N91" s="2987"/>
      <c r="O91" s="2987"/>
      <c r="P91" s="2995"/>
      <c r="Q91" s="2978"/>
      <c r="R91" s="2979"/>
      <c r="S91" s="2979"/>
      <c r="T91" s="2979"/>
      <c r="U91" s="2979"/>
      <c r="V91" s="2979"/>
      <c r="W91" s="2979"/>
      <c r="X91" s="2979"/>
      <c r="Y91" s="2979"/>
      <c r="Z91" s="2979"/>
      <c r="AA91" s="2979"/>
      <c r="AB91" s="2979"/>
      <c r="AC91" s="2979"/>
    </row>
    <row r="92" spans="1:29" s="434" customFormat="1" ht="14.4" thickBot="1">
      <c r="A92" s="514"/>
      <c r="B92" s="504"/>
      <c r="C92" s="521"/>
      <c r="D92" s="497"/>
      <c r="E92" s="497"/>
      <c r="F92" s="497"/>
      <c r="G92" s="497"/>
      <c r="H92" s="497"/>
      <c r="I92" s="497"/>
      <c r="J92" s="497"/>
      <c r="K92" s="497"/>
      <c r="L92" s="497"/>
      <c r="M92" s="498"/>
      <c r="N92" s="2987"/>
      <c r="O92" s="2987"/>
      <c r="P92" s="2995"/>
      <c r="Q92" s="2978"/>
      <c r="R92" s="2979"/>
      <c r="S92" s="2979"/>
      <c r="T92" s="2979"/>
      <c r="U92" s="2979"/>
      <c r="V92" s="2979"/>
      <c r="W92" s="2979"/>
      <c r="X92" s="2979"/>
      <c r="Y92" s="2979"/>
      <c r="Z92" s="2979"/>
      <c r="AA92" s="2979"/>
      <c r="AB92" s="2979"/>
      <c r="AC92" s="2979"/>
    </row>
    <row r="93" spans="1:29" ht="15" thickTop="1">
      <c r="A93" s="560"/>
      <c r="B93" s="499" t="s">
        <v>2565</v>
      </c>
      <c r="C93" s="515"/>
      <c r="D93" s="515"/>
      <c r="E93" s="544"/>
      <c r="F93" s="544"/>
      <c r="G93" s="544"/>
      <c r="H93" s="544"/>
      <c r="I93" s="544"/>
      <c r="J93" s="544"/>
      <c r="K93" s="545"/>
      <c r="L93" s="546"/>
      <c r="M93" s="547"/>
      <c r="N93" s="2985"/>
      <c r="O93" s="2985"/>
      <c r="P93" s="2994"/>
      <c r="Q93" s="2971"/>
      <c r="R93" s="2957"/>
      <c r="S93" s="2957"/>
      <c r="T93" s="2957"/>
      <c r="U93" s="2957"/>
      <c r="V93" s="2957"/>
      <c r="W93" s="2957"/>
      <c r="X93" s="2957"/>
      <c r="Y93" s="2957"/>
      <c r="Z93" s="2957"/>
      <c r="AA93" s="2957"/>
      <c r="AB93" s="2957"/>
      <c r="AC93" s="2957"/>
    </row>
    <row r="94" spans="1:29" ht="14.4" thickBot="1">
      <c r="A94" s="495"/>
      <c r="B94" s="504"/>
      <c r="C94" s="505">
        <v>100</v>
      </c>
      <c r="D94" s="505">
        <f t="shared" ref="D94:M94" si="22">C94-$K32</f>
        <v>100</v>
      </c>
      <c r="E94" s="505">
        <f t="shared" si="22"/>
        <v>100</v>
      </c>
      <c r="F94" s="505">
        <f t="shared" si="22"/>
        <v>100</v>
      </c>
      <c r="G94" s="505">
        <f t="shared" si="22"/>
        <v>100</v>
      </c>
      <c r="H94" s="505">
        <f t="shared" si="22"/>
        <v>100</v>
      </c>
      <c r="I94" s="505">
        <f t="shared" si="22"/>
        <v>100</v>
      </c>
      <c r="J94" s="505">
        <f t="shared" si="22"/>
        <v>100</v>
      </c>
      <c r="K94" s="505">
        <f t="shared" si="22"/>
        <v>100</v>
      </c>
      <c r="L94" s="505">
        <f t="shared" si="22"/>
        <v>100</v>
      </c>
      <c r="M94" s="506">
        <f t="shared" si="22"/>
        <v>100</v>
      </c>
      <c r="N94" s="2986"/>
      <c r="O94" s="2986"/>
      <c r="P94" s="2994"/>
      <c r="Q94" s="2971"/>
      <c r="R94" s="2957"/>
      <c r="S94" s="2957"/>
      <c r="T94" s="2957"/>
      <c r="U94" s="2957"/>
      <c r="V94" s="2957"/>
      <c r="W94" s="2957"/>
      <c r="X94" s="2957"/>
      <c r="Y94" s="2957"/>
      <c r="Z94" s="2957"/>
      <c r="AA94" s="2957"/>
      <c r="AB94" s="2957"/>
      <c r="AC94" s="2957"/>
    </row>
    <row r="95" spans="1:29" ht="15" thickTop="1">
      <c r="A95" s="560"/>
      <c r="B95" s="499" t="s">
        <v>2566</v>
      </c>
      <c r="C95" s="491"/>
      <c r="D95" s="491"/>
      <c r="E95" s="491"/>
      <c r="F95" s="491"/>
      <c r="G95" s="491"/>
      <c r="H95" s="491"/>
      <c r="I95" s="491"/>
      <c r="J95" s="491"/>
      <c r="K95" s="492"/>
      <c r="L95" s="493"/>
      <c r="M95" s="494"/>
      <c r="N95" s="2985"/>
      <c r="O95" s="2985"/>
      <c r="P95" s="2994"/>
      <c r="Q95" s="2971"/>
      <c r="R95" s="2957"/>
      <c r="S95" s="2957"/>
      <c r="T95" s="2957"/>
      <c r="U95" s="2957"/>
      <c r="V95" s="2957"/>
      <c r="W95" s="2957"/>
      <c r="X95" s="2957"/>
      <c r="Y95" s="2957"/>
      <c r="Z95" s="2957"/>
      <c r="AA95" s="2957"/>
      <c r="AB95" s="2957"/>
      <c r="AC95" s="2957"/>
    </row>
    <row r="96" spans="1:29" ht="14.4" thickBot="1">
      <c r="A96" s="495"/>
      <c r="B96" s="504"/>
      <c r="C96" s="505">
        <v>100</v>
      </c>
      <c r="D96" s="505">
        <f>C96-$K33</f>
        <v>100</v>
      </c>
      <c r="E96" s="505">
        <f>D96-$K33</f>
        <v>100</v>
      </c>
      <c r="F96" s="505">
        <f>E96-$K33</f>
        <v>100</v>
      </c>
      <c r="G96" s="505">
        <f>F96-$K33</f>
        <v>100</v>
      </c>
      <c r="H96" s="505"/>
      <c r="I96" s="505"/>
      <c r="J96" s="505"/>
      <c r="K96" s="505"/>
      <c r="L96" s="505"/>
      <c r="M96" s="506"/>
      <c r="N96" s="2986"/>
      <c r="O96" s="2986"/>
      <c r="P96" s="2994"/>
      <c r="Q96" s="2971"/>
      <c r="R96" s="2957"/>
      <c r="S96" s="2957"/>
      <c r="T96" s="2957"/>
      <c r="U96" s="2957"/>
      <c r="V96" s="2957"/>
      <c r="W96" s="2957"/>
      <c r="X96" s="2957"/>
      <c r="Y96" s="2957"/>
      <c r="Z96" s="2957"/>
      <c r="AA96" s="2957"/>
      <c r="AB96" s="2957"/>
      <c r="AC96" s="2957"/>
    </row>
    <row r="97" spans="1:29" ht="14.4" thickTop="1">
      <c r="A97" s="560"/>
      <c r="B97" s="596">
        <f>B34</f>
        <v>111</v>
      </c>
      <c r="C97" s="510"/>
      <c r="D97" s="510"/>
      <c r="E97" s="510"/>
      <c r="F97" s="510"/>
      <c r="G97" s="515"/>
      <c r="H97" s="516"/>
      <c r="I97" s="516"/>
      <c r="J97" s="516"/>
      <c r="K97" s="516"/>
      <c r="L97" s="517"/>
      <c r="M97" s="518"/>
      <c r="N97" s="2986"/>
      <c r="O97" s="2986"/>
      <c r="P97" s="2999"/>
      <c r="Q97" s="3000"/>
      <c r="R97" s="2957"/>
      <c r="S97" s="2957"/>
      <c r="T97" s="2957"/>
      <c r="U97" s="2957"/>
      <c r="V97" s="2957"/>
      <c r="W97" s="2957"/>
      <c r="X97" s="2957"/>
      <c r="Y97" s="2957"/>
      <c r="Z97" s="2957"/>
      <c r="AA97" s="2957"/>
      <c r="AB97" s="2957"/>
      <c r="AC97" s="2957"/>
    </row>
    <row r="98" spans="1:29" ht="14.4" thickBot="1">
      <c r="A98" s="495"/>
      <c r="B98" s="504"/>
      <c r="C98" s="521"/>
      <c r="D98" s="497"/>
      <c r="E98" s="497"/>
      <c r="F98" s="497"/>
      <c r="G98" s="521"/>
      <c r="H98" s="523"/>
      <c r="I98" s="523"/>
      <c r="J98" s="523"/>
      <c r="K98" s="523"/>
      <c r="L98" s="523"/>
      <c r="M98" s="524"/>
      <c r="N98" s="2986"/>
      <c r="O98" s="2986"/>
      <c r="P98" s="2994"/>
      <c r="Q98" s="2971"/>
      <c r="R98" s="2957"/>
      <c r="S98" s="2957"/>
      <c r="T98" s="2957"/>
      <c r="U98" s="2957"/>
      <c r="V98" s="2957"/>
      <c r="W98" s="2957"/>
      <c r="X98" s="2957"/>
      <c r="Y98" s="2957"/>
      <c r="Z98" s="2957"/>
      <c r="AA98" s="2957"/>
      <c r="AB98" s="2957"/>
      <c r="AC98" s="2957"/>
    </row>
    <row r="99" spans="1:29" s="434" customFormat="1" ht="14.4" thickTop="1">
      <c r="A99" s="554"/>
      <c r="B99" s="499">
        <f>B35</f>
        <v>111</v>
      </c>
      <c r="C99" s="510"/>
      <c r="D99" s="510"/>
      <c r="E99" s="510"/>
      <c r="F99" s="510"/>
      <c r="G99" s="515"/>
      <c r="H99" s="516"/>
      <c r="I99" s="516"/>
      <c r="J99" s="516"/>
      <c r="K99" s="516"/>
      <c r="L99" s="517"/>
      <c r="M99" s="518"/>
      <c r="N99" s="2987"/>
      <c r="O99" s="2987"/>
      <c r="P99" s="2995"/>
      <c r="Q99" s="2978"/>
      <c r="R99" s="2979"/>
      <c r="S99" s="2979"/>
      <c r="T99" s="2979"/>
      <c r="U99" s="2979"/>
      <c r="V99" s="2979"/>
      <c r="W99" s="2979"/>
      <c r="X99" s="2979"/>
      <c r="Y99" s="2979"/>
      <c r="Z99" s="2979"/>
      <c r="AA99" s="2979"/>
      <c r="AB99" s="2979"/>
      <c r="AC99" s="2979"/>
    </row>
    <row r="100" spans="1:29" s="434" customFormat="1" ht="14.4" thickBot="1">
      <c r="A100" s="514"/>
      <c r="B100" s="496"/>
      <c r="C100" s="521"/>
      <c r="D100" s="497"/>
      <c r="E100" s="497"/>
      <c r="F100" s="497"/>
      <c r="G100" s="521"/>
      <c r="H100" s="523"/>
      <c r="I100" s="523"/>
      <c r="J100" s="523"/>
      <c r="K100" s="523"/>
      <c r="L100" s="523"/>
      <c r="M100" s="524"/>
      <c r="N100" s="2987"/>
      <c r="O100" s="2987"/>
      <c r="P100" s="2995"/>
      <c r="Q100" s="2978"/>
      <c r="R100" s="2979"/>
      <c r="S100" s="2979"/>
      <c r="T100" s="2979"/>
      <c r="U100" s="2979"/>
      <c r="V100" s="2979"/>
      <c r="W100" s="2979"/>
      <c r="X100" s="2979"/>
      <c r="Y100" s="2979"/>
      <c r="Z100" s="2979"/>
      <c r="AA100" s="2979"/>
      <c r="AB100" s="2979"/>
      <c r="AC100" s="2979"/>
    </row>
    <row r="101" spans="1:29" ht="14.4" thickTop="1">
      <c r="A101" s="560"/>
      <c r="B101" s="499">
        <f>B36</f>
        <v>111</v>
      </c>
      <c r="C101" s="515"/>
      <c r="D101" s="515"/>
      <c r="E101" s="515"/>
      <c r="F101" s="515"/>
      <c r="G101" s="515"/>
      <c r="H101" s="516"/>
      <c r="I101" s="516"/>
      <c r="J101" s="516"/>
      <c r="K101" s="516"/>
      <c r="L101" s="517"/>
      <c r="M101" s="518"/>
      <c r="N101" s="2985"/>
      <c r="O101" s="2985"/>
      <c r="P101" s="2994"/>
      <c r="Q101" s="2971"/>
      <c r="R101" s="2957"/>
      <c r="S101" s="2957"/>
      <c r="T101" s="2957"/>
      <c r="U101" s="2957"/>
      <c r="V101" s="2957"/>
      <c r="W101" s="2957"/>
      <c r="X101" s="2957"/>
      <c r="Y101" s="2957"/>
      <c r="Z101" s="2957"/>
      <c r="AA101" s="2957"/>
      <c r="AB101" s="2957"/>
      <c r="AC101" s="2957"/>
    </row>
    <row r="102" spans="1:29" ht="14.4" thickBot="1">
      <c r="A102" s="495"/>
      <c r="B102" s="504"/>
      <c r="C102" s="521"/>
      <c r="D102" s="521"/>
      <c r="E102" s="521"/>
      <c r="F102" s="521"/>
      <c r="G102" s="521"/>
      <c r="H102" s="523"/>
      <c r="I102" s="523"/>
      <c r="J102" s="523"/>
      <c r="K102" s="523"/>
      <c r="L102" s="523"/>
      <c r="M102" s="524"/>
      <c r="N102" s="2986"/>
      <c r="O102" s="2986"/>
      <c r="P102" s="2994"/>
      <c r="Q102" s="2971"/>
      <c r="R102" s="2957"/>
      <c r="S102" s="2957"/>
      <c r="T102" s="2957"/>
      <c r="U102" s="2957"/>
      <c r="V102" s="2957"/>
      <c r="W102" s="2957"/>
      <c r="X102" s="2957"/>
      <c r="Y102" s="2957"/>
      <c r="Z102" s="2957"/>
      <c r="AA102" s="2957"/>
      <c r="AB102" s="2957"/>
      <c r="AC102" s="2957"/>
    </row>
    <row r="103" spans="1:29" ht="14.4" thickTop="1">
      <c r="N103" s="2957"/>
      <c r="O103" s="2957"/>
      <c r="P103" s="2988"/>
      <c r="Q103" s="2957"/>
      <c r="R103" s="2957"/>
      <c r="S103" s="2957"/>
      <c r="T103" s="2957"/>
      <c r="U103" s="2957"/>
      <c r="V103" s="2957"/>
      <c r="W103" s="2957"/>
      <c r="X103" s="2957"/>
      <c r="Y103" s="2957"/>
      <c r="Z103" s="2957"/>
      <c r="AA103" s="2957"/>
      <c r="AB103" s="2957"/>
      <c r="AC103" s="295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7" priority="17" stopIfTrue="1" operator="containsText" text="超过">
      <formula>NOT(ISERROR(SEARCH("超过",F42)))</formula>
    </cfRule>
  </conditionalFormatting>
  <conditionalFormatting sqref="J44">
    <cfRule type="containsText" dxfId="66" priority="16" stopIfTrue="1" operator="containsText" text="超过">
      <formula>NOT(ISERROR(SEARCH("超过",J44)))</formula>
    </cfRule>
  </conditionalFormatting>
  <conditionalFormatting sqref="H44">
    <cfRule type="containsText" dxfId="65" priority="15" stopIfTrue="1" operator="containsText" text="超过">
      <formula>NOT(ISERROR(SEARCH("超过",H44)))</formula>
    </cfRule>
  </conditionalFormatting>
  <conditionalFormatting sqref="F44">
    <cfRule type="containsText" dxfId="64" priority="14" stopIfTrue="1" operator="containsText" text="超过">
      <formula>NOT(ISERROR(SEARCH("超过",F44)))</formula>
    </cfRule>
  </conditionalFormatting>
  <conditionalFormatting sqref="F43 H43 J43">
    <cfRule type="containsText" dxfId="63" priority="13" stopIfTrue="1" operator="containsText" text="超过">
      <formula>NOT(ISERROR(SEARCH("超过",F43)))</formula>
    </cfRule>
  </conditionalFormatting>
  <conditionalFormatting sqref="E42">
    <cfRule type="expression" dxfId="62" priority="12" stopIfTrue="1">
      <formula>$F$42="超过30%"</formula>
    </cfRule>
  </conditionalFormatting>
  <conditionalFormatting sqref="G44">
    <cfRule type="expression" dxfId="61" priority="11" stopIfTrue="1">
      <formula>$H$54+$H$44="超过30%"</formula>
    </cfRule>
  </conditionalFormatting>
  <conditionalFormatting sqref="E43">
    <cfRule type="expression" dxfId="60" priority="10" stopIfTrue="1">
      <formula>$F$43="超过20%"</formula>
    </cfRule>
  </conditionalFormatting>
  <conditionalFormatting sqref="E44">
    <cfRule type="expression" dxfId="59" priority="9" stopIfTrue="1">
      <formula>$F$44="超过30%"</formula>
    </cfRule>
  </conditionalFormatting>
  <conditionalFormatting sqref="G42">
    <cfRule type="expression" dxfId="58" priority="8" stopIfTrue="1">
      <formula>$H$52+$H$42="超过30%"</formula>
    </cfRule>
  </conditionalFormatting>
  <conditionalFormatting sqref="G43">
    <cfRule type="expression" dxfId="57" priority="7" stopIfTrue="1">
      <formula>$H$43="超过20%"</formula>
    </cfRule>
  </conditionalFormatting>
  <conditionalFormatting sqref="I42">
    <cfRule type="expression" dxfId="56" priority="6" stopIfTrue="1">
      <formula>$J$52+$J$42="超过30%"</formula>
    </cfRule>
  </conditionalFormatting>
  <conditionalFormatting sqref="I43">
    <cfRule type="expression" dxfId="55" priority="5" stopIfTrue="1">
      <formula>$J$53+$J$43="超过20%"</formula>
    </cfRule>
  </conditionalFormatting>
  <conditionalFormatting sqref="I44">
    <cfRule type="expression" dxfId="54" priority="4" stopIfTrue="1">
      <formula>$J$44="超过30%"</formula>
    </cfRule>
  </conditionalFormatting>
  <conditionalFormatting sqref="F38">
    <cfRule type="expression" dxfId="53" priority="3">
      <formula>$D$38="简单平均"</formula>
    </cfRule>
  </conditionalFormatting>
  <conditionalFormatting sqref="H38">
    <cfRule type="expression" dxfId="52" priority="2">
      <formula>$D$38="简单平均"</formula>
    </cfRule>
  </conditionalFormatting>
  <conditionalFormatting sqref="J38">
    <cfRule type="expression" dxfId="51"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48" sqref="D48"/>
    </sheetView>
  </sheetViews>
  <sheetFormatPr defaultColWidth="9" defaultRowHeight="13.8"/>
  <cols>
    <col min="1" max="1" width="10.44140625" style="367" customWidth="1"/>
    <col min="2" max="2" width="15.77734375" style="367" customWidth="1"/>
    <col min="3" max="3" width="14.33203125" style="367" customWidth="1"/>
    <col min="4" max="4" width="12.21875" style="367" customWidth="1"/>
    <col min="5" max="5" width="14.33203125" style="367" customWidth="1"/>
    <col min="6" max="6" width="12.21875" style="367" customWidth="1"/>
    <col min="7" max="7" width="14.44140625" style="367" customWidth="1"/>
    <col min="8" max="8" width="12.21875" style="367" customWidth="1"/>
    <col min="9" max="9" width="14.44140625" style="367" customWidth="1"/>
    <col min="10" max="10" width="12.21875" style="367" customWidth="1"/>
    <col min="11" max="11" width="12.21875" style="456" customWidth="1"/>
    <col min="12" max="12" width="12.21875" style="457" customWidth="1"/>
    <col min="13" max="15" width="12.21875" style="367" customWidth="1"/>
    <col min="16" max="16" width="4.77734375" style="367" customWidth="1"/>
    <col min="17" max="17" width="19.44140625" style="367" customWidth="1"/>
    <col min="18" max="22" width="6.109375" style="367" customWidth="1"/>
    <col min="23" max="23" width="5.77734375" style="367" customWidth="1"/>
    <col min="24" max="24" width="4.21875" style="367" customWidth="1"/>
    <col min="25" max="25" width="3.44140625" style="367" customWidth="1"/>
    <col min="26" max="26" width="19.77734375" style="367" customWidth="1"/>
    <col min="27" max="28" width="9.33203125" style="367" customWidth="1"/>
    <col min="29" max="16384" width="9" style="367"/>
  </cols>
  <sheetData>
    <row r="1" spans="1:29" s="1405" customFormat="1" ht="28.5" customHeight="1" thickBot="1">
      <c r="A1" s="1394" t="s">
        <v>2537</v>
      </c>
      <c r="B1" s="1395"/>
      <c r="C1" s="1396" t="s">
        <v>2360</v>
      </c>
      <c r="D1" s="1397"/>
      <c r="E1" s="1406"/>
      <c r="F1" s="2071"/>
      <c r="G1" s="1407" t="s">
        <v>2473</v>
      </c>
      <c r="H1" s="1406"/>
      <c r="I1" s="1406"/>
      <c r="J1" s="1406"/>
      <c r="K1" s="1408"/>
      <c r="L1" s="1409"/>
      <c r="M1" s="1410"/>
      <c r="N1" s="1410"/>
      <c r="O1" s="1410"/>
      <c r="P1" s="1396"/>
      <c r="Q1" s="1396"/>
      <c r="R1" s="1396"/>
      <c r="S1" s="1396"/>
      <c r="T1" s="1396"/>
      <c r="U1" s="1396"/>
      <c r="V1" s="1396"/>
      <c r="W1" s="1396"/>
      <c r="X1" s="1396"/>
      <c r="Y1" s="1396"/>
      <c r="Z1" s="1396"/>
      <c r="AA1" s="1396"/>
      <c r="AB1" s="1396"/>
      <c r="AC1" s="1404"/>
    </row>
    <row r="2" spans="1:29" s="362" customFormat="1" ht="28.5" customHeight="1" thickTop="1">
      <c r="A2" s="1393" t="s">
        <v>2157</v>
      </c>
      <c r="B2" s="1330" t="e">
        <f ca="1">IF(C2="——",ROUND(C37*D3/10000,0),ROUND(C37*D3/10000,0)-D2)</f>
        <v>#DIV/0!</v>
      </c>
      <c r="C2" s="2073"/>
      <c r="D2" s="1042" t="e">
        <f ca="1">SUMIF(INDIRECT("'"&amp;F2&amp;"'"&amp;"!A:A"),"承租人权益价值",INDIRECT("'"&amp;F2&amp;"'"&amp;"!c:c"))</f>
        <v>#REF!</v>
      </c>
      <c r="E2" s="2074" t="s">
        <v>2158</v>
      </c>
      <c r="F2" s="2075"/>
      <c r="G2" s="1043"/>
      <c r="H2" s="1043"/>
      <c r="I2" s="1043"/>
      <c r="J2" s="1043"/>
      <c r="K2" s="1045"/>
      <c r="L2" s="2966"/>
      <c r="M2" s="2967"/>
      <c r="N2" s="2967"/>
      <c r="O2" s="2967"/>
      <c r="P2" s="712"/>
      <c r="Q2" s="712"/>
      <c r="R2" s="712"/>
      <c r="S2" s="712"/>
      <c r="T2" s="712"/>
      <c r="U2" s="712"/>
      <c r="V2" s="712"/>
      <c r="W2" s="712"/>
      <c r="X2" s="712"/>
      <c r="Y2" s="712"/>
      <c r="Z2" s="712"/>
      <c r="AA2" s="712"/>
      <c r="AB2" s="712"/>
      <c r="AC2" s="713"/>
    </row>
    <row r="3" spans="1:29" s="362" customFormat="1" ht="28.5" customHeight="1" thickBot="1">
      <c r="A3" s="213" t="s">
        <v>2159</v>
      </c>
      <c r="B3" s="570" t="e">
        <f ca="1">IF(C2="——",C37,ROUND(B2*10000/D3,0))</f>
        <v>#DIV/0!</v>
      </c>
      <c r="C3" s="364" t="s">
        <v>2474</v>
      </c>
      <c r="D3" s="363">
        <f>SUMIF('数据-汇总表'!$C19:$C33,D1,'数据-汇总表'!$E19:$E33)</f>
        <v>0</v>
      </c>
      <c r="E3" s="1043"/>
      <c r="F3" s="1044"/>
      <c r="G3" s="1043"/>
      <c r="H3" s="1043"/>
      <c r="I3" s="1043"/>
      <c r="J3" s="1043"/>
      <c r="K3" s="1045"/>
      <c r="L3" s="2966"/>
      <c r="M3" s="2967"/>
      <c r="N3" s="2967"/>
      <c r="O3" s="2967"/>
      <c r="P3" s="712"/>
      <c r="Q3" s="712"/>
      <c r="R3" s="712"/>
      <c r="S3" s="712"/>
      <c r="T3" s="712"/>
      <c r="U3" s="712"/>
      <c r="V3" s="712"/>
      <c r="W3" s="712"/>
      <c r="X3" s="712"/>
      <c r="Y3" s="712"/>
      <c r="Z3" s="712"/>
      <c r="AA3" s="712"/>
      <c r="AB3" s="729"/>
      <c r="AC3" s="726"/>
    </row>
    <row r="4" spans="1:29" ht="14.4">
      <c r="A4" s="365" t="s">
        <v>2475</v>
      </c>
      <c r="B4" s="366"/>
      <c r="C4" s="3380" t="s">
        <v>2476</v>
      </c>
      <c r="D4" s="3381"/>
      <c r="E4" s="3382" t="s">
        <v>2477</v>
      </c>
      <c r="F4" s="3383"/>
      <c r="G4" s="3380" t="s">
        <v>2478</v>
      </c>
      <c r="H4" s="3381"/>
      <c r="I4" s="3380" t="s">
        <v>2479</v>
      </c>
      <c r="J4" s="3381"/>
      <c r="K4" s="571" t="s">
        <v>2480</v>
      </c>
      <c r="L4" s="2947"/>
      <c r="M4" s="2948"/>
      <c r="N4" s="2948"/>
      <c r="O4" s="2948"/>
      <c r="P4" s="3384" t="s">
        <v>2481</v>
      </c>
      <c r="Q4" s="3385"/>
      <c r="R4" s="3367" t="s">
        <v>2477</v>
      </c>
      <c r="S4" s="3368"/>
      <c r="T4" s="3367" t="s">
        <v>2478</v>
      </c>
      <c r="U4" s="3368"/>
      <c r="V4" s="3392" t="s">
        <v>2479</v>
      </c>
      <c r="W4" s="3392"/>
      <c r="X4" s="1545"/>
      <c r="Y4" s="3367" t="s">
        <v>2481</v>
      </c>
      <c r="Z4" s="3368"/>
      <c r="AA4" s="3362" t="s">
        <v>2477</v>
      </c>
      <c r="AB4" s="3363" t="s">
        <v>2478</v>
      </c>
      <c r="AC4" s="3362" t="s">
        <v>2479</v>
      </c>
    </row>
    <row r="5" spans="1:29">
      <c r="A5" s="368"/>
      <c r="B5" s="369"/>
      <c r="C5" s="3373" t="s">
        <v>2372</v>
      </c>
      <c r="D5" s="3374"/>
      <c r="E5" s="3371" t="s">
        <v>2373</v>
      </c>
      <c r="F5" s="3372"/>
      <c r="G5" s="3373" t="s">
        <v>2374</v>
      </c>
      <c r="H5" s="3374"/>
      <c r="I5" s="3373" t="s">
        <v>2375</v>
      </c>
      <c r="J5" s="3374"/>
      <c r="K5" s="571"/>
      <c r="L5" s="2947"/>
      <c r="M5" s="2948"/>
      <c r="N5" s="2948"/>
      <c r="O5" s="2948"/>
      <c r="P5" s="3386"/>
      <c r="Q5" s="3387"/>
      <c r="R5" s="3369"/>
      <c r="S5" s="3370"/>
      <c r="T5" s="3369"/>
      <c r="U5" s="3370"/>
      <c r="V5" s="3392"/>
      <c r="W5" s="3392"/>
      <c r="X5" s="1545"/>
      <c r="Y5" s="3369"/>
      <c r="Z5" s="3370"/>
      <c r="AA5" s="3363"/>
      <c r="AB5" s="3363"/>
      <c r="AC5" s="3363"/>
    </row>
    <row r="6" spans="1:29" ht="15" thickBot="1">
      <c r="A6" s="370"/>
      <c r="B6" s="371"/>
      <c r="C6" s="3375" t="s">
        <v>2376</v>
      </c>
      <c r="D6" s="3376"/>
      <c r="E6" s="3377" t="s">
        <v>2376</v>
      </c>
      <c r="F6" s="3378"/>
      <c r="G6" s="3375" t="s">
        <v>2376</v>
      </c>
      <c r="H6" s="3376"/>
      <c r="I6" s="3375" t="s">
        <v>2376</v>
      </c>
      <c r="J6" s="3376"/>
      <c r="K6" s="571" t="s">
        <v>2377</v>
      </c>
      <c r="L6" s="2947"/>
      <c r="M6" s="2948"/>
      <c r="N6" s="2948"/>
      <c r="O6" s="2948"/>
      <c r="P6" s="3388"/>
      <c r="Q6" s="3389"/>
      <c r="R6" s="3369"/>
      <c r="S6" s="3370"/>
      <c r="T6" s="3390"/>
      <c r="U6" s="3391"/>
      <c r="V6" s="3392"/>
      <c r="W6" s="3392"/>
      <c r="X6" s="1545"/>
      <c r="Y6" s="3390"/>
      <c r="Z6" s="3391"/>
      <c r="AA6" s="3364"/>
      <c r="AB6" s="3364"/>
      <c r="AC6" s="3364"/>
    </row>
    <row r="7" spans="1:29" s="117" customFormat="1" ht="15" thickBot="1">
      <c r="A7" s="372" t="s">
        <v>2378</v>
      </c>
      <c r="B7" s="373"/>
      <c r="C7" s="374">
        <f>'数据-取费表'!B2</f>
        <v>44063</v>
      </c>
      <c r="D7" s="375">
        <v>100</v>
      </c>
      <c r="E7" s="376"/>
      <c r="F7" s="377">
        <f>SUMIF(46:46,YEAR(E7)&amp;"-"&amp;MONTH(E7),47:47)</f>
        <v>0</v>
      </c>
      <c r="G7" s="2166"/>
      <c r="H7" s="375">
        <f>SUMIF(46:46,YEAR(G7)&amp;"-"&amp;MONTH(G7),47:47)</f>
        <v>0</v>
      </c>
      <c r="I7" s="376"/>
      <c r="J7" s="375">
        <f>SUMIF(46:46,YEAR(I7)&amp;"-"&amp;MONTH(I7),47:47)</f>
        <v>0</v>
      </c>
      <c r="K7" s="572"/>
      <c r="L7" s="2949"/>
      <c r="M7" s="2950"/>
      <c r="N7" s="2950"/>
      <c r="O7" s="2950"/>
      <c r="P7" s="3365" t="s">
        <v>2379</v>
      </c>
      <c r="Q7" s="3393"/>
      <c r="R7" s="714" t="s">
        <v>17</v>
      </c>
      <c r="S7" s="715">
        <f t="shared" ref="S7:S14" si="0">F7</f>
        <v>0</v>
      </c>
      <c r="T7" s="714" t="s">
        <v>17</v>
      </c>
      <c r="U7" s="715">
        <f t="shared" ref="U7:U14" si="1">H7</f>
        <v>0</v>
      </c>
      <c r="V7" s="714" t="s">
        <v>17</v>
      </c>
      <c r="W7" s="715">
        <f t="shared" ref="W7:W14" si="2">J7</f>
        <v>0</v>
      </c>
      <c r="X7" s="716"/>
      <c r="Y7" s="3365" t="s">
        <v>2379</v>
      </c>
      <c r="Z7" s="3366"/>
      <c r="AA7" s="717" t="e">
        <f>D7/F7</f>
        <v>#DIV/0!</v>
      </c>
      <c r="AB7" s="717" t="e">
        <f>D7/H7</f>
        <v>#DIV/0!</v>
      </c>
      <c r="AC7" s="717" t="e">
        <f>D7/J7</f>
        <v>#DIV/0!</v>
      </c>
    </row>
    <row r="8" spans="1:29" s="117" customFormat="1" ht="15" thickBot="1">
      <c r="A8" s="372" t="s">
        <v>2380</v>
      </c>
      <c r="B8" s="373"/>
      <c r="C8" s="378" t="s">
        <v>2482</v>
      </c>
      <c r="D8" s="375">
        <v>100</v>
      </c>
      <c r="E8" s="378"/>
      <c r="F8" s="377">
        <f>SUMIF(49:49,E8,50:50)-SUMIF(49:49,C8,50:50)+100</f>
        <v>0</v>
      </c>
      <c r="G8" s="378"/>
      <c r="H8" s="375">
        <f>SUMIF(49:49,G8,50:50)-SUMIF(49:49,C8,50:50)+100</f>
        <v>0</v>
      </c>
      <c r="I8" s="378"/>
      <c r="J8" s="375">
        <f>SUMIF(49:49,I8,50:50)-SUMIF(49:49,C8,50:50)+100</f>
        <v>0</v>
      </c>
      <c r="K8" s="572"/>
      <c r="L8" s="2949"/>
      <c r="M8" s="2950"/>
      <c r="N8" s="2950"/>
      <c r="O8" s="2950"/>
      <c r="P8" s="3365" t="s">
        <v>2382</v>
      </c>
      <c r="Q8" s="3366"/>
      <c r="R8" s="714" t="s">
        <v>17</v>
      </c>
      <c r="S8" s="715">
        <f t="shared" si="0"/>
        <v>0</v>
      </c>
      <c r="T8" s="714" t="s">
        <v>17</v>
      </c>
      <c r="U8" s="715">
        <f t="shared" si="1"/>
        <v>0</v>
      </c>
      <c r="V8" s="714" t="s">
        <v>17</v>
      </c>
      <c r="W8" s="715">
        <f t="shared" si="2"/>
        <v>0</v>
      </c>
      <c r="X8" s="716"/>
      <c r="Y8" s="3365" t="s">
        <v>2382</v>
      </c>
      <c r="Z8" s="3366"/>
      <c r="AA8" s="717" t="e">
        <f t="shared" ref="AA8:AA34" si="3">D8/F8</f>
        <v>#DIV/0!</v>
      </c>
      <c r="AB8" s="717" t="e">
        <f t="shared" ref="AB8:AB34" si="4">D8/H8</f>
        <v>#DIV/0!</v>
      </c>
      <c r="AC8" s="717" t="e">
        <f t="shared" ref="AC8:AC34" si="5">D8/J8</f>
        <v>#DIV/0!</v>
      </c>
    </row>
    <row r="9" spans="1:29" s="117" customFormat="1" ht="14.4">
      <c r="A9" s="379" t="s">
        <v>2383</v>
      </c>
      <c r="B9" s="71" t="s">
        <v>2384</v>
      </c>
      <c r="C9" s="380"/>
      <c r="D9" s="135">
        <v>100</v>
      </c>
      <c r="E9" s="383"/>
      <c r="F9" s="382">
        <f>SUMIF(51:51,E9,52:52)-SUMIF(51:51,C9,52:52)+100</f>
        <v>100</v>
      </c>
      <c r="G9" s="383"/>
      <c r="H9" s="135">
        <f>SUMIF(51:51,G9,52:52)-SUMIF(51:51,C9,52:52)+100</f>
        <v>100</v>
      </c>
      <c r="I9" s="383"/>
      <c r="J9" s="135">
        <f>SUMIF(51:51,I9,52:52)-SUMIF(51:51,C9,52:52)+100</f>
        <v>100</v>
      </c>
      <c r="K9" s="572"/>
      <c r="L9" s="2949"/>
      <c r="M9" s="2950"/>
      <c r="N9" s="2950"/>
      <c r="O9" s="3004"/>
      <c r="P9" s="3397" t="s">
        <v>2385</v>
      </c>
      <c r="Q9" s="1533" t="str">
        <f t="shared" ref="Q9:Q14" si="6">B9</f>
        <v>用途</v>
      </c>
      <c r="R9" s="714" t="s">
        <v>17</v>
      </c>
      <c r="S9" s="715">
        <f t="shared" si="0"/>
        <v>100</v>
      </c>
      <c r="T9" s="714" t="s">
        <v>17</v>
      </c>
      <c r="U9" s="715">
        <f t="shared" si="1"/>
        <v>100</v>
      </c>
      <c r="V9" s="714" t="s">
        <v>17</v>
      </c>
      <c r="W9" s="715">
        <f t="shared" si="2"/>
        <v>100</v>
      </c>
      <c r="X9" s="716"/>
      <c r="Y9" s="3282" t="s">
        <v>2386</v>
      </c>
      <c r="Z9" s="55" t="str">
        <f t="shared" ref="Z9:Z14" si="7">Q9</f>
        <v>用途</v>
      </c>
      <c r="AA9" s="717">
        <f t="shared" si="3"/>
        <v>1</v>
      </c>
      <c r="AB9" s="717">
        <f t="shared" si="4"/>
        <v>1</v>
      </c>
      <c r="AC9" s="717">
        <f t="shared" si="5"/>
        <v>1</v>
      </c>
    </row>
    <row r="10" spans="1:29" s="390" customFormat="1" ht="28.8">
      <c r="A10" s="384"/>
      <c r="B10" s="385" t="s">
        <v>2387</v>
      </c>
      <c r="C10" s="386"/>
      <c r="D10" s="136">
        <v>100</v>
      </c>
      <c r="E10" s="386"/>
      <c r="F10" s="388">
        <f>SUMIF(53:53,E10,54:54)-SUMIF(53:53,C10,54:54)+100</f>
        <v>100</v>
      </c>
      <c r="G10" s="386"/>
      <c r="H10" s="136">
        <f>SUMIF(53:53,G10,54:54)-SUMIF(53:53,C10,54:54)+100</f>
        <v>100</v>
      </c>
      <c r="I10" s="386"/>
      <c r="J10" s="136">
        <f>SUMIF(53:53,I10,54:54)-SUMIF(53:53,C10,54:54)+100</f>
        <v>100</v>
      </c>
      <c r="K10" s="573"/>
      <c r="L10" s="2951"/>
      <c r="M10" s="2952"/>
      <c r="N10" s="2952"/>
      <c r="O10" s="3005"/>
      <c r="P10" s="3397"/>
      <c r="Q10" s="1533" t="str">
        <f t="shared" si="6"/>
        <v>土地使用年限（年）</v>
      </c>
      <c r="R10" s="714" t="s">
        <v>17</v>
      </c>
      <c r="S10" s="715">
        <f t="shared" si="0"/>
        <v>100</v>
      </c>
      <c r="T10" s="714" t="s">
        <v>17</v>
      </c>
      <c r="U10" s="715">
        <f t="shared" si="1"/>
        <v>100</v>
      </c>
      <c r="V10" s="714" t="s">
        <v>17</v>
      </c>
      <c r="W10" s="715">
        <f t="shared" si="2"/>
        <v>100</v>
      </c>
      <c r="X10" s="716"/>
      <c r="Y10" s="3282"/>
      <c r="Z10" s="55" t="str">
        <f t="shared" si="7"/>
        <v>土地使用年限（年）</v>
      </c>
      <c r="AA10" s="717">
        <f t="shared" si="3"/>
        <v>1</v>
      </c>
      <c r="AB10" s="717">
        <f t="shared" si="4"/>
        <v>1</v>
      </c>
      <c r="AC10" s="717">
        <f t="shared" si="5"/>
        <v>1</v>
      </c>
    </row>
    <row r="11" spans="1:29" ht="15">
      <c r="A11" s="391"/>
      <c r="B11" s="2085">
        <v>111</v>
      </c>
      <c r="C11" s="395"/>
      <c r="D11" s="136">
        <v>100</v>
      </c>
      <c r="E11" s="432"/>
      <c r="F11" s="388">
        <f>SUMIF(55:55,E11,56:56)-SUMIF(55:55,C11,56:56)+100</f>
        <v>100</v>
      </c>
      <c r="G11" s="432"/>
      <c r="H11" s="136">
        <f>SUMIF(55:55,G11,56:56)-SUMIF(55:55,C11,56:56)+100</f>
        <v>100</v>
      </c>
      <c r="I11" s="432"/>
      <c r="J11" s="136">
        <f>SUMIF(55:55,I11,56:56)-SUMIF(55:55,C11,56:56)+100</f>
        <v>100</v>
      </c>
      <c r="K11" s="574"/>
      <c r="L11" s="2953"/>
      <c r="M11" s="2948"/>
      <c r="N11" s="2948"/>
      <c r="O11" s="3006"/>
      <c r="P11" s="3397"/>
      <c r="Q11" s="1533">
        <f t="shared" si="6"/>
        <v>111</v>
      </c>
      <c r="R11" s="714" t="s">
        <v>17</v>
      </c>
      <c r="S11" s="715">
        <f t="shared" si="0"/>
        <v>100</v>
      </c>
      <c r="T11" s="714" t="s">
        <v>17</v>
      </c>
      <c r="U11" s="715">
        <f t="shared" si="1"/>
        <v>100</v>
      </c>
      <c r="V11" s="714" t="s">
        <v>17</v>
      </c>
      <c r="W11" s="715">
        <f t="shared" si="2"/>
        <v>100</v>
      </c>
      <c r="X11" s="716"/>
      <c r="Y11" s="3282"/>
      <c r="Z11" s="55">
        <f t="shared" si="7"/>
        <v>111</v>
      </c>
      <c r="AA11" s="717">
        <f t="shared" si="3"/>
        <v>1</v>
      </c>
      <c r="AB11" s="717">
        <f t="shared" si="4"/>
        <v>1</v>
      </c>
      <c r="AC11" s="717">
        <f t="shared" si="5"/>
        <v>1</v>
      </c>
    </row>
    <row r="12" spans="1:29" s="117" customFormat="1" ht="15">
      <c r="A12" s="394"/>
      <c r="B12" s="2085">
        <v>111</v>
      </c>
      <c r="C12" s="395"/>
      <c r="D12" s="396">
        <v>100</v>
      </c>
      <c r="E12" s="432"/>
      <c r="F12" s="388">
        <f>SUMIF(57:57,E12,58:58)-SUMIF(57:57,C12,58:58)+100</f>
        <v>100</v>
      </c>
      <c r="G12" s="432"/>
      <c r="H12" s="136">
        <f>SUMIF(57:57,G12,58:58)-SUMIF(57:57,C12,58:58)+100</f>
        <v>100</v>
      </c>
      <c r="I12" s="432"/>
      <c r="J12" s="136">
        <f>SUMIF(57:57,I12,58:58)-SUMIF(57:57,C12,58:58)+100</f>
        <v>100</v>
      </c>
      <c r="K12" s="574"/>
      <c r="L12" s="2949"/>
      <c r="M12" s="2950"/>
      <c r="N12" s="2950"/>
      <c r="O12" s="3004"/>
      <c r="P12" s="3397"/>
      <c r="Q12" s="1533">
        <f t="shared" si="6"/>
        <v>111</v>
      </c>
      <c r="R12" s="714" t="s">
        <v>17</v>
      </c>
      <c r="S12" s="715">
        <f t="shared" si="0"/>
        <v>100</v>
      </c>
      <c r="T12" s="714" t="s">
        <v>17</v>
      </c>
      <c r="U12" s="715">
        <f t="shared" si="1"/>
        <v>100</v>
      </c>
      <c r="V12" s="714" t="s">
        <v>17</v>
      </c>
      <c r="W12" s="715">
        <f t="shared" si="2"/>
        <v>100</v>
      </c>
      <c r="X12" s="716"/>
      <c r="Y12" s="3282"/>
      <c r="Z12" s="55">
        <f t="shared" si="7"/>
        <v>111</v>
      </c>
      <c r="AA12" s="717">
        <f>D12/F12</f>
        <v>1</v>
      </c>
      <c r="AB12" s="717">
        <f>D12/H12</f>
        <v>1</v>
      </c>
      <c r="AC12" s="717">
        <f>D12/J12</f>
        <v>1</v>
      </c>
    </row>
    <row r="13" spans="1:29" ht="15.6" thickBot="1">
      <c r="A13" s="391"/>
      <c r="B13" s="2085">
        <v>111</v>
      </c>
      <c r="C13" s="397"/>
      <c r="D13" s="398">
        <v>100</v>
      </c>
      <c r="E13" s="432"/>
      <c r="F13" s="388">
        <f>SUMIF(59:59,E13,60:60)-SUMIF(59:59,C13,60:60)+100</f>
        <v>100</v>
      </c>
      <c r="G13" s="2167"/>
      <c r="H13" s="401">
        <f>SUMIF(59:59,G13,60:60)-SUMIF(59:59,C13,60:60)+100</f>
        <v>100</v>
      </c>
      <c r="I13" s="432"/>
      <c r="J13" s="398">
        <f>SUMIF(59:59,I13,60:60)-SUMIF(59:59,C13,60:60)+100</f>
        <v>100</v>
      </c>
      <c r="K13" s="574"/>
      <c r="L13" s="2954"/>
      <c r="M13" s="2948"/>
      <c r="N13" s="2948"/>
      <c r="O13" s="3006"/>
      <c r="P13" s="3397"/>
      <c r="Q13" s="1533">
        <f t="shared" si="6"/>
        <v>111</v>
      </c>
      <c r="R13" s="714" t="s">
        <v>17</v>
      </c>
      <c r="S13" s="715">
        <f t="shared" si="0"/>
        <v>100</v>
      </c>
      <c r="T13" s="714" t="s">
        <v>17</v>
      </c>
      <c r="U13" s="715">
        <f t="shared" si="1"/>
        <v>100</v>
      </c>
      <c r="V13" s="714" t="s">
        <v>17</v>
      </c>
      <c r="W13" s="715">
        <f t="shared" si="2"/>
        <v>100</v>
      </c>
      <c r="X13" s="716"/>
      <c r="Y13" s="3282"/>
      <c r="Z13" s="55">
        <f t="shared" si="7"/>
        <v>111</v>
      </c>
      <c r="AA13" s="717">
        <f t="shared" si="3"/>
        <v>1</v>
      </c>
      <c r="AB13" s="717">
        <f t="shared" si="4"/>
        <v>1</v>
      </c>
      <c r="AC13" s="717">
        <f t="shared" si="5"/>
        <v>1</v>
      </c>
    </row>
    <row r="14" spans="1:29" ht="96.6">
      <c r="A14" s="403" t="s">
        <v>2389</v>
      </c>
      <c r="B14" s="69" t="s">
        <v>2539</v>
      </c>
      <c r="C14" s="2163" t="str">
        <f>IF(B1="工业",估价对象房地状况!G4,估价对象房地状况!C6)</f>
        <v>估价对象周边道路状况、公共交通通达情况、停车便捷程度，综合评价交通便捷度较好</v>
      </c>
      <c r="D14" s="404">
        <v>100</v>
      </c>
      <c r="E14" s="405"/>
      <c r="F14" s="406">
        <f>SUMIF(61:61,E15,62:62)-SUMIF(61:61,C15,62:62)+100</f>
        <v>100</v>
      </c>
      <c r="G14" s="407"/>
      <c r="H14" s="404">
        <f>SUMIF(61:61,G15,62:62)-SUMIF(61:61,C15,62:62)+100</f>
        <v>100</v>
      </c>
      <c r="I14" s="405"/>
      <c r="J14" s="404">
        <f>SUMIF(61:61,I15,62:62)-SUMIF(61:61,C15,62:62)+100</f>
        <v>100</v>
      </c>
      <c r="K14" s="575"/>
      <c r="L14" s="2954"/>
      <c r="M14" s="2948"/>
      <c r="N14" s="2948"/>
      <c r="O14" s="3006"/>
      <c r="P14" s="3399" t="s">
        <v>2390</v>
      </c>
      <c r="Q14" s="1542" t="str">
        <f t="shared" si="6"/>
        <v>交通便捷度</v>
      </c>
      <c r="R14" s="718" t="s">
        <v>17</v>
      </c>
      <c r="S14" s="719">
        <f t="shared" si="0"/>
        <v>100</v>
      </c>
      <c r="T14" s="718" t="s">
        <v>17</v>
      </c>
      <c r="U14" s="719">
        <f t="shared" si="1"/>
        <v>100</v>
      </c>
      <c r="V14" s="718" t="s">
        <v>17</v>
      </c>
      <c r="W14" s="719">
        <f t="shared" si="2"/>
        <v>100</v>
      </c>
      <c r="X14" s="1545"/>
      <c r="Y14" s="3399" t="s">
        <v>2390</v>
      </c>
      <c r="Z14" s="1546" t="str">
        <f t="shared" si="7"/>
        <v>交通便捷度</v>
      </c>
      <c r="AA14" s="1543">
        <f t="shared" si="3"/>
        <v>1</v>
      </c>
      <c r="AB14" s="1543">
        <f t="shared" si="4"/>
        <v>1</v>
      </c>
      <c r="AC14" s="1543">
        <f t="shared" si="5"/>
        <v>1</v>
      </c>
    </row>
    <row r="15" spans="1:29" ht="15">
      <c r="A15" s="391"/>
      <c r="B15" s="409"/>
      <c r="C15" s="410"/>
      <c r="D15" s="411"/>
      <c r="E15" s="410"/>
      <c r="F15" s="412"/>
      <c r="G15" s="410"/>
      <c r="H15" s="413"/>
      <c r="I15" s="410"/>
      <c r="J15" s="411"/>
      <c r="K15" s="576"/>
      <c r="L15" s="2954"/>
      <c r="M15" s="2948"/>
      <c r="N15" s="2948"/>
      <c r="O15" s="3006"/>
      <c r="P15" s="3400"/>
      <c r="Q15" s="1542"/>
      <c r="R15" s="718"/>
      <c r="S15" s="719"/>
      <c r="T15" s="718"/>
      <c r="U15" s="719"/>
      <c r="V15" s="718"/>
      <c r="W15" s="719"/>
      <c r="X15" s="1545"/>
      <c r="Y15" s="3400"/>
      <c r="Z15" s="1546"/>
      <c r="AA15" s="1543">
        <v>1</v>
      </c>
      <c r="AB15" s="1543">
        <v>1</v>
      </c>
      <c r="AC15" s="1543">
        <v>1</v>
      </c>
    </row>
    <row r="16" spans="1:29" ht="41.4">
      <c r="A16" s="391"/>
      <c r="B16" s="414" t="s">
        <v>2518</v>
      </c>
      <c r="C16" s="2092" t="str">
        <f>IF(B1="工业",估价对象房地状况!G5,估价对象房地状况!C7)</f>
        <v>估价对象所在区域公共配套设施齐备情况</v>
      </c>
      <c r="D16" s="418">
        <v>100</v>
      </c>
      <c r="E16" s="420"/>
      <c r="F16" s="421">
        <f>SUMIF(63:63,E17,64:64)-SUMIF(63:63,C17,64:64)+100</f>
        <v>100</v>
      </c>
      <c r="G16" s="422"/>
      <c r="H16" s="418">
        <f>SUMIF(63:63,G17,64:64)-SUMIF(63:63,C17,64:64)+100</f>
        <v>100</v>
      </c>
      <c r="I16" s="420"/>
      <c r="J16" s="418">
        <f>SUMIF(63:63,I17,64:64)-SUMIF(63:63,C17,64:64)+100</f>
        <v>100</v>
      </c>
      <c r="K16" s="575"/>
      <c r="L16" s="2954"/>
      <c r="M16" s="2948"/>
      <c r="N16" s="2948"/>
      <c r="O16" s="3006"/>
      <c r="P16" s="3400"/>
      <c r="Q16" s="1542" t="str">
        <f>B16</f>
        <v>公共配套设施</v>
      </c>
      <c r="R16" s="718" t="s">
        <v>17</v>
      </c>
      <c r="S16" s="719">
        <f>F16</f>
        <v>100</v>
      </c>
      <c r="T16" s="718" t="s">
        <v>17</v>
      </c>
      <c r="U16" s="719">
        <f>H16</f>
        <v>100</v>
      </c>
      <c r="V16" s="718" t="s">
        <v>17</v>
      </c>
      <c r="W16" s="719">
        <f>J16</f>
        <v>100</v>
      </c>
      <c r="X16" s="1545"/>
      <c r="Y16" s="3400"/>
      <c r="Z16" s="1546" t="str">
        <f>Q16</f>
        <v>公共配套设施</v>
      </c>
      <c r="AA16" s="1543">
        <f t="shared" si="3"/>
        <v>1</v>
      </c>
      <c r="AB16" s="1543">
        <f t="shared" si="4"/>
        <v>1</v>
      </c>
      <c r="AC16" s="1543">
        <f t="shared" si="5"/>
        <v>1</v>
      </c>
    </row>
    <row r="17" spans="1:29" ht="15">
      <c r="A17" s="391"/>
      <c r="B17" s="419"/>
      <c r="C17" s="2093"/>
      <c r="D17" s="411"/>
      <c r="E17" s="410"/>
      <c r="F17" s="412"/>
      <c r="G17" s="410"/>
      <c r="H17" s="411"/>
      <c r="I17" s="410"/>
      <c r="J17" s="411"/>
      <c r="K17" s="576"/>
      <c r="L17" s="2954"/>
      <c r="M17" s="2948"/>
      <c r="N17" s="2948"/>
      <c r="O17" s="3006"/>
      <c r="P17" s="3400"/>
      <c r="Q17" s="1542"/>
      <c r="R17" s="718"/>
      <c r="S17" s="719"/>
      <c r="T17" s="718"/>
      <c r="U17" s="719"/>
      <c r="V17" s="718"/>
      <c r="W17" s="719"/>
      <c r="X17" s="1545"/>
      <c r="Y17" s="3400"/>
      <c r="Z17" s="1546"/>
      <c r="AA17" s="1543">
        <v>1</v>
      </c>
      <c r="AB17" s="1543">
        <v>1</v>
      </c>
      <c r="AC17" s="1543">
        <v>1</v>
      </c>
    </row>
    <row r="18" spans="1:29" ht="41.4">
      <c r="A18" s="391"/>
      <c r="B18" s="1297" t="s">
        <v>2519</v>
      </c>
      <c r="C18" s="2092" t="str">
        <f>IF(B1="工业",估价对象房地状况!G6,估价对象房地状况!C8)</f>
        <v>估价对象所在区域基础设施水平</v>
      </c>
      <c r="D18" s="418">
        <v>100</v>
      </c>
      <c r="E18" s="415"/>
      <c r="F18" s="421">
        <f>SUMIF(65:65,E19,66:66)-SUMIF(65:65,C19,66:66)+100</f>
        <v>100</v>
      </c>
      <c r="G18" s="417"/>
      <c r="H18" s="418">
        <f>SUMIF(65:65,G19,66:66)-SUMIF(65:65,C19,66:66)+100</f>
        <v>100</v>
      </c>
      <c r="I18" s="420"/>
      <c r="J18" s="418">
        <f>SUMIF(65:65,I19,66:66)-SUMIF(65:65,C19,66:66)+100</f>
        <v>100</v>
      </c>
      <c r="K18" s="575"/>
      <c r="L18" s="2954"/>
      <c r="M18" s="2948"/>
      <c r="N18" s="2948"/>
      <c r="O18" s="3006"/>
      <c r="P18" s="3400"/>
      <c r="Q18" s="1542" t="str">
        <f>B18</f>
        <v>基础设施水平</v>
      </c>
      <c r="R18" s="718" t="s">
        <v>17</v>
      </c>
      <c r="S18" s="719">
        <f>F18</f>
        <v>100</v>
      </c>
      <c r="T18" s="718" t="s">
        <v>17</v>
      </c>
      <c r="U18" s="719">
        <f>H18</f>
        <v>100</v>
      </c>
      <c r="V18" s="718" t="s">
        <v>17</v>
      </c>
      <c r="W18" s="719">
        <f>J18</f>
        <v>100</v>
      </c>
      <c r="X18" s="1545"/>
      <c r="Y18" s="3400"/>
      <c r="Z18" s="1546" t="str">
        <f>Q18</f>
        <v>基础设施水平</v>
      </c>
      <c r="AA18" s="1543">
        <f t="shared" ref="AA18" si="8">D18/F18</f>
        <v>1</v>
      </c>
      <c r="AB18" s="1543">
        <f t="shared" ref="AB18" si="9">D18/H18</f>
        <v>1</v>
      </c>
      <c r="AC18" s="1543">
        <f t="shared" ref="AC18" si="10">D18/J18</f>
        <v>1</v>
      </c>
    </row>
    <row r="19" spans="1:29" ht="15">
      <c r="A19" s="391"/>
      <c r="B19" s="1297"/>
      <c r="C19" s="2093"/>
      <c r="D19" s="413"/>
      <c r="E19" s="2093"/>
      <c r="F19" s="416"/>
      <c r="G19" s="2093"/>
      <c r="H19" s="411"/>
      <c r="I19" s="410"/>
      <c r="J19" s="411"/>
      <c r="K19" s="1296"/>
      <c r="L19" s="2954"/>
      <c r="M19" s="2948"/>
      <c r="N19" s="2948"/>
      <c r="O19" s="3006"/>
      <c r="P19" s="3400"/>
      <c r="Q19" s="1542"/>
      <c r="R19" s="718"/>
      <c r="S19" s="719"/>
      <c r="T19" s="718"/>
      <c r="U19" s="719"/>
      <c r="V19" s="718"/>
      <c r="W19" s="719"/>
      <c r="X19" s="1545"/>
      <c r="Y19" s="3400"/>
      <c r="Z19" s="1546"/>
      <c r="AA19" s="1543">
        <v>1</v>
      </c>
      <c r="AB19" s="1543">
        <v>1</v>
      </c>
      <c r="AC19" s="1543">
        <v>1</v>
      </c>
    </row>
    <row r="20" spans="1:29" ht="55.2">
      <c r="A20" s="391"/>
      <c r="B20" s="414" t="s">
        <v>2540</v>
      </c>
      <c r="C20" s="2092" t="str">
        <f>IF(B1="工业",估价对象房地状况!G7,估价对象房地状况!C9)</f>
        <v>区域自然环境：；人文环境；综合评价环境状况一般</v>
      </c>
      <c r="D20" s="418">
        <v>100</v>
      </c>
      <c r="E20" s="420"/>
      <c r="F20" s="421">
        <f>SUMIF(67:67,E21,68:68)-SUMIF(67:67,C21,68:68)+100</f>
        <v>100</v>
      </c>
      <c r="G20" s="422"/>
      <c r="H20" s="413">
        <f>SUMIF(67:67,G21,68:68)-SUMIF(67:67,C21,68:68)+100</f>
        <v>100</v>
      </c>
      <c r="I20" s="415"/>
      <c r="J20" s="413">
        <f>SUMIF(67:67,I21,68:68)-SUMIF(67:67,C21,68:68)+100</f>
        <v>100</v>
      </c>
      <c r="K20" s="575"/>
      <c r="L20" s="2954"/>
      <c r="M20" s="2948"/>
      <c r="N20" s="2948"/>
      <c r="O20" s="3006"/>
      <c r="P20" s="3400"/>
      <c r="Q20" s="1542" t="str">
        <f>B20</f>
        <v>自然及人文环境</v>
      </c>
      <c r="R20" s="718" t="s">
        <v>17</v>
      </c>
      <c r="S20" s="719">
        <f>F20</f>
        <v>100</v>
      </c>
      <c r="T20" s="718" t="s">
        <v>17</v>
      </c>
      <c r="U20" s="719">
        <f>H20</f>
        <v>100</v>
      </c>
      <c r="V20" s="718" t="s">
        <v>17</v>
      </c>
      <c r="W20" s="719">
        <f>J20</f>
        <v>100</v>
      </c>
      <c r="X20" s="1545"/>
      <c r="Y20" s="3400"/>
      <c r="Z20" s="1546" t="str">
        <f>Q20</f>
        <v>自然及人文环境</v>
      </c>
      <c r="AA20" s="1543">
        <f t="shared" si="3"/>
        <v>1</v>
      </c>
      <c r="AB20" s="1543">
        <f t="shared" si="4"/>
        <v>1</v>
      </c>
      <c r="AC20" s="1543">
        <f t="shared" si="5"/>
        <v>1</v>
      </c>
    </row>
    <row r="21" spans="1:29" ht="15">
      <c r="A21" s="391"/>
      <c r="B21" s="419"/>
      <c r="C21" s="410"/>
      <c r="D21" s="411"/>
      <c r="E21" s="410"/>
      <c r="F21" s="412"/>
      <c r="G21" s="410"/>
      <c r="H21" s="411"/>
      <c r="I21" s="410"/>
      <c r="J21" s="411"/>
      <c r="K21" s="576"/>
      <c r="L21" s="2954"/>
      <c r="M21" s="2948"/>
      <c r="N21" s="2948"/>
      <c r="O21" s="3006"/>
      <c r="P21" s="3400"/>
      <c r="Q21" s="1542"/>
      <c r="R21" s="718"/>
      <c r="S21" s="719"/>
      <c r="T21" s="718"/>
      <c r="U21" s="719"/>
      <c r="V21" s="718"/>
      <c r="W21" s="719"/>
      <c r="X21" s="1545"/>
      <c r="Y21" s="3400"/>
      <c r="Z21" s="1546"/>
      <c r="AA21" s="1543">
        <v>1</v>
      </c>
      <c r="AB21" s="1543">
        <v>1</v>
      </c>
      <c r="AC21" s="1543">
        <v>1</v>
      </c>
    </row>
    <row r="22" spans="1:29" ht="15">
      <c r="A22" s="391"/>
      <c r="B22" s="414" t="s">
        <v>2541</v>
      </c>
      <c r="C22" s="577"/>
      <c r="D22" s="413">
        <v>100</v>
      </c>
      <c r="E22" s="577"/>
      <c r="F22" s="424">
        <f>SUMIF(69:69,E22,70:70)-SUMIF(69:69,C22,70:70)+100</f>
        <v>100</v>
      </c>
      <c r="G22" s="577"/>
      <c r="H22" s="398">
        <f>SUMIF(69:69,G22,70:70)-SUMIF(69:69,C22,70:70)+100</f>
        <v>100</v>
      </c>
      <c r="I22" s="577"/>
      <c r="J22" s="398">
        <f>SUMIF(69:69,I22,70:70)-SUMIF(69:69,C22,70:70)+100</f>
        <v>100</v>
      </c>
      <c r="K22" s="573"/>
      <c r="L22" s="2954"/>
      <c r="M22" s="2948"/>
      <c r="N22" s="2948"/>
      <c r="O22" s="3006"/>
      <c r="P22" s="3400"/>
      <c r="Q22" s="1542" t="str">
        <f>B22</f>
        <v>楼层</v>
      </c>
      <c r="R22" s="718" t="s">
        <v>17</v>
      </c>
      <c r="S22" s="719">
        <f>F22</f>
        <v>100</v>
      </c>
      <c r="T22" s="718" t="s">
        <v>17</v>
      </c>
      <c r="U22" s="719">
        <f>H22</f>
        <v>100</v>
      </c>
      <c r="V22" s="718" t="s">
        <v>17</v>
      </c>
      <c r="W22" s="719">
        <f>J22</f>
        <v>100</v>
      </c>
      <c r="X22" s="1545"/>
      <c r="Y22" s="3400"/>
      <c r="Z22" s="1546" t="str">
        <f>Q22</f>
        <v>楼层</v>
      </c>
      <c r="AA22" s="1543">
        <f t="shared" si="3"/>
        <v>1</v>
      </c>
      <c r="AB22" s="1543">
        <f t="shared" si="4"/>
        <v>1</v>
      </c>
      <c r="AC22" s="1543">
        <f t="shared" si="5"/>
        <v>1</v>
      </c>
    </row>
    <row r="23" spans="1:29" ht="15">
      <c r="A23" s="368"/>
      <c r="B23" s="2085">
        <v>111</v>
      </c>
      <c r="C23" s="395"/>
      <c r="D23" s="398">
        <v>100</v>
      </c>
      <c r="E23" s="397"/>
      <c r="F23" s="424">
        <f>SUMIF(71:71,E23,72:72)-SUMIF(71:71,C23,72:72)+100</f>
        <v>100</v>
      </c>
      <c r="G23" s="397"/>
      <c r="H23" s="398">
        <f>SUMIF(71:71,G23,72:72)-SUMIF(71:71,C23,72:72)+100</f>
        <v>100</v>
      </c>
      <c r="I23" s="397"/>
      <c r="J23" s="398">
        <f>SUMIF(71:71,I23,72:72)-SUMIF(71:71,C23,72:72)+100</f>
        <v>100</v>
      </c>
      <c r="K23" s="574"/>
      <c r="L23" s="2954"/>
      <c r="M23" s="2948"/>
      <c r="N23" s="2948"/>
      <c r="O23" s="3006"/>
      <c r="P23" s="3400"/>
      <c r="Q23" s="1542">
        <f>B23</f>
        <v>111</v>
      </c>
      <c r="R23" s="718" t="s">
        <v>17</v>
      </c>
      <c r="S23" s="719">
        <f>F23</f>
        <v>100</v>
      </c>
      <c r="T23" s="718" t="s">
        <v>17</v>
      </c>
      <c r="U23" s="719">
        <f>H23</f>
        <v>100</v>
      </c>
      <c r="V23" s="718" t="s">
        <v>17</v>
      </c>
      <c r="W23" s="719">
        <f>J23</f>
        <v>100</v>
      </c>
      <c r="X23" s="1545"/>
      <c r="Y23" s="3400"/>
      <c r="Z23" s="1546">
        <f>Q23</f>
        <v>111</v>
      </c>
      <c r="AA23" s="1543">
        <f t="shared" si="3"/>
        <v>1</v>
      </c>
      <c r="AB23" s="1543">
        <f t="shared" si="4"/>
        <v>1</v>
      </c>
      <c r="AC23" s="1543">
        <f t="shared" si="5"/>
        <v>1</v>
      </c>
    </row>
    <row r="24" spans="1:29" ht="15">
      <c r="A24" s="391"/>
      <c r="B24" s="2085">
        <v>111</v>
      </c>
      <c r="C24" s="395"/>
      <c r="D24" s="398">
        <v>100</v>
      </c>
      <c r="E24" s="397"/>
      <c r="F24" s="424">
        <f>SUMIF(73:73,E24,74:74)-SUMIF(73:73,C24,74:74)+100</f>
        <v>100</v>
      </c>
      <c r="G24" s="397"/>
      <c r="H24" s="398">
        <f>SUMIF(73:73,G24,74:74)-SUMIF(73:73,C24,74:74)+100</f>
        <v>100</v>
      </c>
      <c r="I24" s="397"/>
      <c r="J24" s="398">
        <f>SUMIF(73:73,I24,74:74)-SUMIF(73:73,C24,74:74)+100</f>
        <v>100</v>
      </c>
      <c r="K24" s="574"/>
      <c r="L24" s="2954"/>
      <c r="M24" s="2948"/>
      <c r="N24" s="2948"/>
      <c r="O24" s="3006"/>
      <c r="P24" s="3400"/>
      <c r="Q24" s="1542">
        <f t="shared" ref="Q24:Q34" si="11">B24</f>
        <v>111</v>
      </c>
      <c r="R24" s="718" t="s">
        <v>17</v>
      </c>
      <c r="S24" s="719">
        <f>F24</f>
        <v>100</v>
      </c>
      <c r="T24" s="718" t="s">
        <v>17</v>
      </c>
      <c r="U24" s="719">
        <f>H24</f>
        <v>100</v>
      </c>
      <c r="V24" s="718" t="s">
        <v>17</v>
      </c>
      <c r="W24" s="719">
        <f>J24</f>
        <v>100</v>
      </c>
      <c r="X24" s="1545"/>
      <c r="Y24" s="3400"/>
      <c r="Z24" s="1546">
        <f>Q24</f>
        <v>111</v>
      </c>
      <c r="AA24" s="1543">
        <f t="shared" si="3"/>
        <v>1</v>
      </c>
      <c r="AB24" s="1543">
        <f t="shared" si="4"/>
        <v>1</v>
      </c>
      <c r="AC24" s="1543">
        <f t="shared" si="5"/>
        <v>1</v>
      </c>
    </row>
    <row r="25" spans="1:29" s="117" customFormat="1" ht="15.6" thickBot="1">
      <c r="A25" s="394"/>
      <c r="B25" s="2085">
        <v>111</v>
      </c>
      <c r="C25" s="2168"/>
      <c r="D25" s="625">
        <v>100</v>
      </c>
      <c r="E25" s="2168"/>
      <c r="F25" s="626">
        <f>SUMIF(75:75,E25,76:76)-SUMIF(75:75,C25,76:76)+100</f>
        <v>100</v>
      </c>
      <c r="G25" s="2168"/>
      <c r="H25" s="625">
        <f>SUMIF(75:75,G25,76:76)-SUMIF(75:75,C25,76:76)+100</f>
        <v>100</v>
      </c>
      <c r="I25" s="2168"/>
      <c r="J25" s="625">
        <f>SUMIF(75:75,I25,76:76)-SUMIF(75:75,C25,76:76)+100</f>
        <v>100</v>
      </c>
      <c r="K25" s="574"/>
      <c r="L25" s="2949"/>
      <c r="M25" s="2950"/>
      <c r="N25" s="2950"/>
      <c r="O25" s="3004"/>
      <c r="P25" s="3400"/>
      <c r="Q25" s="1533">
        <f t="shared" si="11"/>
        <v>111</v>
      </c>
      <c r="R25" s="714" t="s">
        <v>17</v>
      </c>
      <c r="S25" s="715">
        <f>F25</f>
        <v>100</v>
      </c>
      <c r="T25" s="714" t="s">
        <v>17</v>
      </c>
      <c r="U25" s="715">
        <f>H25</f>
        <v>100</v>
      </c>
      <c r="V25" s="714" t="s">
        <v>17</v>
      </c>
      <c r="W25" s="715">
        <f>J25</f>
        <v>100</v>
      </c>
      <c r="X25" s="716"/>
      <c r="Y25" s="3400"/>
      <c r="Z25" s="55">
        <f>Q25</f>
        <v>111</v>
      </c>
      <c r="AA25" s="1543">
        <f>D25/F25</f>
        <v>1</v>
      </c>
      <c r="AB25" s="1543">
        <f>D25/H25</f>
        <v>1</v>
      </c>
      <c r="AC25" s="1543">
        <f>D25/J25</f>
        <v>1</v>
      </c>
    </row>
    <row r="26" spans="1:29" ht="30">
      <c r="A26" s="429" t="s">
        <v>2393</v>
      </c>
      <c r="B26" s="71" t="s">
        <v>2544</v>
      </c>
      <c r="C26" s="2159"/>
      <c r="D26" s="430">
        <v>100</v>
      </c>
      <c r="E26" s="2159"/>
      <c r="F26" s="627">
        <f>SUMIF(77:77,E26,78:78)-SUMIF(77:77,C26,78:78)+100</f>
        <v>100</v>
      </c>
      <c r="G26" s="2159"/>
      <c r="H26" s="430">
        <f>SUMIF(77:77,G26,78:78)-SUMIF(77:77,C26,78:78)+100</f>
        <v>100</v>
      </c>
      <c r="I26" s="2159"/>
      <c r="J26" s="430">
        <f>SUMIF(77:77,I26,78:78)-SUMIF(77:77,C26,78:78)+100</f>
        <v>100</v>
      </c>
      <c r="K26" s="573"/>
      <c r="L26" s="2954"/>
      <c r="M26" s="2948"/>
      <c r="N26" s="2948"/>
      <c r="O26" s="3006"/>
      <c r="P26" s="3423" t="s">
        <v>2395</v>
      </c>
      <c r="Q26" s="1542" t="str">
        <f t="shared" si="11"/>
        <v>公共部分装修</v>
      </c>
      <c r="R26" s="718" t="s">
        <v>17</v>
      </c>
      <c r="S26" s="719">
        <f t="shared" ref="S26:S34" si="12">F26</f>
        <v>100</v>
      </c>
      <c r="T26" s="718" t="s">
        <v>17</v>
      </c>
      <c r="U26" s="719">
        <f t="shared" ref="U26:U34" si="13">H26</f>
        <v>100</v>
      </c>
      <c r="V26" s="718" t="s">
        <v>17</v>
      </c>
      <c r="W26" s="719">
        <f t="shared" ref="W26:W34" si="14">J26</f>
        <v>100</v>
      </c>
      <c r="X26" s="1545"/>
      <c r="Y26" s="3404" t="s">
        <v>2395</v>
      </c>
      <c r="Z26" s="1546" t="str">
        <f t="shared" ref="Z26:Z34" si="15">Q26</f>
        <v>公共部分装修</v>
      </c>
      <c r="AA26" s="1543">
        <f t="shared" si="3"/>
        <v>1</v>
      </c>
      <c r="AB26" s="1543">
        <f t="shared" si="4"/>
        <v>1</v>
      </c>
      <c r="AC26" s="1543">
        <f t="shared" si="5"/>
        <v>1</v>
      </c>
    </row>
    <row r="27" spans="1:29" s="434" customFormat="1" ht="15">
      <c r="A27" s="431"/>
      <c r="B27" s="385" t="s">
        <v>2545</v>
      </c>
      <c r="C27" s="437"/>
      <c r="D27" s="136">
        <v>100</v>
      </c>
      <c r="E27" s="438"/>
      <c r="F27" s="424" t="e">
        <f>LOOKUP(E27,80:80,81:81)-LOOKUP(C27,80:80,81:81)+100</f>
        <v>#N/A</v>
      </c>
      <c r="G27" s="439"/>
      <c r="H27" s="398" t="e">
        <f>LOOKUP(G27,80:80,81:81)-LOOKUP(C27,80:80,81:81)+100</f>
        <v>#N/A</v>
      </c>
      <c r="I27" s="439"/>
      <c r="J27" s="398" t="e">
        <f>LOOKUP(I27,80:80,81:81)-LOOKUP(C27,80:80,81:81)+100</f>
        <v>#N/A</v>
      </c>
      <c r="K27" s="573"/>
      <c r="L27" s="2953"/>
      <c r="M27" s="2955"/>
      <c r="N27" s="2955"/>
      <c r="O27" s="3007"/>
      <c r="P27" s="3404"/>
      <c r="Q27" s="720" t="str">
        <f t="shared" si="11"/>
        <v>成新率</v>
      </c>
      <c r="R27" s="721" t="s">
        <v>17</v>
      </c>
      <c r="S27" s="722" t="e">
        <f t="shared" si="12"/>
        <v>#N/A</v>
      </c>
      <c r="T27" s="721" t="s">
        <v>17</v>
      </c>
      <c r="U27" s="722" t="e">
        <f t="shared" si="13"/>
        <v>#N/A</v>
      </c>
      <c r="V27" s="721" t="s">
        <v>17</v>
      </c>
      <c r="W27" s="722" t="e">
        <f t="shared" si="14"/>
        <v>#N/A</v>
      </c>
      <c r="X27" s="723"/>
      <c r="Y27" s="3404"/>
      <c r="Z27" s="724" t="str">
        <f t="shared" si="15"/>
        <v>成新率</v>
      </c>
      <c r="AA27" s="1543" t="e">
        <f t="shared" si="3"/>
        <v>#N/A</v>
      </c>
      <c r="AB27" s="1543" t="e">
        <f t="shared" si="4"/>
        <v>#N/A</v>
      </c>
      <c r="AC27" s="1543" t="e">
        <f t="shared" si="5"/>
        <v>#N/A</v>
      </c>
    </row>
    <row r="28" spans="1:29" ht="15">
      <c r="A28" s="435"/>
      <c r="B28" s="385" t="s">
        <v>2546</v>
      </c>
      <c r="C28" s="423"/>
      <c r="D28" s="398">
        <v>100</v>
      </c>
      <c r="E28" s="423"/>
      <c r="F28" s="424">
        <f>SUMIF(82:82,E28,83:83)-SUMIF(82:82,C28,83:83)+100</f>
        <v>100</v>
      </c>
      <c r="G28" s="423"/>
      <c r="H28" s="398">
        <f>SUMIF(82:82,G28,83:83)-SUMIF(82:82,C28,83:83)+100</f>
        <v>100</v>
      </c>
      <c r="I28" s="423"/>
      <c r="J28" s="398">
        <f>SUMIF(82:82,I28,83:83)-SUMIF(82:82,C28,83:83)+100</f>
        <v>100</v>
      </c>
      <c r="K28" s="573"/>
      <c r="L28" s="2954"/>
      <c r="M28" s="2948"/>
      <c r="N28" s="2948"/>
      <c r="O28" s="3006"/>
      <c r="P28" s="3404"/>
      <c r="Q28" s="1542" t="str">
        <f t="shared" si="11"/>
        <v>物业等级</v>
      </c>
      <c r="R28" s="718" t="s">
        <v>17</v>
      </c>
      <c r="S28" s="719">
        <f t="shared" si="12"/>
        <v>100</v>
      </c>
      <c r="T28" s="718" t="s">
        <v>17</v>
      </c>
      <c r="U28" s="719">
        <f t="shared" si="13"/>
        <v>100</v>
      </c>
      <c r="V28" s="718" t="s">
        <v>17</v>
      </c>
      <c r="W28" s="719">
        <f t="shared" si="14"/>
        <v>100</v>
      </c>
      <c r="X28" s="1545"/>
      <c r="Y28" s="3404"/>
      <c r="Z28" s="1546" t="str">
        <f t="shared" si="15"/>
        <v>物业等级</v>
      </c>
      <c r="AA28" s="1543">
        <f t="shared" si="3"/>
        <v>1</v>
      </c>
      <c r="AB28" s="1543">
        <f t="shared" si="4"/>
        <v>1</v>
      </c>
      <c r="AC28" s="1543">
        <f t="shared" si="5"/>
        <v>1</v>
      </c>
    </row>
    <row r="29" spans="1:29" ht="15">
      <c r="A29" s="435"/>
      <c r="B29" s="385" t="s">
        <v>2567</v>
      </c>
      <c r="C29" s="617"/>
      <c r="D29" s="398">
        <v>100</v>
      </c>
      <c r="E29" s="617"/>
      <c r="F29" s="424">
        <f>SUMIF(84:84,E29,85:85)-SUMIF(84:84,C29,85:85)+100</f>
        <v>100</v>
      </c>
      <c r="G29" s="617"/>
      <c r="H29" s="398">
        <f>SUMIF(84:84,G29,85:85)-SUMIF(84:84,C29,85:85)+100</f>
        <v>100</v>
      </c>
      <c r="I29" s="617"/>
      <c r="J29" s="398">
        <f>SUMIF(84:84,I29,85:85)-SUMIF(84:84,C29,85:85)+100</f>
        <v>100</v>
      </c>
      <c r="K29" s="573"/>
      <c r="L29" s="2954"/>
      <c r="M29" s="2948"/>
      <c r="N29" s="2948"/>
      <c r="O29" s="3006"/>
      <c r="P29" s="3404"/>
      <c r="Q29" s="1542" t="str">
        <f t="shared" si="11"/>
        <v>有无电梯</v>
      </c>
      <c r="R29" s="718" t="s">
        <v>17</v>
      </c>
      <c r="S29" s="719">
        <f t="shared" si="12"/>
        <v>100</v>
      </c>
      <c r="T29" s="718" t="s">
        <v>17</v>
      </c>
      <c r="U29" s="719">
        <f t="shared" si="13"/>
        <v>100</v>
      </c>
      <c r="V29" s="718" t="s">
        <v>17</v>
      </c>
      <c r="W29" s="719">
        <f t="shared" si="14"/>
        <v>100</v>
      </c>
      <c r="X29" s="1545"/>
      <c r="Y29" s="3404"/>
      <c r="Z29" s="1546" t="str">
        <f t="shared" si="15"/>
        <v>有无电梯</v>
      </c>
      <c r="AA29" s="1543">
        <f t="shared" si="3"/>
        <v>1</v>
      </c>
      <c r="AB29" s="1543">
        <f t="shared" si="4"/>
        <v>1</v>
      </c>
      <c r="AC29" s="1543">
        <f t="shared" si="5"/>
        <v>1</v>
      </c>
    </row>
    <row r="30" spans="1:29" ht="15">
      <c r="A30" s="435"/>
      <c r="B30" s="385" t="s">
        <v>2568</v>
      </c>
      <c r="C30" s="432"/>
      <c r="D30" s="398">
        <v>100</v>
      </c>
      <c r="E30" s="432"/>
      <c r="F30" s="424" t="e">
        <f>LOOKUP(E30,87:87,88:88)-LOOKUP(C30,87:87,88:88)+100</f>
        <v>#N/A</v>
      </c>
      <c r="G30" s="432"/>
      <c r="H30" s="398" t="e">
        <f>LOOKUP(G30,87:87,88:88)-LOOKUP(C30,87:87,88:88)+100</f>
        <v>#N/A</v>
      </c>
      <c r="I30" s="432"/>
      <c r="J30" s="398" t="e">
        <f>LOOKUP(I30,87:87,88:88)-LOOKUP(C30,87:87,88:88)+100</f>
        <v>#N/A</v>
      </c>
      <c r="K30" s="574"/>
      <c r="L30" s="2954"/>
      <c r="M30" s="2948"/>
      <c r="N30" s="2948"/>
      <c r="O30" s="3006"/>
      <c r="P30" s="3404"/>
      <c r="Q30" s="1542" t="str">
        <f t="shared" si="11"/>
        <v>建筑面积</v>
      </c>
      <c r="R30" s="718" t="s">
        <v>17</v>
      </c>
      <c r="S30" s="719" t="e">
        <f t="shared" si="12"/>
        <v>#N/A</v>
      </c>
      <c r="T30" s="718" t="s">
        <v>17</v>
      </c>
      <c r="U30" s="719" t="e">
        <f t="shared" si="13"/>
        <v>#N/A</v>
      </c>
      <c r="V30" s="718" t="s">
        <v>17</v>
      </c>
      <c r="W30" s="719" t="e">
        <f t="shared" si="14"/>
        <v>#N/A</v>
      </c>
      <c r="X30" s="1545"/>
      <c r="Y30" s="3404"/>
      <c r="Z30" s="1546" t="str">
        <f t="shared" si="15"/>
        <v>建筑面积</v>
      </c>
      <c r="AA30" s="1543" t="e">
        <f t="shared" si="3"/>
        <v>#N/A</v>
      </c>
      <c r="AB30" s="1543" t="e">
        <f t="shared" si="4"/>
        <v>#N/A</v>
      </c>
      <c r="AC30" s="1543" t="e">
        <f t="shared" si="5"/>
        <v>#N/A</v>
      </c>
    </row>
    <row r="31" spans="1:29" s="117" customFormat="1" ht="15">
      <c r="A31" s="436"/>
      <c r="B31" s="385" t="s">
        <v>2569</v>
      </c>
      <c r="C31" s="617"/>
      <c r="D31" s="136">
        <v>100</v>
      </c>
      <c r="E31" s="617"/>
      <c r="F31" s="424">
        <f>SUMIF(89:89,E31,90:90)-SUMIF(89:89,C31,90:90)+100</f>
        <v>100</v>
      </c>
      <c r="G31" s="617"/>
      <c r="H31" s="398">
        <f>SUMIF(89:89,G31,90:90)-SUMIF(89:89,C31,90:90)+100</f>
        <v>100</v>
      </c>
      <c r="I31" s="617"/>
      <c r="J31" s="398">
        <f>SUMIF(89:89,I31,90:90)-SUMIF(89:89,C31,90:90)+100</f>
        <v>100</v>
      </c>
      <c r="K31" s="573"/>
      <c r="L31" s="2949"/>
      <c r="M31" s="2950"/>
      <c r="N31" s="2950"/>
      <c r="O31" s="3004"/>
      <c r="P31" s="3404"/>
      <c r="Q31" s="1533" t="str">
        <f t="shared" si="11"/>
        <v>是否封闭</v>
      </c>
      <c r="R31" s="714" t="s">
        <v>17</v>
      </c>
      <c r="S31" s="715">
        <f t="shared" si="12"/>
        <v>100</v>
      </c>
      <c r="T31" s="714" t="s">
        <v>17</v>
      </c>
      <c r="U31" s="715">
        <f t="shared" si="13"/>
        <v>100</v>
      </c>
      <c r="V31" s="714" t="s">
        <v>17</v>
      </c>
      <c r="W31" s="715">
        <f t="shared" si="14"/>
        <v>100</v>
      </c>
      <c r="X31" s="716"/>
      <c r="Y31" s="3404"/>
      <c r="Z31" s="55" t="str">
        <f t="shared" si="15"/>
        <v>是否封闭</v>
      </c>
      <c r="AA31" s="717">
        <f t="shared" si="3"/>
        <v>1</v>
      </c>
      <c r="AB31" s="717">
        <f t="shared" si="4"/>
        <v>1</v>
      </c>
      <c r="AC31" s="717">
        <f t="shared" si="5"/>
        <v>1</v>
      </c>
    </row>
    <row r="32" spans="1:29" ht="15">
      <c r="A32" s="435"/>
      <c r="B32" s="2085">
        <v>111</v>
      </c>
      <c r="C32" s="395"/>
      <c r="D32" s="398">
        <v>100</v>
      </c>
      <c r="E32" s="432"/>
      <c r="F32" s="424">
        <f>SUMIF(91:91,E32,92:92)-SUMIF(91:91,C32,92:92)+100</f>
        <v>100</v>
      </c>
      <c r="G32" s="432"/>
      <c r="H32" s="398">
        <f>SUMIF(91:91,G32,92:92)-SUMIF(91:91,C32,92:92)+100</f>
        <v>100</v>
      </c>
      <c r="I32" s="432"/>
      <c r="J32" s="398">
        <f>SUMIF(91:91,I32,92:92)-SUMIF(91:91,C32,92:92)+100</f>
        <v>100</v>
      </c>
      <c r="K32" s="574"/>
      <c r="L32" s="2954"/>
      <c r="M32" s="2948"/>
      <c r="N32" s="2948"/>
      <c r="O32" s="3006"/>
      <c r="P32" s="3404" t="s">
        <v>2395</v>
      </c>
      <c r="Q32" s="1542">
        <f t="shared" si="11"/>
        <v>111</v>
      </c>
      <c r="R32" s="718" t="s">
        <v>17</v>
      </c>
      <c r="S32" s="719">
        <f t="shared" si="12"/>
        <v>100</v>
      </c>
      <c r="T32" s="718" t="s">
        <v>17</v>
      </c>
      <c r="U32" s="719">
        <f t="shared" si="13"/>
        <v>100</v>
      </c>
      <c r="V32" s="718" t="s">
        <v>17</v>
      </c>
      <c r="W32" s="719">
        <f t="shared" si="14"/>
        <v>100</v>
      </c>
      <c r="X32" s="1545"/>
      <c r="Y32" s="3404" t="s">
        <v>2395</v>
      </c>
      <c r="Z32" s="1546">
        <f t="shared" si="15"/>
        <v>111</v>
      </c>
      <c r="AA32" s="1543">
        <f t="shared" si="3"/>
        <v>1</v>
      </c>
      <c r="AB32" s="1543">
        <f t="shared" si="4"/>
        <v>1</v>
      </c>
      <c r="AC32" s="1543">
        <f t="shared" si="5"/>
        <v>1</v>
      </c>
    </row>
    <row r="33" spans="1:30" ht="15">
      <c r="A33" s="435"/>
      <c r="B33" s="2085">
        <v>111</v>
      </c>
      <c r="C33" s="395"/>
      <c r="D33" s="398">
        <v>100</v>
      </c>
      <c r="E33" s="432"/>
      <c r="F33" s="424">
        <f>SUMIF(93:93,E33,94:94)-SUMIF(93:93,C33,94:94)+100</f>
        <v>100</v>
      </c>
      <c r="G33" s="432"/>
      <c r="H33" s="398">
        <f>SUMIF(93:93,G33,94:94)-SUMIF(93:93,C33,94:94)+100</f>
        <v>100</v>
      </c>
      <c r="I33" s="432"/>
      <c r="J33" s="398">
        <f>SUMIF(93:93,I33,94:94)-SUMIF(93:93,C33,94:94)+100</f>
        <v>100</v>
      </c>
      <c r="K33" s="574"/>
      <c r="L33" s="2954"/>
      <c r="M33" s="2948"/>
      <c r="N33" s="2948"/>
      <c r="O33" s="3006"/>
      <c r="P33" s="3404"/>
      <c r="Q33" s="1542">
        <f t="shared" si="11"/>
        <v>111</v>
      </c>
      <c r="R33" s="718" t="s">
        <v>17</v>
      </c>
      <c r="S33" s="719">
        <f t="shared" si="12"/>
        <v>100</v>
      </c>
      <c r="T33" s="718" t="s">
        <v>17</v>
      </c>
      <c r="U33" s="719">
        <f t="shared" si="13"/>
        <v>100</v>
      </c>
      <c r="V33" s="718" t="s">
        <v>17</v>
      </c>
      <c r="W33" s="719">
        <f t="shared" si="14"/>
        <v>100</v>
      </c>
      <c r="X33" s="1545"/>
      <c r="Y33" s="3404"/>
      <c r="Z33" s="1546">
        <f t="shared" si="15"/>
        <v>111</v>
      </c>
      <c r="AA33" s="1543">
        <f t="shared" si="3"/>
        <v>1</v>
      </c>
      <c r="AB33" s="1543">
        <f t="shared" si="4"/>
        <v>1</v>
      </c>
      <c r="AC33" s="1543">
        <f t="shared" si="5"/>
        <v>1</v>
      </c>
    </row>
    <row r="34" spans="1:30" ht="15.6" thickBot="1">
      <c r="A34" s="441"/>
      <c r="B34" s="2087">
        <v>111</v>
      </c>
      <c r="C34" s="400"/>
      <c r="D34" s="401">
        <v>100</v>
      </c>
      <c r="E34" s="2167"/>
      <c r="F34" s="402">
        <f>SUMIF(95:95,E34,96:96)-SUMIF(95:95,C34,96:96)+100</f>
        <v>100</v>
      </c>
      <c r="G34" s="2167"/>
      <c r="H34" s="401">
        <f>SUMIF(95:95,G34,96:96)-SUMIF(95:95,C34,96:96)+100</f>
        <v>100</v>
      </c>
      <c r="I34" s="2167"/>
      <c r="J34" s="401">
        <f>SUMIF(95:95,I34,96:96)-SUMIF(95:95,C34,96:96)+100</f>
        <v>100</v>
      </c>
      <c r="K34" s="574"/>
      <c r="L34" s="2954"/>
      <c r="M34" s="2948"/>
      <c r="N34" s="2948"/>
      <c r="O34" s="3006"/>
      <c r="P34" s="3404"/>
      <c r="Q34" s="1542">
        <f t="shared" si="11"/>
        <v>111</v>
      </c>
      <c r="R34" s="718" t="s">
        <v>17</v>
      </c>
      <c r="S34" s="719">
        <f t="shared" si="12"/>
        <v>100</v>
      </c>
      <c r="T34" s="718" t="s">
        <v>17</v>
      </c>
      <c r="U34" s="719">
        <f t="shared" si="13"/>
        <v>100</v>
      </c>
      <c r="V34" s="718" t="s">
        <v>17</v>
      </c>
      <c r="W34" s="719">
        <f t="shared" si="14"/>
        <v>100</v>
      </c>
      <c r="X34" s="1545"/>
      <c r="Y34" s="3404"/>
      <c r="Z34" s="1546">
        <f t="shared" si="15"/>
        <v>111</v>
      </c>
      <c r="AA34" s="1543">
        <f t="shared" si="3"/>
        <v>1</v>
      </c>
      <c r="AB34" s="1543">
        <f t="shared" si="4"/>
        <v>1</v>
      </c>
      <c r="AC34" s="1543">
        <f t="shared" si="5"/>
        <v>1</v>
      </c>
    </row>
    <row r="35" spans="1:30" ht="14.4">
      <c r="A35" s="442" t="s">
        <v>2407</v>
      </c>
      <c r="B35" s="443"/>
      <c r="C35" s="1320" t="s">
        <v>1</v>
      </c>
      <c r="D35" s="1321"/>
      <c r="E35" s="1322"/>
      <c r="F35" s="1323"/>
      <c r="G35" s="1324"/>
      <c r="H35" s="1325"/>
      <c r="I35" s="1322"/>
      <c r="J35" s="1325"/>
      <c r="K35" s="727"/>
      <c r="L35" s="2956"/>
      <c r="M35" s="2957"/>
      <c r="N35" s="2948"/>
      <c r="O35" s="2957"/>
      <c r="P35" s="3397" t="str">
        <f>A35</f>
        <v>成交单价（元/平方米）</v>
      </c>
      <c r="Q35" s="3397"/>
      <c r="R35" s="3398">
        <f>E35</f>
        <v>0</v>
      </c>
      <c r="S35" s="3398"/>
      <c r="T35" s="3398">
        <f>G35</f>
        <v>0</v>
      </c>
      <c r="U35" s="3398"/>
      <c r="V35" s="3398">
        <f>I35</f>
        <v>0</v>
      </c>
      <c r="W35" s="3398"/>
      <c r="X35" s="703"/>
      <c r="Y35" s="725"/>
      <c r="Z35" s="703"/>
      <c r="AA35" s="703"/>
      <c r="AB35" s="703"/>
      <c r="AC35" s="703"/>
    </row>
    <row r="36" spans="1:30" ht="15" thickBot="1">
      <c r="A36" s="449" t="s">
        <v>2499</v>
      </c>
      <c r="B36" s="450"/>
      <c r="C36" s="1326" t="e">
        <f>R37</f>
        <v>#DIV/0!</v>
      </c>
      <c r="D36" s="2544" t="s">
        <v>2891</v>
      </c>
      <c r="E36" s="1327" t="e">
        <f>R36</f>
        <v>#DIV/0!</v>
      </c>
      <c r="F36" s="2545"/>
      <c r="G36" s="1326" t="e">
        <f>T36</f>
        <v>#DIV/0!</v>
      </c>
      <c r="H36" s="2545"/>
      <c r="I36" s="1327" t="e">
        <f>V36</f>
        <v>#DIV/0!</v>
      </c>
      <c r="J36" s="2545"/>
      <c r="K36" s="2547">
        <f>F36+H36+J36</f>
        <v>0</v>
      </c>
      <c r="L36" s="2956"/>
      <c r="M36" s="2957"/>
      <c r="N36" s="2948"/>
      <c r="O36" s="2957"/>
      <c r="P36" s="3397" t="str">
        <f>A36</f>
        <v>比较价值（元/平方米）</v>
      </c>
      <c r="Q36" s="3397"/>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703"/>
      <c r="Y36" s="703"/>
      <c r="Z36" s="703"/>
      <c r="AA36" s="703"/>
      <c r="AB36" s="703"/>
      <c r="AC36" s="703"/>
    </row>
    <row r="37" spans="1:30" ht="15" thickBot="1">
      <c r="A37" s="453" t="s">
        <v>2500</v>
      </c>
      <c r="B37" s="454"/>
      <c r="C37" s="1329" t="e">
        <f>R37</f>
        <v>#DIV/0!</v>
      </c>
      <c r="D37" s="1329"/>
      <c r="E37" s="1329"/>
      <c r="F37" s="1329"/>
      <c r="G37" s="1329"/>
      <c r="H37" s="1329"/>
      <c r="I37" s="1329"/>
      <c r="J37" s="1329"/>
      <c r="K37" s="728"/>
      <c r="L37" s="2956"/>
      <c r="M37" s="2957"/>
      <c r="N37" s="2957"/>
      <c r="O37" s="2957"/>
      <c r="P37" s="3394" t="str">
        <f>A37</f>
        <v>估价对象XX用房的比较价值（楼面单价，元/平方米）</v>
      </c>
      <c r="Q37" s="3395"/>
      <c r="R37" s="3424" t="e">
        <f>IF(F1="售价",ROUND(IF(D36="简单平均",AVERAGE(R36:W36),R36*F36+T36*H36+V36*J36),0),ROUND(IF(D36="简单平均",AVERAGE(R36:V36),R36*F36+T36*H36+V36*J36),1))</f>
        <v>#DIV/0!</v>
      </c>
      <c r="S37" s="3424"/>
      <c r="T37" s="3424"/>
      <c r="U37" s="3424"/>
      <c r="V37" s="3424"/>
      <c r="W37" s="3424"/>
      <c r="X37" s="703"/>
      <c r="Y37" s="703"/>
      <c r="Z37" s="703"/>
      <c r="AA37" s="703"/>
      <c r="AB37" s="703"/>
      <c r="AC37" s="703"/>
    </row>
    <row r="38" spans="1:30">
      <c r="A38" s="2957"/>
      <c r="B38" s="2957"/>
      <c r="C38" s="2957"/>
      <c r="D38" s="2957"/>
      <c r="E38" s="2957"/>
      <c r="F38" s="2957"/>
      <c r="G38" s="2961"/>
      <c r="H38" s="2957"/>
      <c r="I38" s="2957"/>
      <c r="J38" s="2957"/>
      <c r="K38" s="2962"/>
      <c r="L38" s="2958"/>
      <c r="M38" s="2957"/>
      <c r="N38" s="2957"/>
      <c r="O38" s="2957"/>
      <c r="P38" s="2957"/>
      <c r="Q38" s="2957"/>
      <c r="R38" s="2957"/>
      <c r="S38" s="2957"/>
      <c r="T38" s="2957"/>
      <c r="U38" s="2957"/>
      <c r="V38" s="2957"/>
      <c r="W38" s="2957"/>
      <c r="X38" s="2957"/>
      <c r="Y38" s="2957"/>
      <c r="Z38" s="2957"/>
      <c r="AA38" s="2957"/>
      <c r="AB38" s="2957"/>
      <c r="AC38" s="2957"/>
      <c r="AD38" s="2957"/>
    </row>
    <row r="39" spans="1:30">
      <c r="A39" s="2957"/>
      <c r="B39" s="2957"/>
      <c r="C39" s="2957"/>
      <c r="D39" s="2957"/>
      <c r="E39" s="2957"/>
      <c r="F39" s="2957"/>
      <c r="G39" s="2957"/>
      <c r="H39" s="2957"/>
      <c r="I39" s="2957"/>
      <c r="J39" s="2957"/>
      <c r="K39" s="2962"/>
      <c r="L39" s="2958"/>
      <c r="M39" s="2957"/>
      <c r="N39" s="2957"/>
      <c r="O39" s="2957"/>
      <c r="P39" s="2957"/>
      <c r="Q39" s="2957"/>
      <c r="R39" s="2957"/>
      <c r="S39" s="2957"/>
      <c r="T39" s="2957"/>
      <c r="U39" s="2957"/>
      <c r="V39" s="2957"/>
      <c r="W39" s="2957"/>
      <c r="X39" s="2957"/>
      <c r="Y39" s="2957"/>
      <c r="Z39" s="2957"/>
      <c r="AA39" s="2957"/>
      <c r="AB39" s="2957"/>
      <c r="AC39" s="2957"/>
      <c r="AD39" s="2957"/>
    </row>
    <row r="40" spans="1:30" ht="13.5" customHeight="1">
      <c r="A40" s="2957"/>
      <c r="B40" s="2957"/>
      <c r="C40" s="458" t="s">
        <v>2501</v>
      </c>
      <c r="D40" s="459"/>
      <c r="E40" s="460" t="e">
        <f>IF(E35&lt;E36,E36/E35-1,E35/E36-1)</f>
        <v>#DIV/0!</v>
      </c>
      <c r="F40" s="461" t="e">
        <f>IF(OR(E40&gt;=0.3,E40&lt;=-0.3),"超过30%","")</f>
        <v>#DIV/0!</v>
      </c>
      <c r="G40" s="460" t="e">
        <f>IF(G35&lt;G36,G36/G35-1,G35/G36-1)</f>
        <v>#DIV/0!</v>
      </c>
      <c r="H40" s="461" t="e">
        <f>IF(OR(G40&gt;=0.3,G40&lt;=-0.3),"超过30%","")</f>
        <v>#DIV/0!</v>
      </c>
      <c r="I40" s="460" t="e">
        <f>IF(I35&lt;I36,I36/I35-1,I35/I36-1)</f>
        <v>#DIV/0!</v>
      </c>
      <c r="J40" s="461" t="e">
        <f>IF(OR(I40&gt;=0.3,I40&lt;=-0.3),"超过30%","")</f>
        <v>#DIV/0!</v>
      </c>
      <c r="K40" s="2962"/>
      <c r="L40" s="2958"/>
      <c r="M40" s="2957"/>
      <c r="N40" s="2957"/>
      <c r="O40" s="2957"/>
      <c r="P40" s="2957"/>
      <c r="Q40" s="2957"/>
      <c r="R40" s="2957"/>
      <c r="S40" s="2957"/>
      <c r="T40" s="2957"/>
      <c r="U40" s="2957"/>
      <c r="V40" s="2957"/>
      <c r="W40" s="2957"/>
      <c r="X40" s="2957"/>
      <c r="Y40" s="2957"/>
      <c r="Z40" s="2957"/>
      <c r="AA40" s="2957"/>
      <c r="AB40" s="2957"/>
      <c r="AC40" s="2957"/>
      <c r="AD40" s="2957"/>
    </row>
    <row r="41" spans="1:30" ht="13.5" customHeight="1">
      <c r="A41" s="2957"/>
      <c r="B41" s="2957"/>
      <c r="C41" s="458" t="s">
        <v>2502</v>
      </c>
      <c r="D41" s="462"/>
      <c r="E41" s="460" t="e">
        <f>IF(E36&lt;G36,G36/E36-1,E36/G36-1)</f>
        <v>#DIV/0!</v>
      </c>
      <c r="F41" s="461" t="e">
        <f>IF(OR(E41&gt;=0.2,E41&lt;=-0.2),"超过20%","")</f>
        <v>#DIV/0!</v>
      </c>
      <c r="G41" s="460" t="e">
        <f>IF(G36&lt;I36,I36/G36-1,G36/I36-1)</f>
        <v>#DIV/0!</v>
      </c>
      <c r="H41" s="461" t="e">
        <f>IF(OR(G41&gt;=0.2,G41&lt;=-0.2),"超过20%","")</f>
        <v>#DIV/0!</v>
      </c>
      <c r="I41" s="460" t="e">
        <f>IF(I36&lt;E36,E36/I36-1,I36/E36-1)</f>
        <v>#DIV/0!</v>
      </c>
      <c r="J41" s="461" t="e">
        <f>IF(OR(I41&gt;=0.2,I41&lt;=-0.2),"超过20%","")</f>
        <v>#DIV/0!</v>
      </c>
      <c r="K41" s="2962"/>
      <c r="L41" s="2958"/>
      <c r="M41" s="2957"/>
      <c r="N41" s="2957"/>
      <c r="O41" s="2957"/>
      <c r="P41" s="2957"/>
      <c r="Q41" s="2957"/>
      <c r="R41" s="2957"/>
      <c r="S41" s="2957"/>
      <c r="T41" s="2957"/>
      <c r="U41" s="2957"/>
      <c r="V41" s="2957"/>
      <c r="W41" s="2957"/>
      <c r="X41" s="2957"/>
      <c r="Y41" s="2957"/>
      <c r="Z41" s="2957"/>
      <c r="AA41" s="2957"/>
      <c r="AB41" s="2957"/>
      <c r="AC41" s="2957"/>
      <c r="AD41" s="2957"/>
    </row>
    <row r="42" spans="1:30" s="463" customFormat="1" ht="13.5" customHeight="1">
      <c r="A42" s="2960"/>
      <c r="B42" s="2960"/>
      <c r="C42" s="458" t="s">
        <v>2503</v>
      </c>
      <c r="D42" s="462"/>
      <c r="E42" s="460" t="e">
        <f>IF(E35&lt;G35,G35/E35-1,E35/G35-1)</f>
        <v>#DIV/0!</v>
      </c>
      <c r="F42" s="461" t="e">
        <f>IF(OR(E42&gt;=0.3,E42&lt;=-0.3),"超过30%","")</f>
        <v>#DIV/0!</v>
      </c>
      <c r="G42" s="460" t="e">
        <f>IF(G35&lt;I35,I35/G35-1,G35/I35-1)</f>
        <v>#DIV/0!</v>
      </c>
      <c r="H42" s="461" t="e">
        <f>IF(OR(G42&gt;=0.3,G42&lt;=-0.3),"超过30%","")</f>
        <v>#DIV/0!</v>
      </c>
      <c r="I42" s="460" t="e">
        <f>IF(I35&lt;E35,E35/I35-1,I35/E35-1)</f>
        <v>#DIV/0!</v>
      </c>
      <c r="J42" s="461" t="e">
        <f>IF(OR(I42&gt;=0.3,I42&lt;=-0.3),"超过30%","")</f>
        <v>#DIV/0!</v>
      </c>
      <c r="K42" s="2965"/>
      <c r="L42" s="2959"/>
      <c r="M42" s="2960"/>
      <c r="N42" s="2960"/>
      <c r="O42" s="2960"/>
      <c r="P42" s="2960"/>
      <c r="Q42" s="2960"/>
      <c r="R42" s="2960"/>
      <c r="S42" s="2960"/>
      <c r="T42" s="2960"/>
      <c r="U42" s="2960"/>
      <c r="V42" s="2960"/>
      <c r="W42" s="2960"/>
      <c r="X42" s="2960"/>
      <c r="Y42" s="2960"/>
      <c r="Z42" s="2960"/>
      <c r="AA42" s="2960"/>
      <c r="AB42" s="2960"/>
      <c r="AC42" s="2960"/>
      <c r="AD42" s="2960"/>
    </row>
    <row r="43" spans="1:30" s="463" customFormat="1">
      <c r="A43" s="2960"/>
      <c r="B43" s="2963"/>
      <c r="C43" s="2964"/>
      <c r="D43" s="2960"/>
      <c r="E43" s="2960"/>
      <c r="F43" s="2960"/>
      <c r="G43" s="2960"/>
      <c r="H43" s="2960"/>
      <c r="I43" s="2960"/>
      <c r="J43" s="2960"/>
      <c r="K43" s="2965"/>
      <c r="L43" s="2959"/>
      <c r="M43" s="2960"/>
      <c r="N43" s="2960"/>
      <c r="O43" s="2960"/>
      <c r="P43" s="2960"/>
      <c r="Q43" s="2960"/>
      <c r="R43" s="2960"/>
      <c r="S43" s="2960"/>
      <c r="T43" s="2960"/>
      <c r="U43" s="2960"/>
      <c r="V43" s="2960"/>
      <c r="W43" s="2960"/>
      <c r="X43" s="2960"/>
      <c r="Y43" s="2960"/>
      <c r="Z43" s="2960"/>
      <c r="AA43" s="2960"/>
      <c r="AB43" s="2960"/>
      <c r="AC43" s="2960"/>
      <c r="AD43" s="2960"/>
    </row>
    <row r="44" spans="1:30">
      <c r="A44" s="2957"/>
      <c r="B44" s="2963"/>
      <c r="C44" s="2964"/>
      <c r="D44" s="2957"/>
      <c r="E44" s="2957"/>
      <c r="F44" s="2957"/>
      <c r="G44" s="2957"/>
      <c r="H44" s="2957"/>
      <c r="I44" s="2957"/>
      <c r="J44" s="2957"/>
      <c r="K44" s="2962"/>
      <c r="L44" s="2958"/>
      <c r="M44" s="2957"/>
      <c r="N44" s="2957"/>
      <c r="O44" s="2957"/>
      <c r="P44" s="2957"/>
      <c r="Q44" s="2957"/>
      <c r="R44" s="2957"/>
      <c r="S44" s="2957"/>
      <c r="T44" s="2957"/>
      <c r="U44" s="2957"/>
      <c r="V44" s="2957"/>
      <c r="W44" s="2957"/>
      <c r="X44" s="2957"/>
      <c r="Y44" s="2957"/>
      <c r="Z44" s="2957"/>
      <c r="AA44" s="2957"/>
      <c r="AB44" s="2957"/>
      <c r="AC44" s="2957"/>
      <c r="AD44" s="2957"/>
    </row>
    <row r="45" spans="1:30" ht="22.2" thickBot="1">
      <c r="A45" s="707" t="s">
        <v>2504</v>
      </c>
      <c r="B45" s="703"/>
      <c r="C45" s="708"/>
      <c r="D45" s="708"/>
      <c r="E45" s="708"/>
      <c r="F45" s="709"/>
      <c r="G45" s="709"/>
      <c r="H45" s="708"/>
      <c r="I45" s="708"/>
      <c r="J45" s="708"/>
      <c r="K45" s="710"/>
      <c r="L45" s="711"/>
      <c r="M45" s="708"/>
      <c r="N45" s="3001"/>
      <c r="O45" s="3001"/>
      <c r="P45" s="3001"/>
      <c r="Q45" s="2971"/>
      <c r="R45" s="2957"/>
      <c r="S45" s="2957"/>
      <c r="T45" s="2957"/>
      <c r="U45" s="2957"/>
      <c r="V45" s="2957"/>
      <c r="W45" s="2957"/>
      <c r="X45" s="2957"/>
      <c r="Y45" s="2957"/>
      <c r="Z45" s="2957"/>
      <c r="AA45" s="2957"/>
      <c r="AB45" s="2957"/>
      <c r="AC45" s="2957"/>
      <c r="AD45" s="2957"/>
    </row>
    <row r="46" spans="1:30" s="469" customFormat="1" ht="14.4">
      <c r="A46" s="466" t="s">
        <v>2378</v>
      </c>
      <c r="B46" s="467"/>
      <c r="C46" s="1350" t="str">
        <f>YEAR(C7)&amp;"-"&amp;MONTH(C7)</f>
        <v>2020-8</v>
      </c>
      <c r="D46" s="1351">
        <f>EDATE(C46,-1)</f>
        <v>44013</v>
      </c>
      <c r="E46" s="1351">
        <f t="shared" ref="E46:O46" si="16">EDATE(D46,-1)</f>
        <v>43983</v>
      </c>
      <c r="F46" s="1351">
        <f t="shared" si="16"/>
        <v>43952</v>
      </c>
      <c r="G46" s="1351">
        <f t="shared" si="16"/>
        <v>43922</v>
      </c>
      <c r="H46" s="1351">
        <f t="shared" si="16"/>
        <v>43891</v>
      </c>
      <c r="I46" s="1351">
        <f t="shared" si="16"/>
        <v>43862</v>
      </c>
      <c r="J46" s="1351">
        <f t="shared" si="16"/>
        <v>43831</v>
      </c>
      <c r="K46" s="1351">
        <f t="shared" si="16"/>
        <v>43800</v>
      </c>
      <c r="L46" s="1351">
        <f t="shared" si="16"/>
        <v>43770</v>
      </c>
      <c r="M46" s="1351">
        <f t="shared" si="16"/>
        <v>43739</v>
      </c>
      <c r="N46" s="1351">
        <f t="shared" si="16"/>
        <v>43709</v>
      </c>
      <c r="O46" s="1351">
        <f t="shared" si="16"/>
        <v>43678</v>
      </c>
      <c r="P46" s="3008"/>
      <c r="Q46" s="2973"/>
      <c r="R46" s="2973"/>
      <c r="S46" s="2973"/>
      <c r="T46" s="2973"/>
      <c r="U46" s="2973"/>
      <c r="V46" s="2973"/>
      <c r="W46" s="2973"/>
      <c r="X46" s="2973"/>
      <c r="Y46" s="2973"/>
      <c r="Z46" s="2973"/>
      <c r="AA46" s="2973"/>
      <c r="AB46" s="2973"/>
      <c r="AC46" s="2973"/>
      <c r="AD46" s="2973"/>
    </row>
    <row r="47" spans="1:30" s="117" customFormat="1">
      <c r="A47" s="470"/>
      <c r="B47" s="471"/>
      <c r="C47" s="1349">
        <v>100</v>
      </c>
      <c r="D47" s="473"/>
      <c r="E47" s="473"/>
      <c r="F47" s="473"/>
      <c r="G47" s="473"/>
      <c r="H47" s="473"/>
      <c r="I47" s="473"/>
      <c r="J47" s="473"/>
      <c r="K47" s="473"/>
      <c r="L47" s="473"/>
      <c r="M47" s="474"/>
      <c r="N47" s="473"/>
      <c r="O47" s="475"/>
      <c r="P47" s="2971"/>
      <c r="Q47" s="2889"/>
      <c r="R47" s="2889"/>
      <c r="S47" s="2889"/>
      <c r="T47" s="2889"/>
      <c r="U47" s="2889"/>
      <c r="V47" s="2889"/>
      <c r="W47" s="2889"/>
      <c r="X47" s="2889"/>
      <c r="Y47" s="2889"/>
      <c r="Z47" s="2889"/>
      <c r="AA47" s="2889"/>
      <c r="AB47" s="2889"/>
      <c r="AC47" s="2889"/>
      <c r="AD47" s="2889"/>
    </row>
    <row r="48" spans="1:30" s="117" customFormat="1" ht="15" thickBot="1">
      <c r="A48" s="476" t="s">
        <v>2415</v>
      </c>
      <c r="B48" s="477"/>
      <c r="C48" s="478"/>
      <c r="D48" s="479"/>
      <c r="E48" s="479"/>
      <c r="F48" s="479"/>
      <c r="G48" s="479"/>
      <c r="H48" s="479"/>
      <c r="I48" s="479"/>
      <c r="J48" s="479"/>
      <c r="K48" s="479"/>
      <c r="L48" s="479"/>
      <c r="M48" s="480"/>
      <c r="N48" s="479"/>
      <c r="O48" s="481"/>
      <c r="P48" s="2971"/>
      <c r="Q48" s="2971"/>
      <c r="R48" s="2889"/>
      <c r="S48" s="2889"/>
      <c r="T48" s="2889"/>
      <c r="U48" s="2889"/>
      <c r="V48" s="2889"/>
      <c r="W48" s="2889"/>
      <c r="X48" s="2889"/>
      <c r="Y48" s="2889"/>
      <c r="Z48" s="2889"/>
      <c r="AA48" s="2889"/>
      <c r="AB48" s="2889"/>
      <c r="AC48" s="2889"/>
      <c r="AD48" s="2889"/>
    </row>
    <row r="49" spans="1:30" s="117" customFormat="1" ht="14.4">
      <c r="A49" s="482" t="s">
        <v>2380</v>
      </c>
      <c r="B49" s="471"/>
      <c r="C49" s="483" t="s">
        <v>2482</v>
      </c>
      <c r="D49" s="484"/>
      <c r="E49" s="484"/>
      <c r="F49" s="484"/>
      <c r="G49" s="484"/>
      <c r="H49" s="484"/>
      <c r="I49" s="484"/>
      <c r="J49" s="484"/>
      <c r="K49" s="484"/>
      <c r="L49" s="485"/>
      <c r="M49" s="486"/>
      <c r="N49" s="2984"/>
      <c r="O49" s="2984"/>
      <c r="P49" s="3009"/>
      <c r="Q49" s="2971"/>
      <c r="R49" s="2889"/>
      <c r="S49" s="2889"/>
      <c r="T49" s="2889"/>
      <c r="U49" s="2889"/>
      <c r="V49" s="2889"/>
      <c r="W49" s="2889"/>
      <c r="X49" s="2889"/>
      <c r="Y49" s="2889"/>
      <c r="Z49" s="2889"/>
      <c r="AA49" s="2889"/>
      <c r="AB49" s="2889"/>
      <c r="AC49" s="2889"/>
      <c r="AD49" s="2889"/>
    </row>
    <row r="50" spans="1:30" s="117" customFormat="1" ht="14.4" thickBot="1">
      <c r="A50" s="482"/>
      <c r="B50" s="471"/>
      <c r="C50" s="599">
        <v>100</v>
      </c>
      <c r="D50" s="473"/>
      <c r="E50" s="473"/>
      <c r="F50" s="473"/>
      <c r="G50" s="473"/>
      <c r="H50" s="473"/>
      <c r="I50" s="473"/>
      <c r="J50" s="473"/>
      <c r="K50" s="473"/>
      <c r="L50" s="473"/>
      <c r="M50" s="475"/>
      <c r="N50" s="2984"/>
      <c r="O50" s="2984"/>
      <c r="P50" s="2971"/>
      <c r="Q50" s="2971"/>
      <c r="R50" s="2889"/>
      <c r="S50" s="2889"/>
      <c r="T50" s="2889"/>
      <c r="U50" s="2889"/>
      <c r="V50" s="2889"/>
      <c r="W50" s="2889"/>
      <c r="X50" s="2889"/>
      <c r="Y50" s="2889"/>
      <c r="Z50" s="2889"/>
      <c r="AA50" s="2889"/>
      <c r="AB50" s="2889"/>
      <c r="AC50" s="2889"/>
      <c r="AD50" s="2889"/>
    </row>
    <row r="51" spans="1:30" ht="14.4">
      <c r="A51" s="488" t="s">
        <v>2418</v>
      </c>
      <c r="B51" s="489" t="s">
        <v>2384</v>
      </c>
      <c r="C51" s="490">
        <f>C9</f>
        <v>0</v>
      </c>
      <c r="D51" s="491"/>
      <c r="E51" s="491"/>
      <c r="F51" s="491"/>
      <c r="G51" s="491"/>
      <c r="H51" s="491"/>
      <c r="I51" s="491"/>
      <c r="J51" s="491"/>
      <c r="K51" s="492"/>
      <c r="L51" s="493"/>
      <c r="M51" s="494"/>
      <c r="N51" s="2985"/>
      <c r="O51" s="2985"/>
      <c r="P51" s="3010"/>
      <c r="Q51" s="2971"/>
      <c r="R51" s="2957"/>
      <c r="S51" s="2957"/>
      <c r="T51" s="2957"/>
      <c r="U51" s="2957"/>
      <c r="V51" s="2957"/>
      <c r="W51" s="2957"/>
      <c r="X51" s="2957"/>
      <c r="Y51" s="2957"/>
      <c r="Z51" s="2957"/>
      <c r="AA51" s="2957"/>
      <c r="AB51" s="2957"/>
      <c r="AC51" s="2957"/>
      <c r="AD51" s="2957"/>
    </row>
    <row r="52" spans="1:30" ht="14.4" thickBot="1">
      <c r="A52" s="495"/>
      <c r="B52" s="496"/>
      <c r="C52" s="497">
        <v>100</v>
      </c>
      <c r="D52" s="497"/>
      <c r="E52" s="497"/>
      <c r="F52" s="497"/>
      <c r="G52" s="497"/>
      <c r="H52" s="497"/>
      <c r="I52" s="497"/>
      <c r="J52" s="497"/>
      <c r="K52" s="497"/>
      <c r="L52" s="497"/>
      <c r="M52" s="498"/>
      <c r="N52" s="2986"/>
      <c r="O52" s="2986"/>
      <c r="P52" s="3010"/>
      <c r="Q52" s="2971"/>
      <c r="R52" s="2957"/>
      <c r="S52" s="2957"/>
      <c r="T52" s="2957"/>
      <c r="U52" s="2957"/>
      <c r="V52" s="2957"/>
      <c r="W52" s="2957"/>
      <c r="X52" s="2957"/>
      <c r="Y52" s="2957"/>
      <c r="Z52" s="2957"/>
      <c r="AA52" s="2957"/>
      <c r="AB52" s="2957"/>
      <c r="AC52" s="2957"/>
      <c r="AD52" s="2957"/>
    </row>
    <row r="53" spans="1:30" ht="29.4" thickTop="1">
      <c r="A53" s="495"/>
      <c r="B53" s="499" t="s">
        <v>2387</v>
      </c>
      <c r="C53" s="500" t="s">
        <v>2419</v>
      </c>
      <c r="D53" s="500" t="s">
        <v>2420</v>
      </c>
      <c r="E53" s="500" t="s">
        <v>2421</v>
      </c>
      <c r="F53" s="500" t="s">
        <v>2422</v>
      </c>
      <c r="G53" s="500" t="s">
        <v>2423</v>
      </c>
      <c r="H53" s="500" t="s">
        <v>2424</v>
      </c>
      <c r="I53" s="500" t="s">
        <v>2425</v>
      </c>
      <c r="J53" s="500"/>
      <c r="K53" s="501"/>
      <c r="L53" s="502"/>
      <c r="M53" s="503"/>
      <c r="N53" s="2985"/>
      <c r="O53" s="2985"/>
      <c r="P53" s="3010"/>
      <c r="Q53" s="2971"/>
      <c r="R53" s="2957"/>
      <c r="S53" s="2957"/>
      <c r="T53" s="2957"/>
      <c r="U53" s="2957"/>
      <c r="V53" s="2957"/>
      <c r="W53" s="2957"/>
      <c r="X53" s="2957"/>
      <c r="Y53" s="2957"/>
      <c r="Z53" s="2957"/>
      <c r="AA53" s="2957"/>
      <c r="AB53" s="2957"/>
      <c r="AC53" s="2957"/>
      <c r="AD53" s="2957"/>
    </row>
    <row r="54" spans="1:30" ht="14.4" thickBot="1">
      <c r="A54" s="495"/>
      <c r="B54" s="504"/>
      <c r="C54" s="505" t="s">
        <v>24</v>
      </c>
      <c r="D54" s="505" t="s">
        <v>25</v>
      </c>
      <c r="E54" s="505">
        <v>100</v>
      </c>
      <c r="F54" s="505">
        <f>E54-$K10</f>
        <v>100</v>
      </c>
      <c r="G54" s="505">
        <f>F54-$K10</f>
        <v>100</v>
      </c>
      <c r="H54" s="505">
        <f>G54-$K10</f>
        <v>100</v>
      </c>
      <c r="I54" s="505">
        <f>H54-$K10</f>
        <v>100</v>
      </c>
      <c r="J54" s="505"/>
      <c r="K54" s="505"/>
      <c r="L54" s="505"/>
      <c r="M54" s="506"/>
      <c r="N54" s="2986"/>
      <c r="O54" s="2986"/>
      <c r="P54" s="3010"/>
      <c r="Q54" s="2971"/>
      <c r="R54" s="2957"/>
      <c r="S54" s="2957"/>
      <c r="T54" s="2957"/>
      <c r="U54" s="2957"/>
      <c r="V54" s="2957"/>
      <c r="W54" s="2957"/>
      <c r="X54" s="2957"/>
      <c r="Y54" s="2957"/>
      <c r="Z54" s="2957"/>
      <c r="AA54" s="2957"/>
      <c r="AB54" s="2957"/>
      <c r="AC54" s="2957"/>
      <c r="AD54" s="2957"/>
    </row>
    <row r="55" spans="1:30" ht="14.4" thickTop="1">
      <c r="A55" s="495"/>
      <c r="B55" s="620">
        <f>B11</f>
        <v>111</v>
      </c>
      <c r="C55" s="510"/>
      <c r="D55" s="510"/>
      <c r="E55" s="510"/>
      <c r="F55" s="510"/>
      <c r="G55" s="510"/>
      <c r="H55" s="510"/>
      <c r="I55" s="510"/>
      <c r="J55" s="510"/>
      <c r="K55" s="511"/>
      <c r="L55" s="512"/>
      <c r="M55" s="513"/>
      <c r="N55" s="2985"/>
      <c r="O55" s="2985"/>
      <c r="P55" s="3010"/>
      <c r="Q55" s="2971"/>
      <c r="R55" s="2957"/>
      <c r="S55" s="2957"/>
      <c r="T55" s="2957"/>
      <c r="U55" s="2957"/>
      <c r="V55" s="2957"/>
      <c r="W55" s="2957"/>
      <c r="X55" s="2957"/>
      <c r="Y55" s="2957"/>
      <c r="Z55" s="2957"/>
      <c r="AA55" s="2957"/>
      <c r="AB55" s="2957"/>
      <c r="AC55" s="2957"/>
      <c r="AD55" s="2957"/>
    </row>
    <row r="56" spans="1:30" ht="14.4" thickBot="1">
      <c r="A56" s="495"/>
      <c r="B56" s="496"/>
      <c r="C56" s="521"/>
      <c r="D56" s="497"/>
      <c r="E56" s="497"/>
      <c r="F56" s="497"/>
      <c r="G56" s="497"/>
      <c r="H56" s="497"/>
      <c r="I56" s="497"/>
      <c r="J56" s="497"/>
      <c r="K56" s="497"/>
      <c r="L56" s="497"/>
      <c r="M56" s="498"/>
      <c r="N56" s="2986"/>
      <c r="O56" s="2986"/>
      <c r="P56" s="3010"/>
      <c r="Q56" s="2971"/>
      <c r="R56" s="2957"/>
      <c r="S56" s="2957"/>
      <c r="T56" s="2957"/>
      <c r="U56" s="2957"/>
      <c r="V56" s="2957"/>
      <c r="W56" s="2957"/>
      <c r="X56" s="2957"/>
      <c r="Y56" s="2957"/>
      <c r="Z56" s="2957"/>
      <c r="AA56" s="2957"/>
      <c r="AB56" s="2957"/>
      <c r="AC56" s="2957"/>
      <c r="AD56" s="2957"/>
    </row>
    <row r="57" spans="1:30" s="434" customFormat="1" ht="14.4" thickTop="1">
      <c r="A57" s="514"/>
      <c r="B57" s="499">
        <f>B12</f>
        <v>111</v>
      </c>
      <c r="C57" s="510"/>
      <c r="D57" s="510"/>
      <c r="E57" s="510"/>
      <c r="F57" s="510"/>
      <c r="G57" s="515"/>
      <c r="H57" s="516"/>
      <c r="I57" s="516"/>
      <c r="J57" s="516"/>
      <c r="K57" s="516"/>
      <c r="L57" s="517"/>
      <c r="M57" s="518"/>
      <c r="N57" s="2987"/>
      <c r="O57" s="2987"/>
      <c r="P57" s="3011"/>
      <c r="Q57" s="2978"/>
      <c r="R57" s="2979"/>
      <c r="S57" s="2979"/>
      <c r="T57" s="2979"/>
      <c r="U57" s="2979"/>
      <c r="V57" s="2979"/>
      <c r="W57" s="2979"/>
      <c r="X57" s="2979"/>
      <c r="Y57" s="2979"/>
      <c r="Z57" s="2979"/>
      <c r="AA57" s="2979"/>
      <c r="AB57" s="2979"/>
      <c r="AC57" s="2979"/>
      <c r="AD57" s="2979"/>
    </row>
    <row r="58" spans="1:30" s="434" customFormat="1" ht="14.4" thickBot="1">
      <c r="A58" s="514"/>
      <c r="B58" s="504"/>
      <c r="C58" s="521"/>
      <c r="D58" s="497"/>
      <c r="E58" s="497"/>
      <c r="F58" s="497"/>
      <c r="G58" s="497"/>
      <c r="H58" s="497"/>
      <c r="I58" s="497"/>
      <c r="J58" s="497"/>
      <c r="K58" s="497"/>
      <c r="L58" s="497"/>
      <c r="M58" s="498"/>
      <c r="N58" s="2986"/>
      <c r="O58" s="2986"/>
      <c r="P58" s="3011"/>
      <c r="Q58" s="2978"/>
      <c r="R58" s="2979"/>
      <c r="S58" s="2979"/>
      <c r="T58" s="2979"/>
      <c r="U58" s="2979"/>
      <c r="V58" s="2979"/>
      <c r="W58" s="2979"/>
      <c r="X58" s="2979"/>
      <c r="Y58" s="2979"/>
      <c r="Z58" s="2979"/>
      <c r="AA58" s="2979"/>
      <c r="AB58" s="2979"/>
      <c r="AC58" s="2979"/>
      <c r="AD58" s="2979"/>
    </row>
    <row r="59" spans="1:30" s="434" customFormat="1" ht="14.4" thickTop="1">
      <c r="A59" s="514"/>
      <c r="B59" s="499">
        <f>B13</f>
        <v>111</v>
      </c>
      <c r="C59" s="510"/>
      <c r="D59" s="510"/>
      <c r="E59" s="510"/>
      <c r="F59" s="510"/>
      <c r="G59" s="515"/>
      <c r="H59" s="516"/>
      <c r="I59" s="516"/>
      <c r="J59" s="516"/>
      <c r="K59" s="516"/>
      <c r="L59" s="517"/>
      <c r="M59" s="518"/>
      <c r="N59" s="2987"/>
      <c r="O59" s="2987"/>
      <c r="P59" s="2955"/>
      <c r="Q59" s="2981"/>
      <c r="R59" s="2979"/>
      <c r="S59" s="2979"/>
      <c r="T59" s="2979"/>
      <c r="U59" s="2979"/>
      <c r="V59" s="2979"/>
      <c r="W59" s="2979"/>
      <c r="X59" s="2979"/>
      <c r="Y59" s="2979"/>
      <c r="Z59" s="2979"/>
      <c r="AA59" s="2979"/>
      <c r="AB59" s="2979"/>
      <c r="AC59" s="2979"/>
      <c r="AD59" s="2979"/>
    </row>
    <row r="60" spans="1:30" s="434" customFormat="1" ht="14.4" thickBot="1">
      <c r="A60" s="514"/>
      <c r="B60" s="504"/>
      <c r="C60" s="521"/>
      <c r="D60" s="521"/>
      <c r="E60" s="521"/>
      <c r="F60" s="521"/>
      <c r="G60" s="521"/>
      <c r="H60" s="523"/>
      <c r="I60" s="523"/>
      <c r="J60" s="523"/>
      <c r="K60" s="523"/>
      <c r="L60" s="523"/>
      <c r="M60" s="524"/>
      <c r="N60" s="2987"/>
      <c r="O60" s="2987"/>
      <c r="P60" s="3011"/>
      <c r="Q60" s="2978"/>
      <c r="R60" s="2979"/>
      <c r="S60" s="2979"/>
      <c r="T60" s="2979"/>
      <c r="U60" s="2979"/>
      <c r="V60" s="2979"/>
      <c r="W60" s="2979"/>
      <c r="X60" s="2979"/>
      <c r="Y60" s="2979"/>
      <c r="Z60" s="2979"/>
      <c r="AA60" s="2979"/>
      <c r="AB60" s="2979"/>
      <c r="AC60" s="2979"/>
      <c r="AD60" s="2979"/>
    </row>
    <row r="61" spans="1:30" ht="15" thickTop="1">
      <c r="A61" s="488" t="s">
        <v>2389</v>
      </c>
      <c r="B61" s="489" t="s">
        <v>2432</v>
      </c>
      <c r="C61" s="534" t="s">
        <v>2427</v>
      </c>
      <c r="D61" s="534" t="s">
        <v>2428</v>
      </c>
      <c r="E61" s="534" t="s">
        <v>2429</v>
      </c>
      <c r="F61" s="534" t="s">
        <v>2430</v>
      </c>
      <c r="G61" s="534" t="s">
        <v>2431</v>
      </c>
      <c r="H61" s="490"/>
      <c r="I61" s="490"/>
      <c r="J61" s="490"/>
      <c r="K61" s="535"/>
      <c r="L61" s="536"/>
      <c r="M61" s="537"/>
      <c r="N61" s="2985"/>
      <c r="O61" s="2985"/>
      <c r="P61" s="3012"/>
      <c r="Q61" s="2971"/>
      <c r="R61" s="2957"/>
      <c r="S61" s="2957"/>
      <c r="T61" s="2957"/>
      <c r="U61" s="2957"/>
      <c r="V61" s="2957"/>
      <c r="W61" s="2957"/>
      <c r="X61" s="2957"/>
      <c r="Y61" s="2957"/>
      <c r="Z61" s="2957"/>
      <c r="AA61" s="2957"/>
      <c r="AB61" s="2957"/>
      <c r="AC61" s="2957"/>
      <c r="AD61" s="2957"/>
    </row>
    <row r="62" spans="1:30" ht="14.4" thickBot="1">
      <c r="A62" s="495"/>
      <c r="B62" s="504"/>
      <c r="C62" s="505">
        <v>100</v>
      </c>
      <c r="D62" s="505">
        <f>C62-$K14</f>
        <v>100</v>
      </c>
      <c r="E62" s="505">
        <f>D62-$K14</f>
        <v>100</v>
      </c>
      <c r="F62" s="505">
        <f>E62-$K14</f>
        <v>100</v>
      </c>
      <c r="G62" s="505">
        <f>F62-$K14</f>
        <v>100</v>
      </c>
      <c r="H62" s="505"/>
      <c r="I62" s="505"/>
      <c r="J62" s="505"/>
      <c r="K62" s="505"/>
      <c r="L62" s="505"/>
      <c r="M62" s="506"/>
      <c r="N62" s="2986"/>
      <c r="O62" s="2986"/>
      <c r="P62" s="3010"/>
      <c r="Q62" s="2971"/>
      <c r="R62" s="2957"/>
      <c r="S62" s="2957"/>
      <c r="T62" s="2957"/>
      <c r="U62" s="2957"/>
      <c r="V62" s="2957"/>
      <c r="W62" s="2957"/>
      <c r="X62" s="2957"/>
      <c r="Y62" s="2957"/>
      <c r="Z62" s="2957"/>
      <c r="AA62" s="2957"/>
      <c r="AB62" s="2957"/>
      <c r="AC62" s="2957"/>
      <c r="AD62" s="2957"/>
    </row>
    <row r="63" spans="1:30" ht="29.4" thickTop="1">
      <c r="A63" s="495"/>
      <c r="B63" s="499" t="s">
        <v>2570</v>
      </c>
      <c r="C63" s="539" t="s">
        <v>2427</v>
      </c>
      <c r="D63" s="539" t="s">
        <v>2428</v>
      </c>
      <c r="E63" s="539" t="s">
        <v>2429</v>
      </c>
      <c r="F63" s="539" t="s">
        <v>2430</v>
      </c>
      <c r="G63" s="539" t="s">
        <v>2431</v>
      </c>
      <c r="H63" s="500"/>
      <c r="I63" s="500"/>
      <c r="J63" s="500"/>
      <c r="K63" s="501"/>
      <c r="L63" s="502"/>
      <c r="M63" s="503"/>
      <c r="N63" s="2985"/>
      <c r="O63" s="2985"/>
      <c r="P63" s="3010"/>
      <c r="Q63" s="2971"/>
      <c r="R63" s="2957"/>
      <c r="S63" s="2957"/>
      <c r="T63" s="2957"/>
      <c r="U63" s="2957"/>
      <c r="V63" s="2957"/>
      <c r="W63" s="2957"/>
      <c r="X63" s="2957"/>
      <c r="Y63" s="2957"/>
      <c r="Z63" s="2957"/>
      <c r="AA63" s="2957"/>
      <c r="AB63" s="2957"/>
      <c r="AC63" s="2957"/>
      <c r="AD63" s="2957"/>
    </row>
    <row r="64" spans="1:30" ht="14.4" thickBot="1">
      <c r="A64" s="495"/>
      <c r="B64" s="504"/>
      <c r="C64" s="505">
        <v>100</v>
      </c>
      <c r="D64" s="505">
        <f>C64-$K16</f>
        <v>100</v>
      </c>
      <c r="E64" s="505">
        <f>D64-$K16</f>
        <v>100</v>
      </c>
      <c r="F64" s="505">
        <f>E64-$K16</f>
        <v>100</v>
      </c>
      <c r="G64" s="505">
        <f>F64-$K16</f>
        <v>100</v>
      </c>
      <c r="H64" s="505"/>
      <c r="I64" s="505"/>
      <c r="J64" s="505"/>
      <c r="K64" s="505"/>
      <c r="L64" s="505"/>
      <c r="M64" s="506"/>
      <c r="N64" s="2986"/>
      <c r="O64" s="2986"/>
      <c r="P64" s="3010"/>
      <c r="Q64" s="2971"/>
      <c r="R64" s="2957"/>
      <c r="S64" s="2957"/>
      <c r="T64" s="2957"/>
      <c r="U64" s="2957"/>
      <c r="V64" s="2957"/>
      <c r="W64" s="2957"/>
      <c r="X64" s="2957"/>
      <c r="Y64" s="2957"/>
      <c r="Z64" s="2957"/>
      <c r="AA64" s="2957"/>
      <c r="AB64" s="2957"/>
      <c r="AC64" s="2957"/>
      <c r="AD64" s="2957"/>
    </row>
    <row r="65" spans="1:30" ht="15" thickTop="1">
      <c r="A65" s="495"/>
      <c r="B65" s="507" t="s">
        <v>2519</v>
      </c>
      <c r="C65" s="620" t="s">
        <v>2505</v>
      </c>
      <c r="D65" s="620" t="s">
        <v>2506</v>
      </c>
      <c r="E65" s="620" t="s">
        <v>2507</v>
      </c>
      <c r="F65" s="620" t="s">
        <v>2508</v>
      </c>
      <c r="G65" s="620" t="s">
        <v>2509</v>
      </c>
      <c r="H65" s="500"/>
      <c r="I65" s="500"/>
      <c r="J65" s="500"/>
      <c r="K65" s="500"/>
      <c r="L65" s="500"/>
      <c r="M65" s="1295"/>
      <c r="N65" s="2986"/>
      <c r="O65" s="2986"/>
      <c r="P65" s="3010"/>
      <c r="Q65" s="2971"/>
      <c r="R65" s="2957"/>
      <c r="S65" s="2957"/>
      <c r="T65" s="2957"/>
      <c r="U65" s="2957"/>
      <c r="V65" s="2957"/>
      <c r="W65" s="2957"/>
      <c r="X65" s="2957"/>
      <c r="Y65" s="2957"/>
      <c r="Z65" s="2957"/>
      <c r="AA65" s="2957"/>
      <c r="AB65" s="2957"/>
      <c r="AC65" s="2957"/>
      <c r="AD65" s="2957"/>
    </row>
    <row r="66" spans="1:30" ht="14.4" thickBot="1">
      <c r="A66" s="495"/>
      <c r="B66" s="507"/>
      <c r="C66" s="505">
        <v>100</v>
      </c>
      <c r="D66" s="505">
        <f>C66-$K18</f>
        <v>100</v>
      </c>
      <c r="E66" s="505">
        <f>D66-$K18</f>
        <v>100</v>
      </c>
      <c r="F66" s="505">
        <f>E66-$K18</f>
        <v>100</v>
      </c>
      <c r="G66" s="505">
        <f>F66-$K18</f>
        <v>100</v>
      </c>
      <c r="H66" s="620"/>
      <c r="I66" s="620"/>
      <c r="J66" s="620"/>
      <c r="K66" s="620"/>
      <c r="L66" s="620"/>
      <c r="M66" s="413"/>
      <c r="N66" s="2986"/>
      <c r="O66" s="2986"/>
      <c r="P66" s="3010"/>
      <c r="Q66" s="2971"/>
      <c r="R66" s="2957"/>
      <c r="S66" s="2957"/>
      <c r="T66" s="2957"/>
      <c r="U66" s="2957"/>
      <c r="V66" s="2957"/>
      <c r="W66" s="2957"/>
      <c r="X66" s="2957"/>
      <c r="Y66" s="2957"/>
      <c r="Z66" s="2957"/>
      <c r="AA66" s="2957"/>
      <c r="AB66" s="2957"/>
      <c r="AC66" s="2957"/>
      <c r="AD66" s="2957"/>
    </row>
    <row r="67" spans="1:30" ht="15" thickTop="1">
      <c r="A67" s="495"/>
      <c r="B67" s="499" t="s">
        <v>2439</v>
      </c>
      <c r="C67" s="539" t="s">
        <v>2427</v>
      </c>
      <c r="D67" s="539" t="s">
        <v>2428</v>
      </c>
      <c r="E67" s="539" t="s">
        <v>2429</v>
      </c>
      <c r="F67" s="539" t="s">
        <v>2430</v>
      </c>
      <c r="G67" s="539" t="s">
        <v>2431</v>
      </c>
      <c r="H67" s="500"/>
      <c r="I67" s="500"/>
      <c r="J67" s="500"/>
      <c r="K67" s="501"/>
      <c r="L67" s="502"/>
      <c r="M67" s="503"/>
      <c r="N67" s="2985"/>
      <c r="O67" s="2985"/>
      <c r="P67" s="3010"/>
      <c r="Q67" s="2971"/>
      <c r="R67" s="2957"/>
      <c r="S67" s="2957"/>
      <c r="T67" s="2957"/>
      <c r="U67" s="2957"/>
      <c r="V67" s="2957"/>
      <c r="W67" s="2957"/>
      <c r="X67" s="2957"/>
      <c r="Y67" s="2957"/>
      <c r="Z67" s="2957"/>
      <c r="AA67" s="2957"/>
      <c r="AB67" s="2957"/>
      <c r="AC67" s="2957"/>
      <c r="AD67" s="2957"/>
    </row>
    <row r="68" spans="1:30" ht="14.4" thickBot="1">
      <c r="A68" s="495"/>
      <c r="B68" s="504"/>
      <c r="C68" s="505">
        <v>100</v>
      </c>
      <c r="D68" s="505">
        <f>C68-$K20</f>
        <v>100</v>
      </c>
      <c r="E68" s="505">
        <f>D68-$K20</f>
        <v>100</v>
      </c>
      <c r="F68" s="505">
        <f>E68-$K20</f>
        <v>100</v>
      </c>
      <c r="G68" s="505">
        <f>F68-$K20</f>
        <v>100</v>
      </c>
      <c r="H68" s="505"/>
      <c r="I68" s="505"/>
      <c r="J68" s="505"/>
      <c r="K68" s="505"/>
      <c r="L68" s="505"/>
      <c r="M68" s="506"/>
      <c r="N68" s="2986"/>
      <c r="O68" s="2986"/>
      <c r="P68" s="3010"/>
      <c r="Q68" s="2971"/>
      <c r="R68" s="2957"/>
      <c r="S68" s="2957"/>
      <c r="T68" s="2957"/>
      <c r="U68" s="2957"/>
      <c r="V68" s="2957"/>
      <c r="W68" s="2957"/>
      <c r="X68" s="2957"/>
      <c r="Y68" s="2957"/>
      <c r="Z68" s="2957"/>
      <c r="AA68" s="2957"/>
      <c r="AB68" s="2957"/>
      <c r="AC68" s="2957"/>
      <c r="AD68" s="2957"/>
    </row>
    <row r="69" spans="1:30" ht="15" thickTop="1">
      <c r="A69" s="495"/>
      <c r="B69" s="499" t="s">
        <v>2559</v>
      </c>
      <c r="C69" s="515"/>
      <c r="D69" s="515"/>
      <c r="E69" s="515"/>
      <c r="F69" s="515"/>
      <c r="G69" s="515"/>
      <c r="H69" s="544"/>
      <c r="I69" s="544"/>
      <c r="J69" s="544"/>
      <c r="K69" s="545"/>
      <c r="L69" s="546"/>
      <c r="M69" s="547"/>
      <c r="N69" s="2985"/>
      <c r="O69" s="2985"/>
      <c r="P69" s="3010"/>
      <c r="Q69" s="2971"/>
      <c r="R69" s="2957"/>
      <c r="S69" s="2957"/>
      <c r="T69" s="2957"/>
      <c r="U69" s="2957"/>
      <c r="V69" s="2957"/>
      <c r="W69" s="2957"/>
      <c r="X69" s="2957"/>
      <c r="Y69" s="2957"/>
      <c r="Z69" s="2957"/>
      <c r="AA69" s="2957"/>
      <c r="AB69" s="2957"/>
      <c r="AC69" s="2957"/>
      <c r="AD69" s="2957"/>
    </row>
    <row r="70" spans="1:30" ht="14.4" thickBot="1">
      <c r="A70" s="495"/>
      <c r="B70" s="504"/>
      <c r="C70" s="505">
        <v>100</v>
      </c>
      <c r="D70" s="505">
        <f>C70-$K22</f>
        <v>100</v>
      </c>
      <c r="E70" s="505"/>
      <c r="F70" s="505"/>
      <c r="G70" s="505"/>
      <c r="H70" s="505"/>
      <c r="I70" s="505"/>
      <c r="J70" s="505"/>
      <c r="K70" s="505"/>
      <c r="L70" s="505"/>
      <c r="M70" s="506"/>
      <c r="N70" s="2986"/>
      <c r="O70" s="2986"/>
      <c r="P70" s="3010"/>
      <c r="Q70" s="2971"/>
      <c r="R70" s="2957"/>
      <c r="S70" s="2957"/>
      <c r="T70" s="2957"/>
      <c r="U70" s="2957"/>
      <c r="V70" s="2957"/>
      <c r="W70" s="2957"/>
      <c r="X70" s="2957"/>
      <c r="Y70" s="2957"/>
      <c r="Z70" s="2957"/>
      <c r="AA70" s="2957"/>
      <c r="AB70" s="2957"/>
      <c r="AC70" s="2957"/>
      <c r="AD70" s="2957"/>
    </row>
    <row r="71" spans="1:30" s="117" customFormat="1" ht="14.4" thickTop="1">
      <c r="A71" s="540"/>
      <c r="B71" s="499">
        <f>B23</f>
        <v>111</v>
      </c>
      <c r="C71" s="510"/>
      <c r="D71" s="510"/>
      <c r="E71" s="510"/>
      <c r="F71" s="510"/>
      <c r="G71" s="515"/>
      <c r="H71" s="515"/>
      <c r="I71" s="515"/>
      <c r="J71" s="515"/>
      <c r="K71" s="515"/>
      <c r="L71" s="541"/>
      <c r="M71" s="542"/>
      <c r="N71" s="2984"/>
      <c r="O71" s="2984"/>
      <c r="P71" s="3010"/>
      <c r="Q71" s="2971"/>
      <c r="R71" s="2889"/>
      <c r="S71" s="2889"/>
      <c r="T71" s="2889"/>
      <c r="U71" s="2889"/>
      <c r="V71" s="2889"/>
      <c r="W71" s="2889"/>
      <c r="X71" s="2889"/>
      <c r="Y71" s="2889"/>
      <c r="Z71" s="2889"/>
      <c r="AA71" s="2889"/>
      <c r="AB71" s="2889"/>
      <c r="AC71" s="2889"/>
      <c r="AD71" s="2889"/>
    </row>
    <row r="72" spans="1:30" s="117" customFormat="1" ht="14.4" thickBot="1">
      <c r="A72" s="540"/>
      <c r="B72" s="504"/>
      <c r="C72" s="521"/>
      <c r="D72" s="497"/>
      <c r="E72" s="497"/>
      <c r="F72" s="497"/>
      <c r="G72" s="497"/>
      <c r="H72" s="497"/>
      <c r="I72" s="497"/>
      <c r="J72" s="497"/>
      <c r="K72" s="497"/>
      <c r="L72" s="497"/>
      <c r="M72" s="498"/>
      <c r="N72" s="2986"/>
      <c r="O72" s="2986"/>
      <c r="P72" s="3010"/>
      <c r="Q72" s="2971"/>
      <c r="R72" s="2889"/>
      <c r="S72" s="2889"/>
      <c r="T72" s="2889"/>
      <c r="U72" s="2889"/>
      <c r="V72" s="2889"/>
      <c r="W72" s="2889"/>
      <c r="X72" s="2889"/>
      <c r="Y72" s="2889"/>
      <c r="Z72" s="2889"/>
      <c r="AA72" s="2889"/>
      <c r="AB72" s="2889"/>
      <c r="AC72" s="2889"/>
      <c r="AD72" s="2889"/>
    </row>
    <row r="73" spans="1:30" s="117" customFormat="1" ht="14.4" thickTop="1">
      <c r="A73" s="540"/>
      <c r="B73" s="499">
        <f>B24</f>
        <v>111</v>
      </c>
      <c r="C73" s="510"/>
      <c r="D73" s="510"/>
      <c r="E73" s="510"/>
      <c r="F73" s="510"/>
      <c r="G73" s="515"/>
      <c r="H73" s="515"/>
      <c r="I73" s="515"/>
      <c r="J73" s="515"/>
      <c r="K73" s="515"/>
      <c r="L73" s="515"/>
      <c r="M73" s="542"/>
      <c r="N73" s="2984"/>
      <c r="O73" s="2984"/>
      <c r="P73" s="3010"/>
      <c r="Q73" s="2971"/>
      <c r="R73" s="2889"/>
      <c r="S73" s="2889"/>
      <c r="T73" s="2889"/>
      <c r="U73" s="2889"/>
      <c r="V73" s="2889"/>
      <c r="W73" s="2889"/>
      <c r="X73" s="2889"/>
      <c r="Y73" s="2889"/>
      <c r="Z73" s="2889"/>
      <c r="AA73" s="2889"/>
      <c r="AB73" s="2889"/>
      <c r="AC73" s="2889"/>
      <c r="AD73" s="2889"/>
    </row>
    <row r="74" spans="1:30" s="117" customFormat="1" ht="14.4" thickBot="1">
      <c r="A74" s="540"/>
      <c r="B74" s="504"/>
      <c r="C74" s="521"/>
      <c r="D74" s="497"/>
      <c r="E74" s="497"/>
      <c r="F74" s="497"/>
      <c r="G74" s="497"/>
      <c r="H74" s="497"/>
      <c r="I74" s="497"/>
      <c r="J74" s="497"/>
      <c r="K74" s="497"/>
      <c r="L74" s="497"/>
      <c r="M74" s="498"/>
      <c r="N74" s="2986"/>
      <c r="O74" s="2986"/>
      <c r="P74" s="3010"/>
      <c r="Q74" s="2971"/>
      <c r="R74" s="2889"/>
      <c r="S74" s="2889"/>
      <c r="T74" s="2889"/>
      <c r="U74" s="2889"/>
      <c r="V74" s="2889"/>
      <c r="W74" s="2889"/>
      <c r="X74" s="2889"/>
      <c r="Y74" s="2889"/>
      <c r="Z74" s="2889"/>
      <c r="AA74" s="2889"/>
      <c r="AB74" s="2889"/>
      <c r="AC74" s="2889"/>
      <c r="AD74" s="2889"/>
    </row>
    <row r="75" spans="1:30" s="434" customFormat="1" ht="14.4" thickTop="1">
      <c r="A75" s="514"/>
      <c r="B75" s="499">
        <f>B25</f>
        <v>111</v>
      </c>
      <c r="C75" s="510"/>
      <c r="D75" s="510"/>
      <c r="E75" s="510"/>
      <c r="F75" s="510"/>
      <c r="G75" s="515"/>
      <c r="H75" s="516"/>
      <c r="I75" s="516"/>
      <c r="J75" s="516"/>
      <c r="K75" s="516"/>
      <c r="L75" s="517"/>
      <c r="M75" s="518"/>
      <c r="N75" s="2987"/>
      <c r="O75" s="2987"/>
      <c r="P75" s="3011"/>
      <c r="Q75" s="2978"/>
      <c r="R75" s="2979"/>
      <c r="S75" s="2979"/>
      <c r="T75" s="2979"/>
      <c r="U75" s="2979"/>
      <c r="V75" s="2979"/>
      <c r="W75" s="2979"/>
      <c r="X75" s="2979"/>
      <c r="Y75" s="2979"/>
      <c r="Z75" s="2979"/>
      <c r="AA75" s="2979"/>
      <c r="AB75" s="2979"/>
      <c r="AC75" s="2979"/>
      <c r="AD75" s="2979"/>
    </row>
    <row r="76" spans="1:30" s="434" customFormat="1" ht="14.4" thickBot="1">
      <c r="A76" s="514"/>
      <c r="B76" s="504"/>
      <c r="C76" s="521"/>
      <c r="D76" s="521"/>
      <c r="E76" s="521"/>
      <c r="F76" s="521"/>
      <c r="G76" s="497"/>
      <c r="H76" s="497"/>
      <c r="I76" s="497"/>
      <c r="J76" s="497"/>
      <c r="K76" s="497"/>
      <c r="L76" s="497"/>
      <c r="M76" s="498"/>
      <c r="N76" s="2987"/>
      <c r="O76" s="2987"/>
      <c r="P76" s="3011"/>
      <c r="Q76" s="2978"/>
      <c r="R76" s="2979"/>
      <c r="S76" s="2979"/>
      <c r="T76" s="2979"/>
      <c r="U76" s="2979"/>
      <c r="V76" s="2979"/>
      <c r="W76" s="2979"/>
      <c r="X76" s="2979"/>
      <c r="Y76" s="2979"/>
      <c r="Z76" s="2979"/>
      <c r="AA76" s="2979"/>
      <c r="AB76" s="2979"/>
      <c r="AC76" s="2979"/>
      <c r="AD76" s="2979"/>
    </row>
    <row r="77" spans="1:30" ht="15" thickTop="1">
      <c r="A77" s="488" t="s">
        <v>2393</v>
      </c>
      <c r="B77" s="489" t="s">
        <v>2446</v>
      </c>
      <c r="C77" s="515"/>
      <c r="D77" s="515"/>
      <c r="E77" s="491"/>
      <c r="F77" s="491"/>
      <c r="G77" s="491"/>
      <c r="H77" s="491"/>
      <c r="I77" s="491"/>
      <c r="J77" s="491"/>
      <c r="K77" s="492"/>
      <c r="L77" s="493"/>
      <c r="M77" s="494"/>
      <c r="N77" s="2985"/>
      <c r="O77" s="2985"/>
      <c r="P77" s="3010"/>
      <c r="Q77" s="2971"/>
      <c r="R77" s="2957"/>
      <c r="S77" s="2957"/>
      <c r="T77" s="2957"/>
      <c r="U77" s="2957"/>
      <c r="V77" s="2957"/>
      <c r="W77" s="2957"/>
      <c r="X77" s="2957"/>
      <c r="Y77" s="2957"/>
      <c r="Z77" s="2957"/>
      <c r="AA77" s="2957"/>
      <c r="AB77" s="2957"/>
      <c r="AC77" s="2957"/>
      <c r="AD77" s="2957"/>
    </row>
    <row r="78" spans="1:30" ht="14.4" thickBot="1">
      <c r="A78" s="495"/>
      <c r="B78" s="504"/>
      <c r="C78" s="505">
        <v>100</v>
      </c>
      <c r="D78" s="505">
        <f t="shared" ref="D78:M78" si="17">C78-$K26</f>
        <v>100</v>
      </c>
      <c r="E78" s="505">
        <f t="shared" si="17"/>
        <v>100</v>
      </c>
      <c r="F78" s="505">
        <f t="shared" si="17"/>
        <v>100</v>
      </c>
      <c r="G78" s="505">
        <f t="shared" si="17"/>
        <v>100</v>
      </c>
      <c r="H78" s="505">
        <f t="shared" si="17"/>
        <v>100</v>
      </c>
      <c r="I78" s="505">
        <f t="shared" si="17"/>
        <v>100</v>
      </c>
      <c r="J78" s="505">
        <f t="shared" si="17"/>
        <v>100</v>
      </c>
      <c r="K78" s="505">
        <f t="shared" si="17"/>
        <v>100</v>
      </c>
      <c r="L78" s="505">
        <f t="shared" si="17"/>
        <v>100</v>
      </c>
      <c r="M78" s="506">
        <f t="shared" si="17"/>
        <v>100</v>
      </c>
      <c r="N78" s="2986"/>
      <c r="O78" s="2986"/>
      <c r="P78" s="3010"/>
      <c r="Q78" s="2971"/>
      <c r="R78" s="2957"/>
      <c r="S78" s="2957"/>
      <c r="T78" s="2957"/>
      <c r="U78" s="2957"/>
      <c r="V78" s="2957"/>
      <c r="W78" s="2957"/>
      <c r="X78" s="2957"/>
      <c r="Y78" s="2957"/>
      <c r="Z78" s="2957"/>
      <c r="AA78" s="2957"/>
      <c r="AB78" s="2957"/>
      <c r="AC78" s="2957"/>
      <c r="AD78" s="2957"/>
    </row>
    <row r="79" spans="1:30" ht="15" thickTop="1">
      <c r="A79" s="495"/>
      <c r="B79" s="499" t="s">
        <v>2562</v>
      </c>
      <c r="C79" s="539" t="str">
        <f>C80&amp;"(含)"&amp;"-"&amp;D80</f>
        <v>0.5(含)-0.6</v>
      </c>
      <c r="D79" s="539" t="str">
        <f>D80&amp;"(含)"&amp;"-"&amp;E80</f>
        <v>0.6(含)-0.7</v>
      </c>
      <c r="E79" s="539" t="str">
        <f>E80&amp;"(含)"&amp;"-"&amp;F80</f>
        <v>0.7(含)-0.8</v>
      </c>
      <c r="F79" s="539" t="str">
        <f>F80&amp;"(含)"&amp;"-"&amp;G80</f>
        <v>0.8(含)-0.9</v>
      </c>
      <c r="G79" s="539" t="str">
        <f>G80&amp;"(含)"&amp;"-"&amp;ROUND(H80,0)&amp;"(含)"</f>
        <v>0.9(含)-1(含)</v>
      </c>
      <c r="H79" s="539"/>
      <c r="I79" s="500"/>
      <c r="J79" s="500"/>
      <c r="K79" s="501"/>
      <c r="L79" s="502"/>
      <c r="M79" s="503"/>
      <c r="N79" s="2984"/>
      <c r="O79" s="2984"/>
      <c r="P79" s="3010"/>
      <c r="Q79" s="2971"/>
      <c r="R79" s="2957"/>
      <c r="S79" s="2957"/>
      <c r="T79" s="2957"/>
      <c r="U79" s="2957"/>
      <c r="V79" s="2957"/>
      <c r="W79" s="2957"/>
      <c r="X79" s="2957"/>
      <c r="Y79" s="2957"/>
      <c r="Z79" s="2957"/>
      <c r="AA79" s="2957"/>
      <c r="AB79" s="2957"/>
      <c r="AC79" s="2957"/>
      <c r="AD79" s="2957"/>
    </row>
    <row r="80" spans="1:30">
      <c r="A80" s="495"/>
      <c r="B80" s="507"/>
      <c r="C80" s="564">
        <v>0.5</v>
      </c>
      <c r="D80" s="564">
        <v>0.6</v>
      </c>
      <c r="E80" s="564">
        <v>0.7</v>
      </c>
      <c r="F80" s="564">
        <v>0.8</v>
      </c>
      <c r="G80" s="564">
        <v>0.9</v>
      </c>
      <c r="H80" s="564">
        <v>1.0001</v>
      </c>
      <c r="I80" s="620"/>
      <c r="J80" s="620"/>
      <c r="K80" s="628"/>
      <c r="L80" s="629"/>
      <c r="M80" s="630"/>
      <c r="N80" s="2984"/>
      <c r="O80" s="2984"/>
      <c r="P80" s="3010"/>
      <c r="Q80" s="2971"/>
      <c r="R80" s="2957"/>
      <c r="S80" s="2957"/>
      <c r="T80" s="2957"/>
      <c r="U80" s="2957"/>
      <c r="V80" s="2957"/>
      <c r="W80" s="2957"/>
      <c r="X80" s="2957"/>
      <c r="Y80" s="2957"/>
      <c r="Z80" s="2957"/>
      <c r="AA80" s="2957"/>
      <c r="AB80" s="2957"/>
      <c r="AC80" s="2957"/>
      <c r="AD80" s="2957"/>
    </row>
    <row r="81" spans="1:30" s="434" customFormat="1" ht="14.4" thickBot="1">
      <c r="A81" s="514"/>
      <c r="B81" s="504"/>
      <c r="C81" s="543">
        <v>100</v>
      </c>
      <c r="D81" s="505">
        <f t="shared" ref="D81:M81" si="18">C81+$K27</f>
        <v>100</v>
      </c>
      <c r="E81" s="505">
        <f t="shared" si="18"/>
        <v>100</v>
      </c>
      <c r="F81" s="505">
        <f t="shared" si="18"/>
        <v>100</v>
      </c>
      <c r="G81" s="505">
        <f t="shared" si="18"/>
        <v>100</v>
      </c>
      <c r="H81" s="505">
        <f t="shared" si="18"/>
        <v>100</v>
      </c>
      <c r="I81" s="505">
        <f t="shared" si="18"/>
        <v>100</v>
      </c>
      <c r="J81" s="505">
        <f t="shared" si="18"/>
        <v>100</v>
      </c>
      <c r="K81" s="505">
        <f t="shared" si="18"/>
        <v>100</v>
      </c>
      <c r="L81" s="505">
        <f t="shared" si="18"/>
        <v>100</v>
      </c>
      <c r="M81" s="505">
        <f t="shared" si="18"/>
        <v>100</v>
      </c>
      <c r="N81" s="2986"/>
      <c r="O81" s="2986"/>
      <c r="P81" s="3011"/>
      <c r="Q81" s="2978"/>
      <c r="R81" s="2979"/>
      <c r="S81" s="2979"/>
      <c r="T81" s="2979"/>
      <c r="U81" s="2979"/>
      <c r="V81" s="2979"/>
      <c r="W81" s="2979"/>
      <c r="X81" s="2979"/>
      <c r="Y81" s="2979"/>
      <c r="Z81" s="2979"/>
      <c r="AA81" s="2979"/>
      <c r="AB81" s="2979"/>
      <c r="AC81" s="2979"/>
      <c r="AD81" s="2979"/>
    </row>
    <row r="82" spans="1:30" ht="15" thickTop="1">
      <c r="A82" s="560"/>
      <c r="B82" s="507" t="s">
        <v>2563</v>
      </c>
      <c r="C82" s="515"/>
      <c r="D82" s="515"/>
      <c r="E82" s="544"/>
      <c r="F82" s="544"/>
      <c r="G82" s="544"/>
      <c r="H82" s="544"/>
      <c r="I82" s="544"/>
      <c r="J82" s="544"/>
      <c r="K82" s="545"/>
      <c r="L82" s="546"/>
      <c r="M82" s="547"/>
      <c r="N82" s="2985"/>
      <c r="O82" s="2985"/>
      <c r="P82" s="3010"/>
      <c r="Q82" s="2971"/>
      <c r="R82" s="2957"/>
      <c r="S82" s="2957"/>
      <c r="T82" s="2957"/>
      <c r="U82" s="2957"/>
      <c r="V82" s="2957"/>
      <c r="W82" s="2957"/>
      <c r="X82" s="2957"/>
      <c r="Y82" s="2957"/>
      <c r="Z82" s="2957"/>
      <c r="AA82" s="2957"/>
      <c r="AB82" s="2957"/>
      <c r="AC82" s="2957"/>
      <c r="AD82" s="2957"/>
    </row>
    <row r="83" spans="1:30" ht="14.4" thickBot="1">
      <c r="A83" s="495"/>
      <c r="B83" s="504"/>
      <c r="C83" s="505">
        <v>100</v>
      </c>
      <c r="D83" s="505">
        <f t="shared" ref="D83:M83" si="19">C83-$K28</f>
        <v>100</v>
      </c>
      <c r="E83" s="505">
        <f t="shared" si="19"/>
        <v>100</v>
      </c>
      <c r="F83" s="505">
        <f t="shared" si="19"/>
        <v>100</v>
      </c>
      <c r="G83" s="505">
        <f t="shared" si="19"/>
        <v>100</v>
      </c>
      <c r="H83" s="505">
        <f t="shared" si="19"/>
        <v>100</v>
      </c>
      <c r="I83" s="505">
        <f t="shared" si="19"/>
        <v>100</v>
      </c>
      <c r="J83" s="505">
        <f t="shared" si="19"/>
        <v>100</v>
      </c>
      <c r="K83" s="505">
        <f t="shared" si="19"/>
        <v>100</v>
      </c>
      <c r="L83" s="505">
        <f t="shared" si="19"/>
        <v>100</v>
      </c>
      <c r="M83" s="506">
        <f t="shared" si="19"/>
        <v>100</v>
      </c>
      <c r="N83" s="2986"/>
      <c r="O83" s="2986"/>
      <c r="P83" s="3010"/>
      <c r="Q83" s="2971"/>
      <c r="R83" s="2957"/>
      <c r="S83" s="2957"/>
      <c r="T83" s="2957"/>
      <c r="U83" s="2957"/>
      <c r="V83" s="2957"/>
      <c r="W83" s="2957"/>
      <c r="X83" s="2957"/>
      <c r="Y83" s="2957"/>
      <c r="Z83" s="2957"/>
      <c r="AA83" s="2957"/>
      <c r="AB83" s="2957"/>
      <c r="AC83" s="2957"/>
      <c r="AD83" s="2957"/>
    </row>
    <row r="84" spans="1:30" ht="15" thickTop="1">
      <c r="A84" s="560"/>
      <c r="B84" s="499" t="s">
        <v>2571</v>
      </c>
      <c r="C84" s="515"/>
      <c r="D84" s="515"/>
      <c r="E84" s="515"/>
      <c r="F84" s="515"/>
      <c r="G84" s="515"/>
      <c r="H84" s="515"/>
      <c r="I84" s="544"/>
      <c r="J84" s="544"/>
      <c r="K84" s="545"/>
      <c r="L84" s="546"/>
      <c r="M84" s="547"/>
      <c r="N84" s="2985"/>
      <c r="O84" s="2985"/>
      <c r="P84" s="3010"/>
      <c r="Q84" s="2971"/>
      <c r="R84" s="2957"/>
      <c r="S84" s="2957"/>
      <c r="T84" s="2957"/>
      <c r="U84" s="2957"/>
      <c r="V84" s="2957"/>
      <c r="W84" s="2957"/>
      <c r="X84" s="2957"/>
      <c r="Y84" s="2957"/>
      <c r="Z84" s="2957"/>
      <c r="AA84" s="2957"/>
      <c r="AB84" s="2957"/>
      <c r="AC84" s="2957"/>
      <c r="AD84" s="2957"/>
    </row>
    <row r="85" spans="1:30" ht="14.4" thickBot="1">
      <c r="A85" s="495"/>
      <c r="B85" s="504"/>
      <c r="C85" s="543">
        <v>100</v>
      </c>
      <c r="D85" s="505">
        <f t="shared" ref="D85:M85" si="20">C85+$K29</f>
        <v>100</v>
      </c>
      <c r="E85" s="505">
        <f t="shared" si="20"/>
        <v>100</v>
      </c>
      <c r="F85" s="505">
        <f t="shared" si="20"/>
        <v>100</v>
      </c>
      <c r="G85" s="505">
        <f t="shared" si="20"/>
        <v>100</v>
      </c>
      <c r="H85" s="505">
        <f t="shared" si="20"/>
        <v>100</v>
      </c>
      <c r="I85" s="505">
        <f t="shared" si="20"/>
        <v>100</v>
      </c>
      <c r="J85" s="505">
        <f t="shared" si="20"/>
        <v>100</v>
      </c>
      <c r="K85" s="505">
        <f t="shared" si="20"/>
        <v>100</v>
      </c>
      <c r="L85" s="505">
        <f t="shared" si="20"/>
        <v>100</v>
      </c>
      <c r="M85" s="505">
        <f t="shared" si="20"/>
        <v>100</v>
      </c>
      <c r="N85" s="2986"/>
      <c r="O85" s="2986"/>
      <c r="P85" s="3010"/>
      <c r="Q85" s="2971"/>
      <c r="R85" s="2957"/>
      <c r="S85" s="2957"/>
      <c r="T85" s="2957"/>
      <c r="U85" s="2957"/>
      <c r="V85" s="2957"/>
      <c r="W85" s="2957"/>
      <c r="X85" s="2957"/>
      <c r="Y85" s="2957"/>
      <c r="Z85" s="2957"/>
      <c r="AA85" s="2957"/>
      <c r="AB85" s="2957"/>
      <c r="AC85" s="2957"/>
      <c r="AD85" s="2957"/>
    </row>
    <row r="86" spans="1:30" ht="15" thickTop="1">
      <c r="A86" s="560"/>
      <c r="B86" s="507" t="s">
        <v>2572</v>
      </c>
      <c r="C86" s="539" t="str">
        <f t="shared" ref="C86:L86" si="21">C87&amp;"(含)"&amp;"-"&amp;D87</f>
        <v>(含)-</v>
      </c>
      <c r="D86" s="539" t="str">
        <f t="shared" si="21"/>
        <v>(含)-</v>
      </c>
      <c r="E86" s="539" t="str">
        <f t="shared" si="21"/>
        <v>(含)-</v>
      </c>
      <c r="F86" s="539" t="str">
        <f t="shared" si="21"/>
        <v>(含)-</v>
      </c>
      <c r="G86" s="539" t="str">
        <f t="shared" si="21"/>
        <v>(含)-</v>
      </c>
      <c r="H86" s="539" t="str">
        <f t="shared" si="21"/>
        <v>(含)-</v>
      </c>
      <c r="I86" s="539" t="str">
        <f t="shared" si="21"/>
        <v>(含)-</v>
      </c>
      <c r="J86" s="539" t="str">
        <f t="shared" si="21"/>
        <v>(含)-</v>
      </c>
      <c r="K86" s="539" t="str">
        <f t="shared" si="21"/>
        <v>(含)-</v>
      </c>
      <c r="L86" s="539" t="str">
        <f t="shared" si="21"/>
        <v>(含)-</v>
      </c>
      <c r="M86" s="582" t="str">
        <f>M87&amp;"(含)"&amp;"-"&amp;P87</f>
        <v>(含)-</v>
      </c>
      <c r="N86" s="2985"/>
      <c r="O86" s="2985"/>
      <c r="P86" s="3010"/>
      <c r="Q86" s="2971"/>
      <c r="R86" s="2957"/>
      <c r="S86" s="2957"/>
      <c r="T86" s="2957"/>
      <c r="U86" s="2957"/>
      <c r="V86" s="2957"/>
      <c r="W86" s="2957"/>
      <c r="X86" s="2957"/>
      <c r="Y86" s="2957"/>
      <c r="Z86" s="2957"/>
      <c r="AA86" s="2957"/>
      <c r="AB86" s="2957"/>
      <c r="AC86" s="2957"/>
      <c r="AD86" s="2957"/>
    </row>
    <row r="87" spans="1:30">
      <c r="A87" s="560"/>
      <c r="B87" s="507"/>
      <c r="C87" s="556"/>
      <c r="D87" s="556"/>
      <c r="E87" s="556"/>
      <c r="F87" s="556"/>
      <c r="G87" s="556"/>
      <c r="H87" s="556"/>
      <c r="I87" s="556"/>
      <c r="J87" s="557"/>
      <c r="K87" s="557"/>
      <c r="L87" s="558"/>
      <c r="M87" s="559"/>
      <c r="N87" s="2985"/>
      <c r="O87" s="2985"/>
      <c r="P87" s="3010"/>
      <c r="Q87" s="2971"/>
      <c r="R87" s="2957"/>
      <c r="S87" s="2957"/>
      <c r="T87" s="2957"/>
      <c r="U87" s="2957"/>
      <c r="V87" s="2957"/>
      <c r="W87" s="2957"/>
      <c r="X87" s="2957"/>
      <c r="Y87" s="2957"/>
      <c r="Z87" s="2957"/>
      <c r="AA87" s="2957"/>
      <c r="AB87" s="2957"/>
      <c r="AC87" s="2957"/>
      <c r="AD87" s="2957"/>
    </row>
    <row r="88" spans="1:30" ht="14.4" thickBot="1">
      <c r="A88" s="495"/>
      <c r="B88" s="504"/>
      <c r="C88" s="521"/>
      <c r="D88" s="497"/>
      <c r="E88" s="497"/>
      <c r="F88" s="497"/>
      <c r="G88" s="497"/>
      <c r="H88" s="497"/>
      <c r="I88" s="497"/>
      <c r="J88" s="497"/>
      <c r="K88" s="497"/>
      <c r="L88" s="497"/>
      <c r="M88" s="497"/>
      <c r="N88" s="2986"/>
      <c r="O88" s="2986"/>
      <c r="P88" s="3010"/>
      <c r="Q88" s="2971"/>
      <c r="R88" s="2957"/>
      <c r="S88" s="2957"/>
      <c r="T88" s="2957"/>
      <c r="U88" s="2957"/>
      <c r="V88" s="2957"/>
      <c r="W88" s="2957"/>
      <c r="X88" s="2957"/>
      <c r="Y88" s="2957"/>
      <c r="Z88" s="2957"/>
      <c r="AA88" s="2957"/>
      <c r="AB88" s="2957"/>
      <c r="AC88" s="2957"/>
      <c r="AD88" s="2957"/>
    </row>
    <row r="89" spans="1:30" s="434" customFormat="1" ht="15" thickTop="1">
      <c r="A89" s="554"/>
      <c r="B89" s="499" t="s">
        <v>2573</v>
      </c>
      <c r="C89" s="515"/>
      <c r="D89" s="515"/>
      <c r="E89" s="515"/>
      <c r="F89" s="515"/>
      <c r="G89" s="515"/>
      <c r="H89" s="515"/>
      <c r="I89" s="515"/>
      <c r="J89" s="515"/>
      <c r="K89" s="515"/>
      <c r="L89" s="515"/>
      <c r="M89" s="542"/>
      <c r="N89" s="2987"/>
      <c r="O89" s="2987"/>
      <c r="P89" s="3011"/>
      <c r="Q89" s="2978"/>
      <c r="R89" s="2979"/>
      <c r="S89" s="2979"/>
      <c r="T89" s="2979"/>
      <c r="U89" s="2979"/>
      <c r="V89" s="2979"/>
      <c r="W89" s="2979"/>
      <c r="X89" s="2979"/>
      <c r="Y89" s="2979"/>
      <c r="Z89" s="2979"/>
      <c r="AA89" s="2979"/>
      <c r="AB89" s="2979"/>
      <c r="AC89" s="2979"/>
      <c r="AD89" s="2979"/>
    </row>
    <row r="90" spans="1:30" s="434" customFormat="1" ht="14.4" thickBot="1">
      <c r="A90" s="514"/>
      <c r="B90" s="504"/>
      <c r="C90" s="521"/>
      <c r="D90" s="497"/>
      <c r="E90" s="497"/>
      <c r="F90" s="497"/>
      <c r="G90" s="497"/>
      <c r="H90" s="497"/>
      <c r="I90" s="497"/>
      <c r="J90" s="497"/>
      <c r="K90" s="497"/>
      <c r="L90" s="497"/>
      <c r="M90" s="498"/>
      <c r="N90" s="2987"/>
      <c r="O90" s="2987"/>
      <c r="P90" s="3011"/>
      <c r="Q90" s="2978"/>
      <c r="R90" s="2979"/>
      <c r="S90" s="2979"/>
      <c r="T90" s="2979"/>
      <c r="U90" s="2979"/>
      <c r="V90" s="2979"/>
      <c r="W90" s="2979"/>
      <c r="X90" s="2979"/>
      <c r="Y90" s="2979"/>
      <c r="Z90" s="2979"/>
      <c r="AA90" s="2979"/>
      <c r="AB90" s="2979"/>
      <c r="AC90" s="2979"/>
      <c r="AD90" s="2979"/>
    </row>
    <row r="91" spans="1:30" ht="14.4" thickTop="1">
      <c r="A91" s="560"/>
      <c r="B91" s="499">
        <f>B32</f>
        <v>111</v>
      </c>
      <c r="C91" s="510"/>
      <c r="D91" s="510"/>
      <c r="E91" s="510"/>
      <c r="F91" s="510"/>
      <c r="G91" s="515"/>
      <c r="H91" s="516"/>
      <c r="I91" s="516"/>
      <c r="J91" s="516"/>
      <c r="K91" s="516"/>
      <c r="L91" s="517"/>
      <c r="M91" s="518"/>
      <c r="N91" s="2985"/>
      <c r="O91" s="2985"/>
      <c r="P91" s="3010"/>
      <c r="Q91" s="2971"/>
      <c r="R91" s="2957"/>
      <c r="S91" s="2957"/>
      <c r="T91" s="2957"/>
      <c r="U91" s="2957"/>
      <c r="V91" s="2957"/>
      <c r="W91" s="2957"/>
      <c r="X91" s="2957"/>
      <c r="Y91" s="2957"/>
      <c r="Z91" s="2957"/>
      <c r="AA91" s="2957"/>
      <c r="AB91" s="2957"/>
      <c r="AC91" s="2957"/>
      <c r="AD91" s="2957"/>
    </row>
    <row r="92" spans="1:30" ht="14.4" thickBot="1">
      <c r="A92" s="495"/>
      <c r="B92" s="504"/>
      <c r="C92" s="521"/>
      <c r="D92" s="497"/>
      <c r="E92" s="497"/>
      <c r="F92" s="497"/>
      <c r="G92" s="521"/>
      <c r="H92" s="523"/>
      <c r="I92" s="523"/>
      <c r="J92" s="523"/>
      <c r="K92" s="523"/>
      <c r="L92" s="523"/>
      <c r="M92" s="524"/>
      <c r="N92" s="2986"/>
      <c r="O92" s="2986"/>
      <c r="P92" s="3010"/>
      <c r="Q92" s="2971"/>
      <c r="R92" s="2957"/>
      <c r="S92" s="2957"/>
      <c r="T92" s="2957"/>
      <c r="U92" s="2957"/>
      <c r="V92" s="2957"/>
      <c r="W92" s="2957"/>
      <c r="X92" s="2957"/>
      <c r="Y92" s="2957"/>
      <c r="Z92" s="2957"/>
      <c r="AA92" s="2957"/>
      <c r="AB92" s="2957"/>
      <c r="AC92" s="2957"/>
      <c r="AD92" s="2957"/>
    </row>
    <row r="93" spans="1:30" ht="14.4" thickTop="1">
      <c r="A93" s="560"/>
      <c r="B93" s="499">
        <f>B33</f>
        <v>111</v>
      </c>
      <c r="C93" s="510"/>
      <c r="D93" s="510"/>
      <c r="E93" s="510"/>
      <c r="F93" s="510"/>
      <c r="G93" s="515"/>
      <c r="H93" s="516"/>
      <c r="I93" s="516"/>
      <c r="J93" s="516"/>
      <c r="K93" s="516"/>
      <c r="L93" s="517"/>
      <c r="M93" s="518"/>
      <c r="N93" s="2985"/>
      <c r="O93" s="2985"/>
      <c r="P93" s="3010"/>
      <c r="Q93" s="2971"/>
      <c r="R93" s="2957"/>
      <c r="S93" s="2957"/>
      <c r="T93" s="2957"/>
      <c r="U93" s="2957"/>
      <c r="V93" s="2957"/>
      <c r="W93" s="2957"/>
      <c r="X93" s="2957"/>
      <c r="Y93" s="2957"/>
      <c r="Z93" s="2957"/>
      <c r="AA93" s="2957"/>
      <c r="AB93" s="2957"/>
      <c r="AC93" s="2957"/>
      <c r="AD93" s="2957"/>
    </row>
    <row r="94" spans="1:30" ht="14.4" thickBot="1">
      <c r="A94" s="495"/>
      <c r="B94" s="504"/>
      <c r="C94" s="521"/>
      <c r="D94" s="497"/>
      <c r="E94" s="497"/>
      <c r="F94" s="497"/>
      <c r="G94" s="521"/>
      <c r="H94" s="523"/>
      <c r="I94" s="523"/>
      <c r="J94" s="523"/>
      <c r="K94" s="523"/>
      <c r="L94" s="523"/>
      <c r="M94" s="524"/>
      <c r="N94" s="2986"/>
      <c r="O94" s="2986"/>
      <c r="P94" s="3010"/>
      <c r="Q94" s="2971"/>
      <c r="R94" s="2957"/>
      <c r="S94" s="2957"/>
      <c r="T94" s="2957"/>
      <c r="U94" s="2957"/>
      <c r="V94" s="2957"/>
      <c r="W94" s="2957"/>
      <c r="X94" s="2957"/>
      <c r="Y94" s="2957"/>
      <c r="Z94" s="2957"/>
      <c r="AA94" s="2957"/>
      <c r="AB94" s="2957"/>
      <c r="AC94" s="2957"/>
      <c r="AD94" s="2957"/>
    </row>
    <row r="95" spans="1:30" ht="14.4" thickTop="1">
      <c r="A95" s="560"/>
      <c r="B95" s="596">
        <f>B34</f>
        <v>111</v>
      </c>
      <c r="C95" s="510"/>
      <c r="D95" s="510"/>
      <c r="E95" s="510"/>
      <c r="F95" s="510"/>
      <c r="G95" s="515"/>
      <c r="H95" s="516"/>
      <c r="I95" s="516"/>
      <c r="J95" s="516"/>
      <c r="K95" s="516"/>
      <c r="L95" s="517"/>
      <c r="M95" s="518"/>
      <c r="N95" s="2986"/>
      <c r="O95" s="2986"/>
      <c r="P95" s="3013"/>
      <c r="Q95" s="3000"/>
      <c r="R95" s="2957"/>
      <c r="S95" s="2957"/>
      <c r="T95" s="2957"/>
      <c r="U95" s="2957"/>
      <c r="V95" s="2957"/>
      <c r="W95" s="2957"/>
      <c r="X95" s="2957"/>
      <c r="Y95" s="2957"/>
      <c r="Z95" s="2957"/>
      <c r="AA95" s="2957"/>
      <c r="AB95" s="2957"/>
      <c r="AC95" s="2957"/>
      <c r="AD95" s="2957"/>
    </row>
    <row r="96" spans="1:30" ht="14.4" thickBot="1">
      <c r="A96" s="495"/>
      <c r="B96" s="504"/>
      <c r="C96" s="521"/>
      <c r="D96" s="521"/>
      <c r="E96" s="521"/>
      <c r="F96" s="521"/>
      <c r="G96" s="521"/>
      <c r="H96" s="523"/>
      <c r="I96" s="523"/>
      <c r="J96" s="523"/>
      <c r="K96" s="523"/>
      <c r="L96" s="523"/>
      <c r="M96" s="524"/>
      <c r="N96" s="2986"/>
      <c r="O96" s="2986"/>
      <c r="P96" s="3010"/>
      <c r="Q96" s="2971"/>
      <c r="R96" s="2957"/>
      <c r="S96" s="2957"/>
      <c r="T96" s="2957"/>
      <c r="U96" s="2957"/>
      <c r="V96" s="2957"/>
      <c r="W96" s="2957"/>
      <c r="X96" s="2957"/>
      <c r="Y96" s="2957"/>
      <c r="Z96" s="2957"/>
      <c r="AA96" s="2957"/>
      <c r="AB96" s="2957"/>
      <c r="AC96" s="2957"/>
      <c r="AD96" s="2957"/>
    </row>
    <row r="97" spans="1:30" ht="14.4" thickTop="1">
      <c r="N97" s="2957"/>
      <c r="O97" s="2957"/>
      <c r="P97" s="2957"/>
      <c r="Q97" s="2957"/>
      <c r="R97" s="2957"/>
      <c r="S97" s="2957"/>
      <c r="T97" s="2957"/>
      <c r="U97" s="2957"/>
      <c r="V97" s="2957"/>
      <c r="W97" s="2957"/>
      <c r="X97" s="2957"/>
      <c r="Y97" s="2957"/>
      <c r="Z97" s="2957"/>
      <c r="AA97" s="2957"/>
      <c r="AB97" s="2957"/>
      <c r="AC97" s="2957"/>
      <c r="AD97" s="2957"/>
    </row>
    <row r="98" spans="1:30">
      <c r="A98" s="1071"/>
      <c r="B98" s="1071"/>
      <c r="C98" s="1071"/>
      <c r="D98" s="1071"/>
      <c r="E98" s="1071"/>
      <c r="F98" s="1071"/>
      <c r="G98" s="1071"/>
      <c r="H98" s="1071"/>
      <c r="I98" s="1071"/>
      <c r="J98" s="1071"/>
      <c r="K98" s="1072"/>
      <c r="L98" s="1073"/>
      <c r="M98" s="1071"/>
      <c r="N98" s="2957"/>
      <c r="O98" s="2957"/>
      <c r="P98" s="2957"/>
      <c r="Q98" s="2957"/>
      <c r="R98" s="2957"/>
      <c r="S98" s="2957"/>
      <c r="T98" s="2957"/>
      <c r="U98" s="2957"/>
      <c r="V98" s="2957"/>
      <c r="W98" s="2957"/>
      <c r="X98" s="2957"/>
      <c r="Y98" s="2957"/>
      <c r="Z98" s="2957"/>
      <c r="AA98" s="2957"/>
      <c r="AB98" s="2957"/>
      <c r="AC98" s="2957"/>
      <c r="AD98" s="2957"/>
    </row>
    <row r="99" spans="1:30">
      <c r="A99" s="1071"/>
      <c r="B99" s="1071"/>
      <c r="C99" s="1071"/>
      <c r="D99" s="1071"/>
      <c r="E99" s="1071"/>
      <c r="F99" s="1071"/>
      <c r="G99" s="1071"/>
      <c r="H99" s="1071"/>
      <c r="I99" s="1071"/>
      <c r="J99" s="1071"/>
      <c r="K99" s="1072"/>
      <c r="L99" s="1073"/>
      <c r="M99" s="1071"/>
      <c r="N99" s="2957"/>
      <c r="O99" s="2957"/>
      <c r="P99" s="2957"/>
      <c r="Q99" s="2957"/>
      <c r="R99" s="2957"/>
      <c r="S99" s="2957"/>
      <c r="T99" s="2957"/>
      <c r="U99" s="2957"/>
      <c r="V99" s="2957"/>
      <c r="W99" s="2957"/>
      <c r="X99" s="2957"/>
      <c r="Y99" s="2957"/>
      <c r="Z99" s="2957"/>
      <c r="AA99" s="2957"/>
      <c r="AB99" s="2957"/>
      <c r="AC99" s="2957"/>
      <c r="AD99" s="2957"/>
    </row>
    <row r="100" spans="1:30">
      <c r="A100" s="1071"/>
      <c r="B100" s="1071"/>
      <c r="C100" s="1071"/>
      <c r="D100" s="1071"/>
      <c r="E100" s="1071"/>
      <c r="F100" s="1071"/>
      <c r="G100" s="1071"/>
      <c r="H100" s="1071"/>
      <c r="I100" s="1071"/>
      <c r="J100" s="1071"/>
      <c r="K100" s="1072"/>
      <c r="L100" s="1073"/>
      <c r="M100" s="1071"/>
      <c r="N100" s="2957"/>
      <c r="O100" s="2957"/>
      <c r="P100" s="2957"/>
      <c r="Q100" s="2957"/>
      <c r="R100" s="2957"/>
      <c r="S100" s="2957"/>
      <c r="T100" s="2957"/>
      <c r="U100" s="2957"/>
      <c r="V100" s="2957"/>
      <c r="W100" s="2957"/>
      <c r="X100" s="2957"/>
      <c r="Y100" s="2957"/>
      <c r="Z100" s="2957"/>
      <c r="AA100" s="2957"/>
      <c r="AB100" s="2957"/>
      <c r="AC100" s="2957"/>
      <c r="AD100" s="2957"/>
    </row>
    <row r="101" spans="1:30">
      <c r="A101" s="1071"/>
      <c r="B101" s="1071"/>
      <c r="C101" s="1071"/>
      <c r="D101" s="1071"/>
      <c r="E101" s="1071"/>
      <c r="F101" s="1071"/>
      <c r="G101" s="1071"/>
      <c r="H101" s="1071"/>
      <c r="I101" s="1071"/>
      <c r="J101" s="1071"/>
      <c r="K101" s="1072"/>
      <c r="L101" s="1073"/>
      <c r="M101" s="1071"/>
      <c r="N101" s="2957"/>
      <c r="O101" s="2957"/>
      <c r="P101" s="2957"/>
      <c r="Q101" s="2957"/>
      <c r="R101" s="2957"/>
      <c r="S101" s="2957"/>
      <c r="T101" s="2957"/>
      <c r="U101" s="2957"/>
      <c r="V101" s="2957"/>
      <c r="W101" s="2957"/>
      <c r="X101" s="2957"/>
      <c r="Y101" s="2957"/>
      <c r="Z101" s="2957"/>
      <c r="AA101" s="2957"/>
      <c r="AB101" s="2957"/>
      <c r="AC101" s="2957"/>
      <c r="AD101" s="2957"/>
    </row>
    <row r="102" spans="1:30">
      <c r="A102" s="1071"/>
      <c r="B102" s="1071"/>
      <c r="C102" s="1071"/>
      <c r="D102" s="1071"/>
      <c r="E102" s="1071"/>
      <c r="F102" s="1071"/>
      <c r="G102" s="1071"/>
      <c r="H102" s="1071"/>
      <c r="I102" s="1071"/>
      <c r="J102" s="1071"/>
      <c r="K102" s="1072"/>
      <c r="L102" s="1073"/>
      <c r="M102" s="1071"/>
      <c r="N102" s="2957"/>
      <c r="O102" s="2957"/>
      <c r="P102" s="2957"/>
      <c r="Q102" s="2957"/>
      <c r="R102" s="2957"/>
      <c r="S102" s="2957"/>
      <c r="T102" s="2957"/>
      <c r="U102" s="2957"/>
      <c r="V102" s="2957"/>
      <c r="W102" s="2957"/>
      <c r="X102" s="2957"/>
      <c r="Y102" s="2957"/>
      <c r="Z102" s="2957"/>
      <c r="AA102" s="2957"/>
      <c r="AB102" s="2957"/>
      <c r="AC102" s="2957"/>
      <c r="AD102" s="2957"/>
    </row>
    <row r="103" spans="1:30">
      <c r="A103" s="1071"/>
      <c r="B103" s="1071"/>
      <c r="C103" s="1071"/>
      <c r="D103" s="1071"/>
      <c r="E103" s="1071"/>
      <c r="F103" s="1071"/>
      <c r="G103" s="1071"/>
      <c r="H103" s="1071"/>
      <c r="I103" s="1071"/>
      <c r="J103" s="1071"/>
      <c r="K103" s="1072"/>
      <c r="L103" s="1073"/>
      <c r="M103" s="1071"/>
      <c r="N103" s="1071"/>
      <c r="O103" s="1071"/>
      <c r="P103" s="2957"/>
      <c r="Q103" s="2957"/>
      <c r="R103" s="2957"/>
      <c r="S103" s="2957"/>
      <c r="T103" s="2957"/>
      <c r="U103" s="2957"/>
      <c r="V103" s="2957"/>
      <c r="W103" s="2957"/>
      <c r="X103" s="2957"/>
      <c r="Y103" s="2957"/>
      <c r="Z103" s="2957"/>
      <c r="AA103" s="2957"/>
      <c r="AB103" s="2957"/>
      <c r="AC103" s="2957"/>
      <c r="AD103" s="2957"/>
    </row>
    <row r="104" spans="1:30">
      <c r="A104" s="1071"/>
      <c r="B104" s="1071"/>
      <c r="C104" s="1071"/>
      <c r="D104" s="1071"/>
      <c r="E104" s="1071"/>
      <c r="F104" s="1071"/>
      <c r="G104" s="1071"/>
      <c r="H104" s="1071"/>
      <c r="I104" s="1071"/>
      <c r="J104" s="1071"/>
      <c r="K104" s="1072"/>
      <c r="L104" s="1073"/>
      <c r="M104" s="1071"/>
      <c r="N104" s="1071"/>
      <c r="O104" s="1071"/>
      <c r="P104" s="1071"/>
      <c r="Q104" s="1071"/>
      <c r="R104" s="1071"/>
      <c r="S104" s="1071"/>
      <c r="T104" s="1071"/>
    </row>
    <row r="105" spans="1:30">
      <c r="A105" s="1071"/>
      <c r="B105" s="1071"/>
      <c r="C105" s="1071"/>
      <c r="D105" s="1071"/>
      <c r="E105" s="1071"/>
      <c r="F105" s="1071"/>
      <c r="G105" s="1071"/>
      <c r="H105" s="1071"/>
      <c r="I105" s="1071"/>
      <c r="J105" s="1071"/>
      <c r="K105" s="1072"/>
      <c r="L105" s="1073"/>
      <c r="M105" s="1071"/>
      <c r="N105" s="1071"/>
      <c r="O105" s="1071"/>
      <c r="P105" s="1071"/>
      <c r="Q105" s="1071"/>
      <c r="R105" s="1071"/>
      <c r="S105" s="1071"/>
      <c r="T105" s="1071"/>
    </row>
    <row r="106" spans="1:30">
      <c r="A106" s="1071"/>
      <c r="B106" s="1071"/>
      <c r="C106" s="1071"/>
      <c r="D106" s="1071"/>
      <c r="E106" s="1071"/>
      <c r="F106" s="1071"/>
      <c r="G106" s="1071"/>
      <c r="H106" s="1071"/>
      <c r="I106" s="1071"/>
      <c r="J106" s="1071"/>
      <c r="K106" s="1072"/>
      <c r="L106" s="1073"/>
      <c r="M106" s="1071"/>
      <c r="N106" s="1071"/>
      <c r="O106" s="1071"/>
      <c r="P106" s="1071"/>
      <c r="Q106" s="1071"/>
      <c r="R106" s="1071"/>
      <c r="S106" s="1071"/>
      <c r="T106" s="1071"/>
    </row>
    <row r="107" spans="1:30">
      <c r="A107" s="1071"/>
      <c r="B107" s="1071"/>
      <c r="C107" s="1071"/>
      <c r="D107" s="1071"/>
      <c r="E107" s="1071"/>
      <c r="F107" s="1071"/>
      <c r="G107" s="1071"/>
      <c r="H107" s="1071"/>
      <c r="I107" s="1071"/>
      <c r="J107" s="1071"/>
      <c r="K107" s="1072"/>
      <c r="L107" s="1073"/>
      <c r="M107" s="1071"/>
      <c r="N107" s="1071"/>
      <c r="O107" s="1071"/>
      <c r="P107" s="1071"/>
      <c r="Q107" s="1071"/>
      <c r="R107" s="1071"/>
      <c r="S107" s="1071"/>
      <c r="T107" s="1071"/>
    </row>
    <row r="108" spans="1:30">
      <c r="A108" s="1071"/>
      <c r="B108" s="1071"/>
      <c r="C108" s="1071"/>
      <c r="D108" s="1071"/>
      <c r="E108" s="1071"/>
      <c r="F108" s="1071"/>
      <c r="G108" s="1071"/>
      <c r="H108" s="1071"/>
      <c r="I108" s="1071"/>
      <c r="J108" s="1071"/>
      <c r="K108" s="1072"/>
      <c r="L108" s="1073"/>
      <c r="M108" s="1071"/>
      <c r="N108" s="1071"/>
      <c r="O108" s="1071"/>
      <c r="P108" s="1071"/>
      <c r="Q108" s="1071"/>
      <c r="R108" s="1071"/>
      <c r="S108" s="1071"/>
      <c r="T108" s="1071"/>
    </row>
    <row r="109" spans="1:30">
      <c r="A109" s="1071"/>
      <c r="B109" s="1071"/>
      <c r="C109" s="1071"/>
      <c r="D109" s="1071"/>
      <c r="E109" s="1071"/>
      <c r="F109" s="1071"/>
      <c r="G109" s="1071"/>
      <c r="H109" s="1071"/>
      <c r="I109" s="1071"/>
      <c r="J109" s="1071"/>
      <c r="K109" s="1072"/>
      <c r="L109" s="1073"/>
      <c r="M109" s="1071"/>
      <c r="N109" s="1071"/>
      <c r="O109" s="1071"/>
      <c r="P109" s="1071"/>
      <c r="Q109" s="1071"/>
      <c r="R109" s="1071"/>
      <c r="S109" s="1071"/>
      <c r="T109" s="1071"/>
    </row>
    <row r="110" spans="1:30">
      <c r="A110" s="1071"/>
      <c r="B110" s="1071"/>
      <c r="C110" s="1071"/>
      <c r="D110" s="1071"/>
      <c r="E110" s="1071"/>
      <c r="F110" s="1071"/>
      <c r="G110" s="1071"/>
      <c r="H110" s="1071"/>
      <c r="I110" s="1071"/>
      <c r="J110" s="1071"/>
      <c r="K110" s="1072"/>
      <c r="L110" s="1073"/>
      <c r="M110" s="1071"/>
      <c r="N110" s="1071"/>
      <c r="O110" s="1071"/>
      <c r="P110" s="1071"/>
      <c r="Q110" s="1071"/>
      <c r="R110" s="1071"/>
      <c r="S110" s="1071"/>
      <c r="T110" s="1071"/>
    </row>
    <row r="111" spans="1:30">
      <c r="A111" s="1071"/>
      <c r="B111" s="1071"/>
      <c r="C111" s="1071"/>
      <c r="D111" s="1071"/>
      <c r="E111" s="1071"/>
      <c r="F111" s="1071"/>
      <c r="G111" s="1071"/>
      <c r="H111" s="1071"/>
      <c r="I111" s="1071"/>
      <c r="J111" s="1071"/>
      <c r="K111" s="1072"/>
      <c r="L111" s="1073"/>
      <c r="M111" s="1071"/>
      <c r="N111" s="1071"/>
      <c r="O111" s="1071"/>
      <c r="P111" s="1071"/>
      <c r="Q111" s="1071"/>
      <c r="R111" s="1071"/>
      <c r="S111" s="1071"/>
      <c r="T111" s="1071"/>
    </row>
    <row r="112" spans="1:30">
      <c r="A112" s="1071"/>
      <c r="B112" s="1071"/>
      <c r="C112" s="1071"/>
      <c r="D112" s="1071"/>
      <c r="E112" s="1071"/>
      <c r="F112" s="1071"/>
      <c r="G112" s="1071"/>
      <c r="H112" s="1071"/>
      <c r="I112" s="1071"/>
      <c r="J112" s="1071"/>
      <c r="K112" s="1072"/>
      <c r="L112" s="1073"/>
      <c r="M112" s="1071"/>
      <c r="N112" s="1071"/>
      <c r="O112" s="1071"/>
      <c r="P112" s="1071"/>
      <c r="Q112" s="1071"/>
      <c r="R112" s="1071"/>
      <c r="S112" s="1071"/>
      <c r="T112" s="1071"/>
    </row>
    <row r="113" spans="1:20">
      <c r="A113" s="1071"/>
      <c r="B113" s="1071"/>
      <c r="C113" s="1071"/>
      <c r="D113" s="1071"/>
      <c r="E113" s="1071"/>
      <c r="F113" s="1071"/>
      <c r="G113" s="1071"/>
      <c r="H113" s="1071"/>
      <c r="I113" s="1071"/>
      <c r="J113" s="1071"/>
      <c r="K113" s="1072"/>
      <c r="L113" s="1073"/>
      <c r="M113" s="1071"/>
      <c r="N113" s="1071"/>
      <c r="O113" s="1071"/>
      <c r="P113" s="1071"/>
      <c r="Q113" s="1071"/>
      <c r="R113" s="1071"/>
      <c r="S113" s="1071"/>
      <c r="T113" s="1071"/>
    </row>
    <row r="114" spans="1:20">
      <c r="A114" s="1071"/>
      <c r="B114" s="1071"/>
      <c r="C114" s="1071"/>
      <c r="D114" s="1071"/>
      <c r="E114" s="1071"/>
      <c r="F114" s="1071"/>
      <c r="G114" s="1071"/>
      <c r="H114" s="1071"/>
      <c r="I114" s="1071"/>
      <c r="J114" s="1071"/>
      <c r="K114" s="1072"/>
      <c r="L114" s="1073"/>
      <c r="M114" s="1071"/>
      <c r="N114" s="1071"/>
      <c r="O114" s="1071"/>
      <c r="P114" s="1071"/>
      <c r="Q114" s="1071"/>
      <c r="R114" s="1071"/>
      <c r="S114" s="1071"/>
      <c r="T114" s="1071"/>
    </row>
    <row r="115" spans="1:20">
      <c r="A115" s="1071"/>
      <c r="B115" s="1071"/>
      <c r="C115" s="1071"/>
      <c r="D115" s="1071"/>
      <c r="E115" s="1071"/>
      <c r="F115" s="1071"/>
      <c r="G115" s="1071"/>
      <c r="H115" s="1071"/>
      <c r="I115" s="1071"/>
      <c r="J115" s="1071"/>
      <c r="K115" s="1072"/>
      <c r="L115" s="1073"/>
      <c r="M115" s="1071"/>
      <c r="N115" s="1071"/>
      <c r="O115" s="1071"/>
      <c r="P115" s="1071"/>
      <c r="Q115" s="1071"/>
      <c r="R115" s="1071"/>
      <c r="S115" s="1071"/>
      <c r="T115" s="1071"/>
    </row>
    <row r="116" spans="1:20">
      <c r="A116" s="1071"/>
      <c r="B116" s="1071"/>
      <c r="C116" s="1071"/>
      <c r="D116" s="1071"/>
      <c r="E116" s="1071"/>
      <c r="F116" s="1071"/>
      <c r="G116" s="1071"/>
      <c r="H116" s="1071"/>
      <c r="I116" s="1071"/>
      <c r="J116" s="1071"/>
      <c r="K116" s="1072"/>
      <c r="L116" s="1073"/>
      <c r="M116" s="1071"/>
      <c r="N116" s="1071"/>
      <c r="O116" s="1071"/>
      <c r="P116" s="1071"/>
      <c r="Q116" s="1071"/>
      <c r="R116" s="1071"/>
      <c r="S116" s="1071"/>
      <c r="T116" s="1071"/>
    </row>
    <row r="117" spans="1:20">
      <c r="A117" s="1071"/>
      <c r="B117" s="1071"/>
      <c r="C117" s="1071"/>
      <c r="D117" s="1071"/>
      <c r="E117" s="1071"/>
      <c r="F117" s="1071"/>
      <c r="G117" s="1071"/>
      <c r="H117" s="1071"/>
      <c r="I117" s="1071"/>
      <c r="J117" s="1071"/>
      <c r="K117" s="1072"/>
      <c r="L117" s="1073"/>
      <c r="M117" s="1071"/>
      <c r="N117" s="1071"/>
      <c r="O117" s="1071"/>
      <c r="P117" s="1071"/>
      <c r="Q117" s="1071"/>
      <c r="R117" s="1071"/>
      <c r="S117" s="1071"/>
      <c r="T117" s="1071"/>
    </row>
    <row r="118" spans="1:20">
      <c r="A118" s="1071"/>
      <c r="B118" s="1071"/>
      <c r="C118" s="1071"/>
      <c r="D118" s="1071"/>
      <c r="E118" s="1071"/>
      <c r="F118" s="1071"/>
      <c r="G118" s="1071"/>
      <c r="H118" s="1071"/>
      <c r="I118" s="1071"/>
      <c r="J118" s="1071"/>
      <c r="K118" s="1072"/>
      <c r="L118" s="1073"/>
      <c r="M118" s="1071"/>
      <c r="N118" s="1071"/>
      <c r="O118" s="1071"/>
      <c r="P118" s="1071"/>
      <c r="Q118" s="1071"/>
      <c r="R118" s="1071"/>
      <c r="S118" s="1071"/>
      <c r="T118" s="1071"/>
    </row>
    <row r="119" spans="1:20">
      <c r="A119" s="1071"/>
      <c r="B119" s="1071"/>
      <c r="C119" s="1071"/>
      <c r="D119" s="1071"/>
      <c r="E119" s="1071"/>
      <c r="F119" s="1071"/>
      <c r="G119" s="1071"/>
      <c r="H119" s="1071"/>
      <c r="I119" s="1071"/>
      <c r="J119" s="1071"/>
      <c r="K119" s="1072"/>
      <c r="L119" s="1073"/>
      <c r="M119" s="1071"/>
      <c r="N119" s="1071"/>
      <c r="O119" s="1071"/>
      <c r="P119" s="1071"/>
      <c r="Q119" s="1071"/>
      <c r="R119" s="1071"/>
      <c r="S119" s="1071"/>
      <c r="T119" s="1071"/>
    </row>
    <row r="120" spans="1:20">
      <c r="A120" s="1071"/>
      <c r="B120" s="1071"/>
      <c r="C120" s="1071"/>
      <c r="D120" s="1071"/>
      <c r="E120" s="1071"/>
      <c r="F120" s="1071"/>
      <c r="G120" s="1071"/>
      <c r="H120" s="1071"/>
      <c r="I120" s="1071"/>
      <c r="J120" s="1071"/>
      <c r="K120" s="1072"/>
      <c r="L120" s="1073"/>
      <c r="M120" s="1071"/>
      <c r="N120" s="1071"/>
      <c r="O120" s="1071"/>
      <c r="P120" s="1071"/>
      <c r="Q120" s="1071"/>
      <c r="R120" s="1071"/>
      <c r="S120" s="1071"/>
      <c r="T120" s="1071"/>
    </row>
    <row r="121" spans="1:20">
      <c r="A121" s="1071"/>
      <c r="B121" s="1071"/>
      <c r="C121" s="1071"/>
      <c r="D121" s="1071"/>
      <c r="E121" s="1071"/>
      <c r="F121" s="1071"/>
      <c r="G121" s="1071"/>
      <c r="H121" s="1071"/>
      <c r="I121" s="1071"/>
      <c r="J121" s="1071"/>
      <c r="K121" s="1072"/>
      <c r="L121" s="1073"/>
      <c r="M121" s="1071"/>
      <c r="N121" s="1071"/>
      <c r="O121" s="1071"/>
      <c r="P121" s="1071"/>
      <c r="Q121" s="1071"/>
      <c r="R121" s="1071"/>
      <c r="S121" s="1071"/>
      <c r="T121" s="1071"/>
    </row>
    <row r="122" spans="1:20">
      <c r="A122" s="1071"/>
      <c r="B122" s="1071"/>
      <c r="C122" s="1071"/>
      <c r="D122" s="1071"/>
      <c r="E122" s="1071"/>
      <c r="F122" s="1071"/>
      <c r="G122" s="1071"/>
      <c r="H122" s="1071"/>
      <c r="I122" s="1071"/>
      <c r="J122" s="1071"/>
      <c r="K122" s="1072"/>
      <c r="L122" s="1073"/>
      <c r="M122" s="1071"/>
      <c r="N122" s="1071"/>
      <c r="O122" s="1071"/>
      <c r="P122" s="1071"/>
      <c r="Q122" s="1071"/>
      <c r="R122" s="1071"/>
      <c r="S122" s="1071"/>
      <c r="T122" s="1071"/>
    </row>
    <row r="123" spans="1:20">
      <c r="A123" s="1071"/>
      <c r="B123" s="1071"/>
      <c r="C123" s="1071"/>
      <c r="D123" s="1071"/>
      <c r="E123" s="1071"/>
      <c r="F123" s="1071"/>
      <c r="G123" s="1071"/>
      <c r="H123" s="1071"/>
      <c r="I123" s="1071"/>
      <c r="J123" s="1071"/>
      <c r="K123" s="1072"/>
      <c r="L123" s="1073"/>
      <c r="M123" s="1071"/>
      <c r="N123" s="1071"/>
      <c r="O123" s="1071"/>
      <c r="P123" s="1071"/>
      <c r="Q123" s="1071"/>
      <c r="R123" s="1071"/>
      <c r="S123" s="1071"/>
      <c r="T123" s="1071"/>
    </row>
    <row r="124" spans="1:20">
      <c r="A124" s="1071"/>
      <c r="B124" s="1071"/>
      <c r="C124" s="1071"/>
      <c r="D124" s="1071"/>
      <c r="E124" s="1071"/>
      <c r="F124" s="1071"/>
      <c r="G124" s="1071"/>
      <c r="H124" s="1071"/>
      <c r="I124" s="1071"/>
      <c r="J124" s="1071"/>
      <c r="K124" s="1072"/>
      <c r="L124" s="1073"/>
      <c r="M124" s="1071"/>
      <c r="N124" s="1071"/>
      <c r="O124" s="1071"/>
      <c r="P124" s="1071"/>
      <c r="Q124" s="1071"/>
      <c r="R124" s="1071"/>
      <c r="S124" s="1071"/>
      <c r="T124" s="1071"/>
    </row>
    <row r="125" spans="1:20">
      <c r="A125" s="1071"/>
      <c r="B125" s="1071"/>
      <c r="C125" s="1071"/>
      <c r="D125" s="1071"/>
      <c r="E125" s="1071"/>
      <c r="F125" s="1071"/>
      <c r="G125" s="1071"/>
      <c r="H125" s="1071"/>
      <c r="I125" s="1071"/>
      <c r="J125" s="1071"/>
      <c r="K125" s="1072"/>
      <c r="L125" s="1073"/>
      <c r="M125" s="1071"/>
      <c r="N125" s="1071"/>
      <c r="O125" s="1071"/>
      <c r="P125" s="1071"/>
      <c r="Q125" s="1071"/>
      <c r="R125" s="1071"/>
      <c r="S125" s="1071"/>
      <c r="T125" s="1071"/>
    </row>
    <row r="126" spans="1:20">
      <c r="A126" s="1071"/>
      <c r="B126" s="1071"/>
      <c r="C126" s="1071"/>
      <c r="D126" s="1071"/>
      <c r="E126" s="1071"/>
      <c r="F126" s="1071"/>
      <c r="G126" s="1071"/>
      <c r="H126" s="1071"/>
      <c r="I126" s="1071"/>
      <c r="J126" s="1071"/>
      <c r="K126" s="1072"/>
      <c r="L126" s="1073"/>
      <c r="M126" s="1071"/>
      <c r="N126" s="1071"/>
      <c r="O126" s="1071"/>
      <c r="P126" s="1071"/>
      <c r="Q126" s="1071"/>
      <c r="R126" s="1071"/>
      <c r="S126" s="1071"/>
      <c r="T126" s="1071"/>
    </row>
    <row r="127" spans="1:20">
      <c r="A127" s="1071"/>
      <c r="B127" s="1071"/>
      <c r="C127" s="1071"/>
      <c r="D127" s="1071"/>
      <c r="E127" s="1071"/>
      <c r="F127" s="1071"/>
      <c r="G127" s="1071"/>
      <c r="H127" s="1071"/>
      <c r="I127" s="1071"/>
      <c r="J127" s="1071"/>
      <c r="K127" s="1072"/>
      <c r="L127" s="1073"/>
      <c r="M127" s="1071"/>
      <c r="N127" s="1071"/>
      <c r="O127" s="1071"/>
      <c r="P127" s="1071"/>
      <c r="Q127" s="1071"/>
      <c r="R127" s="1071"/>
      <c r="S127" s="1071"/>
      <c r="T127" s="1071"/>
    </row>
    <row r="128" spans="1:20">
      <c r="A128" s="1071"/>
      <c r="B128" s="1071"/>
      <c r="C128" s="1071"/>
      <c r="D128" s="1071"/>
      <c r="E128" s="1071"/>
      <c r="F128" s="1071"/>
      <c r="G128" s="1071"/>
      <c r="H128" s="1071"/>
      <c r="I128" s="1071"/>
      <c r="J128" s="1071"/>
      <c r="K128" s="1072"/>
      <c r="L128" s="1073"/>
      <c r="M128" s="1071"/>
      <c r="N128" s="1071"/>
      <c r="O128" s="1071"/>
      <c r="P128" s="1071"/>
      <c r="Q128" s="1071"/>
      <c r="R128" s="1071"/>
      <c r="S128" s="1071"/>
      <c r="T128" s="1071"/>
    </row>
    <row r="129" spans="1:20">
      <c r="A129" s="1071"/>
      <c r="B129" s="1071"/>
      <c r="C129" s="1071"/>
      <c r="D129" s="1071"/>
      <c r="E129" s="1071"/>
      <c r="F129" s="1071"/>
      <c r="G129" s="1071"/>
      <c r="H129" s="1071"/>
      <c r="I129" s="1071"/>
      <c r="J129" s="1071"/>
      <c r="K129" s="1072"/>
      <c r="L129" s="1073"/>
      <c r="M129" s="1071"/>
      <c r="N129" s="1071"/>
      <c r="O129" s="1071"/>
      <c r="P129" s="1071"/>
      <c r="Q129" s="1071"/>
      <c r="R129" s="1071"/>
      <c r="S129" s="1071"/>
      <c r="T129" s="1071"/>
    </row>
    <row r="130" spans="1:20">
      <c r="A130" s="1071"/>
      <c r="B130" s="1071"/>
      <c r="C130" s="1071"/>
      <c r="D130" s="1071"/>
      <c r="E130" s="1071"/>
      <c r="F130" s="1071"/>
      <c r="G130" s="1071"/>
      <c r="H130" s="1071"/>
      <c r="I130" s="1071"/>
      <c r="J130" s="1071"/>
      <c r="K130" s="1072"/>
      <c r="L130" s="1073"/>
      <c r="M130" s="1071"/>
      <c r="N130" s="1071"/>
      <c r="O130" s="1071"/>
      <c r="P130" s="1071"/>
      <c r="Q130" s="1071"/>
      <c r="R130" s="1071"/>
      <c r="S130" s="1071"/>
      <c r="T130" s="1071"/>
    </row>
    <row r="131" spans="1:20">
      <c r="A131" s="1071"/>
      <c r="B131" s="1071"/>
      <c r="C131" s="1071"/>
      <c r="D131" s="1071"/>
      <c r="E131" s="1071"/>
      <c r="F131" s="1071"/>
      <c r="G131" s="1071"/>
      <c r="H131" s="1071"/>
      <c r="I131" s="1071"/>
      <c r="J131" s="1071"/>
      <c r="K131" s="1072"/>
      <c r="L131" s="1073"/>
      <c r="M131" s="1071"/>
      <c r="N131" s="1071"/>
      <c r="O131" s="1071"/>
      <c r="P131" s="1071"/>
      <c r="Q131" s="1071"/>
      <c r="R131" s="1071"/>
      <c r="S131" s="1071"/>
      <c r="T131" s="1071"/>
    </row>
    <row r="132" spans="1:20">
      <c r="A132" s="1071"/>
      <c r="B132" s="1071"/>
      <c r="C132" s="1071"/>
      <c r="D132" s="1071"/>
      <c r="E132" s="1071"/>
      <c r="F132" s="1071"/>
      <c r="G132" s="1071"/>
      <c r="H132" s="1071"/>
      <c r="I132" s="1071"/>
      <c r="J132" s="1071"/>
      <c r="K132" s="1072"/>
      <c r="L132" s="1073"/>
      <c r="M132" s="1071"/>
      <c r="N132" s="1071"/>
      <c r="O132" s="1071"/>
      <c r="P132" s="1071"/>
      <c r="Q132" s="1071"/>
      <c r="R132" s="1071"/>
      <c r="S132" s="1071"/>
      <c r="T132" s="1071"/>
    </row>
    <row r="133" spans="1:20">
      <c r="A133" s="1071"/>
      <c r="B133" s="1071"/>
      <c r="C133" s="1071"/>
      <c r="D133" s="1071"/>
      <c r="E133" s="1071"/>
      <c r="F133" s="1071"/>
      <c r="G133" s="1071"/>
      <c r="H133" s="1071"/>
      <c r="I133" s="1071"/>
      <c r="J133" s="1071"/>
      <c r="K133" s="1072"/>
      <c r="L133" s="1073"/>
      <c r="M133" s="1071"/>
      <c r="N133" s="1071"/>
      <c r="O133" s="1071"/>
      <c r="P133" s="1071"/>
      <c r="Q133" s="1071"/>
      <c r="R133" s="1071"/>
      <c r="S133" s="1071"/>
      <c r="T133" s="1071"/>
    </row>
    <row r="134" spans="1:20">
      <c r="A134" s="1071"/>
      <c r="B134" s="1071"/>
      <c r="C134" s="1071"/>
      <c r="D134" s="1071"/>
      <c r="E134" s="1071"/>
      <c r="F134" s="1071"/>
      <c r="G134" s="1071"/>
      <c r="H134" s="1071"/>
      <c r="I134" s="1071"/>
      <c r="J134" s="1071"/>
      <c r="K134" s="1072"/>
      <c r="L134" s="1073"/>
      <c r="M134" s="1071"/>
      <c r="N134" s="1071"/>
      <c r="O134" s="1071"/>
      <c r="P134" s="1071"/>
      <c r="Q134" s="1071"/>
      <c r="R134" s="1071"/>
      <c r="S134" s="1071"/>
      <c r="T134" s="1071"/>
    </row>
    <row r="135" spans="1:20">
      <c r="A135" s="1071"/>
      <c r="B135" s="1071"/>
      <c r="C135" s="1071"/>
      <c r="D135" s="1071"/>
      <c r="E135" s="1071"/>
      <c r="F135" s="1071"/>
      <c r="G135" s="1071"/>
      <c r="H135" s="1071"/>
      <c r="I135" s="1071"/>
      <c r="J135" s="1071"/>
      <c r="K135" s="1072"/>
      <c r="L135" s="1073"/>
      <c r="M135" s="1071"/>
      <c r="N135" s="1071"/>
      <c r="O135" s="1071"/>
      <c r="P135" s="1071"/>
      <c r="Q135" s="1071"/>
      <c r="R135" s="1071"/>
      <c r="S135" s="1071"/>
      <c r="T135" s="1071"/>
    </row>
    <row r="136" spans="1:20">
      <c r="A136" s="1071"/>
      <c r="B136" s="1071"/>
      <c r="C136" s="1071"/>
      <c r="D136" s="1071"/>
      <c r="E136" s="1071"/>
      <c r="F136" s="1071"/>
      <c r="G136" s="1071"/>
      <c r="H136" s="1071"/>
      <c r="I136" s="1071"/>
      <c r="J136" s="1071"/>
      <c r="K136" s="1072"/>
      <c r="L136" s="1073"/>
      <c r="M136" s="1071"/>
      <c r="N136" s="1071"/>
      <c r="O136" s="1071"/>
      <c r="P136" s="1071"/>
      <c r="Q136" s="1071"/>
      <c r="R136" s="1071"/>
      <c r="S136" s="1071"/>
      <c r="T136" s="1071"/>
    </row>
    <row r="137" spans="1:20">
      <c r="A137" s="1071"/>
      <c r="B137" s="1071"/>
      <c r="C137" s="1071"/>
      <c r="D137" s="1071"/>
      <c r="E137" s="1071"/>
      <c r="F137" s="1071"/>
      <c r="G137" s="1071"/>
      <c r="H137" s="1071"/>
      <c r="I137" s="1071"/>
      <c r="J137" s="1071"/>
      <c r="K137" s="1072"/>
      <c r="L137" s="1073"/>
      <c r="M137" s="1071"/>
      <c r="N137" s="1071"/>
      <c r="O137" s="1071"/>
      <c r="P137" s="1071"/>
      <c r="Q137" s="1071"/>
      <c r="R137" s="1071"/>
      <c r="S137" s="1071"/>
      <c r="T137" s="1071"/>
    </row>
    <row r="138" spans="1:20">
      <c r="A138" s="1071"/>
      <c r="B138" s="1071"/>
      <c r="C138" s="1071"/>
      <c r="D138" s="1071"/>
      <c r="E138" s="1071"/>
      <c r="F138" s="1071"/>
      <c r="G138" s="1071"/>
      <c r="H138" s="1071"/>
      <c r="I138" s="1071"/>
      <c r="J138" s="1071"/>
      <c r="K138" s="1072"/>
      <c r="L138" s="1073"/>
      <c r="M138" s="1071"/>
      <c r="N138" s="1071"/>
      <c r="O138" s="1071"/>
      <c r="P138" s="1071"/>
      <c r="Q138" s="1071"/>
      <c r="R138" s="1071"/>
      <c r="S138" s="1071"/>
      <c r="T138" s="1071"/>
    </row>
    <row r="139" spans="1:20">
      <c r="A139" s="1071"/>
      <c r="B139" s="1071"/>
      <c r="C139" s="1071"/>
      <c r="D139" s="1071"/>
      <c r="E139" s="1071"/>
      <c r="F139" s="1071"/>
      <c r="G139" s="1071"/>
      <c r="H139" s="1071"/>
      <c r="I139" s="1071"/>
      <c r="J139" s="1071"/>
      <c r="K139" s="1072"/>
      <c r="L139" s="1073"/>
      <c r="M139" s="1071"/>
      <c r="N139" s="1071"/>
      <c r="O139" s="1071"/>
      <c r="P139" s="1071"/>
      <c r="Q139" s="1071"/>
      <c r="R139" s="1071"/>
      <c r="S139" s="1071"/>
      <c r="T139" s="1071"/>
    </row>
    <row r="140" spans="1:20">
      <c r="A140" s="1071"/>
      <c r="B140" s="1071"/>
      <c r="C140" s="1071"/>
      <c r="D140" s="1071"/>
      <c r="E140" s="1071"/>
      <c r="F140" s="1071"/>
      <c r="G140" s="1071"/>
      <c r="H140" s="1071"/>
      <c r="I140" s="1071"/>
      <c r="J140" s="1071"/>
      <c r="K140" s="1072"/>
      <c r="L140" s="1073"/>
      <c r="M140" s="1071"/>
      <c r="N140" s="1071"/>
      <c r="O140" s="1071"/>
      <c r="P140" s="1071"/>
      <c r="Q140" s="1071"/>
      <c r="R140" s="1071"/>
      <c r="S140" s="1071"/>
      <c r="T140" s="1071"/>
    </row>
    <row r="141" spans="1:20">
      <c r="A141" s="1071"/>
      <c r="B141" s="1071"/>
      <c r="C141" s="1071"/>
      <c r="D141" s="1071"/>
      <c r="E141" s="1071"/>
      <c r="F141" s="1071"/>
      <c r="G141" s="1071"/>
      <c r="H141" s="1071"/>
      <c r="I141" s="1071"/>
      <c r="J141" s="1071"/>
      <c r="K141" s="1072"/>
      <c r="L141" s="1073"/>
      <c r="M141" s="1071"/>
      <c r="N141" s="1071"/>
      <c r="O141" s="1071"/>
      <c r="P141" s="1071"/>
      <c r="Q141" s="1071"/>
      <c r="R141" s="1071"/>
      <c r="S141" s="1071"/>
      <c r="T141" s="1071"/>
    </row>
    <row r="142" spans="1:20">
      <c r="A142" s="1071"/>
      <c r="B142" s="1071"/>
      <c r="C142" s="1071"/>
      <c r="D142" s="1071"/>
      <c r="E142" s="1071"/>
      <c r="F142" s="1071"/>
      <c r="G142" s="1071"/>
      <c r="H142" s="1071"/>
      <c r="I142" s="1071"/>
      <c r="J142" s="1071"/>
      <c r="K142" s="1072"/>
      <c r="L142" s="1073"/>
      <c r="M142" s="1071"/>
      <c r="N142" s="1071"/>
      <c r="O142" s="1071"/>
      <c r="P142" s="1071"/>
      <c r="Q142" s="1071"/>
      <c r="R142" s="1071"/>
      <c r="S142" s="1071"/>
      <c r="T142" s="1071"/>
    </row>
    <row r="143" spans="1:20">
      <c r="A143" s="1071"/>
      <c r="B143" s="1071"/>
      <c r="C143" s="1071"/>
      <c r="D143" s="1071"/>
      <c r="E143" s="1071"/>
      <c r="F143" s="1071"/>
      <c r="G143" s="1071"/>
      <c r="H143" s="1071"/>
      <c r="I143" s="1071"/>
      <c r="J143" s="1071"/>
      <c r="K143" s="1072"/>
      <c r="L143" s="1073"/>
      <c r="M143" s="1071"/>
      <c r="N143" s="1071"/>
      <c r="O143" s="1071"/>
      <c r="P143" s="1071"/>
      <c r="Q143" s="1071"/>
      <c r="R143" s="1071"/>
      <c r="S143" s="1071"/>
      <c r="T143" s="1071"/>
    </row>
    <row r="144" spans="1:20">
      <c r="A144" s="1071"/>
      <c r="B144" s="1071"/>
      <c r="C144" s="1071"/>
      <c r="D144" s="1071"/>
      <c r="E144" s="1071"/>
      <c r="F144" s="1071"/>
      <c r="G144" s="1071"/>
      <c r="H144" s="1071"/>
      <c r="I144" s="1071"/>
      <c r="J144" s="1071"/>
      <c r="K144" s="1072"/>
      <c r="L144" s="1073"/>
      <c r="M144" s="1071"/>
      <c r="N144" s="1071"/>
      <c r="O144" s="1071"/>
      <c r="P144" s="1071"/>
      <c r="Q144" s="1071"/>
      <c r="R144" s="1071"/>
      <c r="S144" s="1071"/>
      <c r="T144" s="1071"/>
    </row>
    <row r="145" spans="1:20">
      <c r="A145" s="1071"/>
      <c r="B145" s="1071"/>
      <c r="C145" s="1071"/>
      <c r="D145" s="1071"/>
      <c r="E145" s="1071"/>
      <c r="F145" s="1071"/>
      <c r="G145" s="1071"/>
      <c r="H145" s="1071"/>
      <c r="I145" s="1071"/>
      <c r="J145" s="1071"/>
      <c r="K145" s="1072"/>
      <c r="L145" s="1073"/>
      <c r="M145" s="1071"/>
      <c r="N145" s="1071"/>
      <c r="O145" s="1071"/>
      <c r="P145" s="1071"/>
      <c r="Q145" s="1071"/>
      <c r="R145" s="1071"/>
      <c r="S145" s="1071"/>
      <c r="T145" s="1071"/>
    </row>
    <row r="146" spans="1:20">
      <c r="A146" s="1071"/>
      <c r="B146" s="1071"/>
      <c r="C146" s="1071"/>
      <c r="D146" s="1071"/>
      <c r="E146" s="1071"/>
      <c r="F146" s="1071"/>
      <c r="G146" s="1071"/>
      <c r="H146" s="1071"/>
      <c r="I146" s="1071"/>
      <c r="J146" s="1071"/>
      <c r="K146" s="1072"/>
      <c r="L146" s="1073"/>
      <c r="M146" s="1071"/>
      <c r="N146" s="1071"/>
      <c r="O146" s="1071"/>
      <c r="P146" s="1071"/>
      <c r="Q146" s="1071"/>
      <c r="R146" s="1071"/>
      <c r="S146" s="1071"/>
      <c r="T146" s="1071"/>
    </row>
    <row r="147" spans="1:20">
      <c r="A147" s="1071"/>
      <c r="B147" s="1071"/>
      <c r="C147" s="1071"/>
      <c r="D147" s="1071"/>
      <c r="E147" s="1071"/>
      <c r="F147" s="1071"/>
      <c r="G147" s="1071"/>
      <c r="H147" s="1071"/>
      <c r="I147" s="1071"/>
      <c r="J147" s="1071"/>
      <c r="K147" s="1072"/>
      <c r="L147" s="1073"/>
      <c r="M147" s="1071"/>
      <c r="N147" s="1071"/>
      <c r="O147" s="1071"/>
      <c r="P147" s="1071"/>
      <c r="Q147" s="1071"/>
      <c r="R147" s="1071"/>
      <c r="S147" s="1071"/>
      <c r="T147" s="1071"/>
    </row>
    <row r="148" spans="1:20">
      <c r="A148" s="1071"/>
      <c r="B148" s="1071"/>
      <c r="C148" s="1071"/>
      <c r="D148" s="1071"/>
      <c r="E148" s="1071"/>
      <c r="F148" s="1071"/>
      <c r="G148" s="1071"/>
      <c r="H148" s="1071"/>
      <c r="I148" s="1071"/>
      <c r="J148" s="1071"/>
      <c r="K148" s="1072"/>
      <c r="L148" s="1073"/>
      <c r="M148" s="1071"/>
      <c r="N148" s="1071"/>
      <c r="O148" s="1071"/>
      <c r="P148" s="1071"/>
      <c r="Q148" s="1071"/>
      <c r="R148" s="1071"/>
      <c r="S148" s="1071"/>
      <c r="T148" s="1071"/>
    </row>
    <row r="149" spans="1:20">
      <c r="A149" s="1071"/>
      <c r="B149" s="1071"/>
      <c r="C149" s="1071"/>
      <c r="D149" s="1071"/>
      <c r="E149" s="1071"/>
      <c r="F149" s="1071"/>
      <c r="G149" s="1071"/>
      <c r="H149" s="1071"/>
      <c r="I149" s="1071"/>
      <c r="J149" s="1071"/>
      <c r="K149" s="1072"/>
      <c r="L149" s="1073"/>
      <c r="M149" s="1071"/>
      <c r="N149" s="1071"/>
      <c r="O149" s="1071"/>
      <c r="P149" s="1071"/>
      <c r="Q149" s="1071"/>
      <c r="R149" s="1071"/>
      <c r="S149" s="1071"/>
      <c r="T149" s="1071"/>
    </row>
    <row r="150" spans="1:20">
      <c r="A150" s="1071"/>
      <c r="B150" s="1071"/>
      <c r="C150" s="1071"/>
      <c r="D150" s="1071"/>
      <c r="E150" s="1071"/>
      <c r="F150" s="1071"/>
      <c r="G150" s="1071"/>
      <c r="H150" s="1071"/>
      <c r="I150" s="1071"/>
      <c r="J150" s="1071"/>
      <c r="K150" s="1072"/>
      <c r="L150" s="1073"/>
      <c r="M150" s="1071"/>
      <c r="N150" s="1071"/>
      <c r="O150" s="1071"/>
      <c r="P150" s="1071"/>
      <c r="Q150" s="1071"/>
      <c r="R150" s="1071"/>
      <c r="S150" s="1071"/>
      <c r="T150" s="1071"/>
    </row>
    <row r="151" spans="1:20">
      <c r="A151" s="1071"/>
      <c r="B151" s="1071"/>
      <c r="C151" s="1071"/>
      <c r="D151" s="1071"/>
      <c r="E151" s="1071"/>
      <c r="F151" s="1071"/>
      <c r="G151" s="1071"/>
      <c r="H151" s="1071"/>
      <c r="I151" s="1071"/>
      <c r="J151" s="1071"/>
      <c r="K151" s="1072"/>
      <c r="L151" s="1073"/>
      <c r="M151" s="1071"/>
      <c r="N151" s="1071"/>
      <c r="O151" s="1071"/>
      <c r="P151" s="1071"/>
      <c r="Q151" s="1071"/>
      <c r="R151" s="1071"/>
      <c r="S151" s="1071"/>
      <c r="T151" s="1071"/>
    </row>
    <row r="152" spans="1:20">
      <c r="A152" s="1071"/>
      <c r="B152" s="1071"/>
      <c r="C152" s="1071"/>
      <c r="D152" s="1071"/>
      <c r="E152" s="1071"/>
      <c r="F152" s="1071"/>
      <c r="G152" s="1071"/>
      <c r="H152" s="1071"/>
      <c r="I152" s="1071"/>
      <c r="J152" s="1071"/>
      <c r="K152" s="1072"/>
      <c r="L152" s="1073"/>
      <c r="M152" s="1071"/>
      <c r="N152" s="1071"/>
      <c r="O152" s="1071"/>
      <c r="P152" s="1071"/>
      <c r="Q152" s="1071"/>
      <c r="R152" s="1071"/>
      <c r="S152" s="1071"/>
      <c r="T152" s="1071"/>
    </row>
    <row r="153" spans="1:20">
      <c r="A153" s="1071"/>
      <c r="B153" s="1071"/>
      <c r="C153" s="1071"/>
      <c r="D153" s="1071"/>
      <c r="E153" s="1071"/>
      <c r="F153" s="1071"/>
      <c r="G153" s="1071"/>
      <c r="H153" s="1071"/>
      <c r="I153" s="1071"/>
      <c r="J153" s="1071"/>
      <c r="K153" s="1072"/>
      <c r="L153" s="1073"/>
      <c r="M153" s="1071"/>
      <c r="N153" s="1071"/>
      <c r="O153" s="1071"/>
      <c r="P153" s="1071"/>
      <c r="Q153" s="1071"/>
      <c r="R153" s="1071"/>
      <c r="S153" s="1071"/>
      <c r="T153" s="1071"/>
    </row>
    <row r="154" spans="1:20">
      <c r="A154" s="1071"/>
      <c r="B154" s="1071"/>
      <c r="C154" s="1071"/>
      <c r="D154" s="1071"/>
      <c r="E154" s="1071"/>
      <c r="F154" s="1071"/>
      <c r="G154" s="1071"/>
      <c r="H154" s="1071"/>
      <c r="I154" s="1071"/>
      <c r="J154" s="1071"/>
      <c r="K154" s="1072"/>
      <c r="L154" s="1073"/>
      <c r="M154" s="1071"/>
      <c r="N154" s="1071"/>
      <c r="O154" s="1071"/>
      <c r="P154" s="1071"/>
      <c r="Q154" s="1071"/>
      <c r="R154" s="1071"/>
      <c r="S154" s="1071"/>
      <c r="T154" s="1071"/>
    </row>
    <row r="155" spans="1:20">
      <c r="A155" s="1071"/>
      <c r="B155" s="1071"/>
      <c r="C155" s="1071"/>
      <c r="D155" s="1071"/>
      <c r="E155" s="1071"/>
      <c r="F155" s="1071"/>
      <c r="G155" s="1071"/>
      <c r="H155" s="1071"/>
      <c r="I155" s="1071"/>
      <c r="J155" s="1071"/>
      <c r="K155" s="1072"/>
      <c r="L155" s="1073"/>
      <c r="M155" s="1071"/>
      <c r="N155" s="1071"/>
      <c r="O155" s="1071"/>
      <c r="P155" s="1071"/>
      <c r="Q155" s="1071"/>
      <c r="R155" s="1071"/>
      <c r="S155" s="1071"/>
      <c r="T155" s="1071"/>
    </row>
    <row r="156" spans="1:20">
      <c r="A156" s="1071"/>
      <c r="B156" s="1071"/>
      <c r="C156" s="1071"/>
      <c r="D156" s="1071"/>
      <c r="E156" s="1071"/>
      <c r="F156" s="1071"/>
      <c r="G156" s="1071"/>
      <c r="H156" s="1071"/>
      <c r="I156" s="1071"/>
      <c r="J156" s="1071"/>
      <c r="K156" s="1072"/>
      <c r="L156" s="1073"/>
      <c r="M156" s="1071"/>
      <c r="N156" s="1071"/>
      <c r="O156" s="1071"/>
      <c r="P156" s="1071"/>
      <c r="Q156" s="1071"/>
      <c r="R156" s="1071"/>
      <c r="S156" s="1071"/>
      <c r="T156" s="1071"/>
    </row>
    <row r="157" spans="1:20">
      <c r="A157" s="1071"/>
      <c r="B157" s="1071"/>
      <c r="C157" s="1071"/>
      <c r="D157" s="1071"/>
      <c r="E157" s="1071"/>
      <c r="F157" s="1071"/>
      <c r="G157" s="1071"/>
      <c r="H157" s="1071"/>
      <c r="I157" s="1071"/>
      <c r="J157" s="1071"/>
      <c r="K157" s="1072"/>
      <c r="L157" s="1073"/>
      <c r="M157" s="1071"/>
      <c r="N157" s="1071"/>
      <c r="O157" s="1071"/>
      <c r="P157" s="1071"/>
      <c r="Q157" s="1071"/>
      <c r="R157" s="1071"/>
      <c r="S157" s="1071"/>
      <c r="T157" s="1071"/>
    </row>
    <row r="158" spans="1:20">
      <c r="A158" s="1071"/>
      <c r="B158" s="1071"/>
      <c r="C158" s="1071"/>
      <c r="D158" s="1071"/>
      <c r="E158" s="1071"/>
      <c r="F158" s="1071"/>
      <c r="G158" s="1071"/>
      <c r="H158" s="1071"/>
      <c r="I158" s="1071"/>
      <c r="J158" s="1071"/>
      <c r="K158" s="1072"/>
      <c r="L158" s="1073"/>
      <c r="M158" s="1071"/>
      <c r="N158" s="1071"/>
      <c r="O158" s="1071"/>
      <c r="P158" s="1071"/>
      <c r="Q158" s="1071"/>
      <c r="R158" s="1071"/>
      <c r="S158" s="1071"/>
      <c r="T158" s="1071"/>
    </row>
    <row r="159" spans="1:20">
      <c r="A159" s="1071"/>
      <c r="B159" s="1071"/>
      <c r="C159" s="1071"/>
      <c r="D159" s="1071"/>
      <c r="E159" s="1071"/>
      <c r="F159" s="1071"/>
      <c r="G159" s="1071"/>
      <c r="H159" s="1071"/>
      <c r="I159" s="1071"/>
      <c r="J159" s="1071"/>
      <c r="K159" s="1072"/>
      <c r="L159" s="1073"/>
      <c r="M159" s="1071"/>
      <c r="N159" s="1071"/>
      <c r="O159" s="1071"/>
      <c r="P159" s="1071"/>
      <c r="Q159" s="1071"/>
      <c r="R159" s="1071"/>
      <c r="S159" s="1071"/>
      <c r="T159" s="1071"/>
    </row>
    <row r="160" spans="1:20">
      <c r="A160" s="1071"/>
      <c r="B160" s="1071"/>
      <c r="C160" s="1071"/>
      <c r="D160" s="1071"/>
      <c r="E160" s="1071"/>
      <c r="F160" s="1071"/>
      <c r="G160" s="1071"/>
      <c r="H160" s="1071"/>
      <c r="I160" s="1071"/>
      <c r="J160" s="1071"/>
      <c r="K160" s="1072"/>
      <c r="L160" s="1073"/>
      <c r="M160" s="1071"/>
      <c r="N160" s="1071"/>
      <c r="O160" s="1071"/>
      <c r="P160" s="1071"/>
      <c r="Q160" s="1071"/>
      <c r="R160" s="1071"/>
      <c r="S160" s="1071"/>
      <c r="T160" s="1071"/>
    </row>
    <row r="161" spans="1:20">
      <c r="A161" s="1071"/>
      <c r="B161" s="1071"/>
      <c r="C161" s="1071"/>
      <c r="D161" s="1071"/>
      <c r="E161" s="1071"/>
      <c r="F161" s="1071"/>
      <c r="G161" s="1071"/>
      <c r="H161" s="1071"/>
      <c r="I161" s="1071"/>
      <c r="J161" s="1071"/>
      <c r="K161" s="1072"/>
      <c r="L161" s="1073"/>
      <c r="M161" s="1071"/>
      <c r="N161" s="1071"/>
      <c r="O161" s="1071"/>
      <c r="P161" s="1071"/>
      <c r="Q161" s="1071"/>
      <c r="R161" s="1071"/>
      <c r="S161" s="1071"/>
      <c r="T161" s="1071"/>
    </row>
    <row r="162" spans="1:20">
      <c r="A162" s="1071"/>
      <c r="B162" s="1071"/>
      <c r="C162" s="1071"/>
      <c r="D162" s="1071"/>
      <c r="E162" s="1071"/>
      <c r="F162" s="1071"/>
      <c r="G162" s="1071"/>
      <c r="H162" s="1071"/>
      <c r="I162" s="1071"/>
      <c r="J162" s="1071"/>
      <c r="K162" s="1072"/>
      <c r="L162" s="1073"/>
      <c r="M162" s="1071"/>
      <c r="N162" s="1071"/>
      <c r="O162" s="1071"/>
      <c r="P162" s="1071"/>
      <c r="Q162" s="1071"/>
      <c r="R162" s="1071"/>
      <c r="S162" s="1071"/>
      <c r="T162" s="1071"/>
    </row>
    <row r="163" spans="1:20">
      <c r="A163" s="1071"/>
      <c r="B163" s="1071"/>
      <c r="C163" s="1071"/>
      <c r="D163" s="1071"/>
      <c r="E163" s="1071"/>
      <c r="F163" s="1071"/>
      <c r="G163" s="1071"/>
      <c r="H163" s="1071"/>
      <c r="I163" s="1071"/>
      <c r="J163" s="1071"/>
      <c r="K163" s="1072"/>
      <c r="L163" s="1073"/>
      <c r="M163" s="1071"/>
      <c r="N163" s="1071"/>
      <c r="O163" s="1071"/>
      <c r="P163" s="1071"/>
      <c r="Q163" s="1071"/>
      <c r="R163" s="1071"/>
      <c r="S163" s="1071"/>
      <c r="T163" s="1071"/>
    </row>
    <row r="164" spans="1:20">
      <c r="A164" s="1071"/>
      <c r="B164" s="1071"/>
      <c r="C164" s="1071"/>
      <c r="D164" s="1071"/>
      <c r="E164" s="1071"/>
      <c r="F164" s="1071"/>
      <c r="G164" s="1071"/>
      <c r="H164" s="1071"/>
      <c r="I164" s="1071"/>
      <c r="J164" s="1071"/>
      <c r="K164" s="1072"/>
      <c r="L164" s="1073"/>
      <c r="M164" s="1071"/>
      <c r="N164" s="1071"/>
      <c r="O164" s="1071"/>
      <c r="P164" s="1071"/>
      <c r="Q164" s="1071"/>
      <c r="R164" s="1071"/>
      <c r="S164" s="1071"/>
      <c r="T164" s="1071"/>
    </row>
    <row r="165" spans="1:20">
      <c r="A165" s="1071"/>
      <c r="B165" s="1071"/>
      <c r="C165" s="1071"/>
      <c r="D165" s="1071"/>
      <c r="E165" s="1071"/>
      <c r="F165" s="1071"/>
      <c r="G165" s="1071"/>
      <c r="H165" s="1071"/>
      <c r="I165" s="1071"/>
      <c r="J165" s="1071"/>
      <c r="K165" s="1072"/>
      <c r="L165" s="1073"/>
      <c r="M165" s="1071"/>
      <c r="N165" s="1071"/>
      <c r="O165" s="1071"/>
      <c r="P165" s="1071"/>
      <c r="Q165" s="1071"/>
      <c r="R165" s="1071"/>
      <c r="S165" s="1071"/>
      <c r="T165" s="1071"/>
    </row>
    <row r="166" spans="1:20">
      <c r="A166" s="1071"/>
      <c r="B166" s="1071"/>
      <c r="C166" s="1071"/>
      <c r="D166" s="1071"/>
      <c r="E166" s="1071"/>
      <c r="F166" s="1071"/>
      <c r="G166" s="1071"/>
      <c r="H166" s="1071"/>
      <c r="I166" s="1071"/>
      <c r="J166" s="1071"/>
      <c r="K166" s="1072"/>
      <c r="L166" s="1073"/>
      <c r="M166" s="1071"/>
      <c r="N166" s="1071"/>
      <c r="O166" s="1071"/>
      <c r="P166" s="1071"/>
      <c r="Q166" s="1071"/>
      <c r="R166" s="1071"/>
      <c r="S166" s="1071"/>
      <c r="T166" s="1071"/>
    </row>
    <row r="167" spans="1:20">
      <c r="A167" s="1071"/>
      <c r="B167" s="1071"/>
      <c r="C167" s="1071"/>
      <c r="D167" s="1071"/>
      <c r="E167" s="1071"/>
      <c r="F167" s="1071"/>
      <c r="G167" s="1071"/>
      <c r="H167" s="1071"/>
      <c r="I167" s="1071"/>
      <c r="J167" s="1071"/>
      <c r="K167" s="1072"/>
      <c r="L167" s="1073"/>
      <c r="M167" s="1071"/>
      <c r="N167" s="1071"/>
      <c r="O167" s="1071"/>
      <c r="P167" s="1071"/>
      <c r="Q167" s="1071"/>
      <c r="R167" s="1071"/>
      <c r="S167" s="1071"/>
      <c r="T167" s="1071"/>
    </row>
    <row r="168" spans="1:20">
      <c r="A168" s="1071"/>
      <c r="B168" s="1071"/>
      <c r="C168" s="1071"/>
      <c r="D168" s="1071"/>
      <c r="E168" s="1071"/>
      <c r="F168" s="1071"/>
      <c r="G168" s="1071"/>
      <c r="H168" s="1071"/>
      <c r="I168" s="1071"/>
      <c r="J168" s="1071"/>
      <c r="K168" s="1072"/>
      <c r="L168" s="1073"/>
      <c r="M168" s="1071"/>
      <c r="N168" s="1071"/>
      <c r="O168" s="1071"/>
      <c r="P168" s="1071"/>
      <c r="Q168" s="1071"/>
      <c r="R168" s="1071"/>
      <c r="S168" s="1071"/>
      <c r="T168" s="1071"/>
    </row>
    <row r="169" spans="1:20">
      <c r="A169" s="1071"/>
      <c r="B169" s="1071"/>
      <c r="C169" s="1071"/>
      <c r="D169" s="1071"/>
      <c r="E169" s="1071"/>
      <c r="F169" s="1071"/>
      <c r="G169" s="1071"/>
      <c r="H169" s="1071"/>
      <c r="I169" s="1071"/>
      <c r="J169" s="1071"/>
      <c r="K169" s="1072"/>
      <c r="L169" s="1073"/>
      <c r="M169" s="1071"/>
      <c r="N169" s="1071"/>
      <c r="O169" s="1071"/>
      <c r="P169" s="1071"/>
      <c r="Q169" s="1071"/>
      <c r="R169" s="1071"/>
      <c r="S169" s="1071"/>
      <c r="T169" s="1071"/>
    </row>
    <row r="170" spans="1:20">
      <c r="A170" s="1071"/>
      <c r="B170" s="1071"/>
      <c r="C170" s="1071"/>
      <c r="D170" s="1071"/>
      <c r="E170" s="1071"/>
      <c r="F170" s="1071"/>
      <c r="G170" s="1071"/>
      <c r="H170" s="1071"/>
      <c r="I170" s="1071"/>
      <c r="J170" s="1071"/>
      <c r="K170" s="1072"/>
      <c r="L170" s="1073"/>
      <c r="M170" s="1071"/>
      <c r="N170" s="1071"/>
      <c r="O170" s="1071"/>
      <c r="P170" s="1071"/>
      <c r="Q170" s="1071"/>
      <c r="R170" s="1071"/>
      <c r="S170" s="1071"/>
      <c r="T170" s="1071"/>
    </row>
    <row r="171" spans="1:20">
      <c r="A171" s="1071"/>
      <c r="B171" s="1071"/>
      <c r="C171" s="1071"/>
      <c r="D171" s="1071"/>
      <c r="E171" s="1071"/>
      <c r="F171" s="1071"/>
      <c r="G171" s="1071"/>
      <c r="H171" s="1071"/>
      <c r="I171" s="1071"/>
      <c r="J171" s="1071"/>
      <c r="K171" s="1072"/>
      <c r="L171" s="1073"/>
      <c r="M171" s="1071"/>
      <c r="N171" s="1071"/>
      <c r="O171" s="1071"/>
      <c r="P171" s="1071"/>
      <c r="Q171" s="1071"/>
      <c r="R171" s="1071"/>
      <c r="S171" s="1071"/>
      <c r="T171" s="1071"/>
    </row>
    <row r="172" spans="1:20">
      <c r="A172" s="1071"/>
      <c r="B172" s="1071"/>
      <c r="C172" s="1071"/>
      <c r="D172" s="1071"/>
      <c r="E172" s="1071"/>
      <c r="F172" s="1071"/>
      <c r="G172" s="1071"/>
      <c r="H172" s="1071"/>
      <c r="I172" s="1071"/>
      <c r="J172" s="1071"/>
      <c r="K172" s="1072"/>
      <c r="L172" s="1073"/>
      <c r="M172" s="1071"/>
      <c r="N172" s="1071"/>
      <c r="O172" s="1071"/>
      <c r="P172" s="1071"/>
      <c r="Q172" s="1071"/>
      <c r="R172" s="1071"/>
      <c r="S172" s="1071"/>
      <c r="T172" s="1071"/>
    </row>
    <row r="173" spans="1:20">
      <c r="A173" s="1071"/>
      <c r="B173" s="1071"/>
      <c r="C173" s="1071"/>
      <c r="D173" s="1071"/>
      <c r="E173" s="1071"/>
      <c r="F173" s="1071"/>
      <c r="G173" s="1071"/>
      <c r="H173" s="1071"/>
      <c r="I173" s="1071"/>
      <c r="J173" s="1071"/>
      <c r="K173" s="1072"/>
      <c r="L173" s="1073"/>
      <c r="M173" s="1071"/>
      <c r="N173" s="1071"/>
      <c r="O173" s="1071"/>
      <c r="P173" s="1071"/>
      <c r="Q173" s="1071"/>
      <c r="R173" s="1071"/>
      <c r="S173" s="1071"/>
      <c r="T173" s="1071"/>
    </row>
    <row r="174" spans="1:20">
      <c r="A174" s="1071"/>
      <c r="B174" s="1071"/>
      <c r="C174" s="1071"/>
      <c r="D174" s="1071"/>
      <c r="E174" s="1071"/>
      <c r="F174" s="1071"/>
      <c r="G174" s="1071"/>
      <c r="H174" s="1071"/>
      <c r="I174" s="1071"/>
      <c r="J174" s="1071"/>
      <c r="K174" s="1072"/>
      <c r="L174" s="1073"/>
      <c r="M174" s="1071"/>
      <c r="N174" s="1071"/>
      <c r="O174" s="1071"/>
      <c r="P174" s="1071"/>
      <c r="Q174" s="1071"/>
      <c r="R174" s="1071"/>
      <c r="S174" s="1071"/>
      <c r="T174" s="1071"/>
    </row>
    <row r="175" spans="1:20">
      <c r="A175" s="1071"/>
      <c r="B175" s="1071"/>
      <c r="C175" s="1071"/>
      <c r="D175" s="1071"/>
      <c r="E175" s="1071"/>
      <c r="F175" s="1071"/>
      <c r="G175" s="1071"/>
      <c r="H175" s="1071"/>
      <c r="I175" s="1071"/>
      <c r="J175" s="1071"/>
      <c r="K175" s="1072"/>
      <c r="L175" s="1073"/>
      <c r="M175" s="1071"/>
      <c r="N175" s="1071"/>
      <c r="O175" s="1071"/>
      <c r="P175" s="1071"/>
      <c r="Q175" s="1071"/>
      <c r="R175" s="1071"/>
      <c r="S175" s="1071"/>
      <c r="T175" s="1071"/>
    </row>
    <row r="176" spans="1:20">
      <c r="A176" s="1071"/>
      <c r="B176" s="1071"/>
      <c r="C176" s="1071"/>
      <c r="D176" s="1071"/>
      <c r="E176" s="1071"/>
      <c r="F176" s="1071"/>
      <c r="G176" s="1071"/>
      <c r="H176" s="1071"/>
      <c r="I176" s="1071"/>
      <c r="J176" s="1071"/>
      <c r="K176" s="1072"/>
      <c r="L176" s="1073"/>
      <c r="M176" s="1071"/>
      <c r="N176" s="1071"/>
      <c r="O176" s="1071"/>
      <c r="P176" s="1071"/>
      <c r="Q176" s="1071"/>
      <c r="R176" s="1071"/>
      <c r="S176" s="1071"/>
      <c r="T176" s="1071"/>
    </row>
    <row r="177" spans="1:20">
      <c r="A177" s="1071"/>
      <c r="B177" s="1071"/>
      <c r="C177" s="1071"/>
      <c r="D177" s="1071"/>
      <c r="E177" s="1071"/>
      <c r="F177" s="1071"/>
      <c r="G177" s="1071"/>
      <c r="H177" s="1071"/>
      <c r="I177" s="1071"/>
      <c r="J177" s="1071"/>
      <c r="K177" s="1072"/>
      <c r="L177" s="1073"/>
      <c r="M177" s="1071"/>
      <c r="N177" s="1071"/>
      <c r="O177" s="1071"/>
      <c r="P177" s="1071"/>
      <c r="Q177" s="1071"/>
      <c r="R177" s="1071"/>
      <c r="S177" s="1071"/>
      <c r="T177" s="1071"/>
    </row>
    <row r="178" spans="1:20">
      <c r="A178" s="1071"/>
      <c r="B178" s="1071"/>
      <c r="C178" s="1071"/>
      <c r="D178" s="1071"/>
      <c r="E178" s="1071"/>
      <c r="F178" s="1071"/>
      <c r="G178" s="1071"/>
      <c r="H178" s="1071"/>
      <c r="I178" s="1071"/>
      <c r="J178" s="1071"/>
      <c r="K178" s="1072"/>
      <c r="L178" s="1073"/>
      <c r="M178" s="1071"/>
      <c r="N178" s="1071"/>
      <c r="O178" s="1071"/>
      <c r="P178" s="1071"/>
      <c r="Q178" s="1071"/>
      <c r="R178" s="1071"/>
      <c r="S178" s="1071"/>
      <c r="T178" s="1071"/>
    </row>
    <row r="179" spans="1:20">
      <c r="A179" s="1071"/>
      <c r="B179" s="1071"/>
      <c r="C179" s="1071"/>
      <c r="D179" s="1071"/>
      <c r="E179" s="1071"/>
      <c r="F179" s="1071"/>
      <c r="G179" s="1071"/>
      <c r="H179" s="1071"/>
      <c r="I179" s="1071"/>
      <c r="J179" s="1071"/>
      <c r="K179" s="1072"/>
      <c r="L179" s="1073"/>
      <c r="M179" s="1071"/>
      <c r="N179" s="1071"/>
      <c r="O179" s="1071"/>
      <c r="P179" s="1071"/>
      <c r="Q179" s="1071"/>
      <c r="R179" s="1071"/>
      <c r="S179" s="1071"/>
      <c r="T179" s="1071"/>
    </row>
    <row r="180" spans="1:20">
      <c r="A180" s="1071"/>
      <c r="B180" s="1071"/>
      <c r="C180" s="1071"/>
      <c r="D180" s="1071"/>
      <c r="E180" s="1071"/>
      <c r="F180" s="1071"/>
      <c r="G180" s="1071"/>
      <c r="H180" s="1071"/>
      <c r="I180" s="1071"/>
      <c r="J180" s="1071"/>
      <c r="K180" s="1072"/>
      <c r="L180" s="1073"/>
      <c r="M180" s="1071"/>
      <c r="N180" s="1071"/>
      <c r="O180" s="1071"/>
      <c r="P180" s="1071"/>
      <c r="Q180" s="1071"/>
      <c r="R180" s="1071"/>
      <c r="S180" s="1071"/>
      <c r="T180" s="1071"/>
    </row>
    <row r="181" spans="1:20">
      <c r="A181" s="1071"/>
      <c r="B181" s="1071"/>
      <c r="C181" s="1071"/>
      <c r="D181" s="1071"/>
      <c r="E181" s="1071"/>
      <c r="F181" s="1071"/>
      <c r="G181" s="1071"/>
      <c r="H181" s="1071"/>
      <c r="I181" s="1071"/>
      <c r="J181" s="1071"/>
      <c r="K181" s="1072"/>
      <c r="L181" s="1073"/>
      <c r="M181" s="1071"/>
      <c r="N181" s="1071"/>
      <c r="O181" s="1071"/>
      <c r="P181" s="1071"/>
      <c r="Q181" s="1071"/>
      <c r="R181" s="1071"/>
      <c r="S181" s="1071"/>
      <c r="T181" s="1071"/>
    </row>
    <row r="182" spans="1:20">
      <c r="A182" s="1071"/>
      <c r="B182" s="1071"/>
      <c r="C182" s="1071"/>
      <c r="D182" s="1071"/>
      <c r="E182" s="1071"/>
      <c r="F182" s="1071"/>
      <c r="G182" s="1071"/>
      <c r="H182" s="1071"/>
      <c r="I182" s="1071"/>
      <c r="J182" s="1071"/>
      <c r="K182" s="1072"/>
      <c r="L182" s="1073"/>
      <c r="M182" s="1071"/>
      <c r="N182" s="1071"/>
      <c r="O182" s="1071"/>
      <c r="P182" s="1071"/>
      <c r="Q182" s="1071"/>
      <c r="R182" s="1071"/>
      <c r="S182" s="1071"/>
      <c r="T182" s="1071"/>
    </row>
    <row r="183" spans="1:20">
      <c r="A183" s="1071"/>
      <c r="B183" s="1071"/>
      <c r="C183" s="1071"/>
      <c r="D183" s="1071"/>
      <c r="E183" s="1071"/>
      <c r="F183" s="1071"/>
      <c r="G183" s="1071"/>
      <c r="H183" s="1071"/>
      <c r="I183" s="1071"/>
      <c r="J183" s="1071"/>
      <c r="K183" s="1072"/>
      <c r="L183" s="1073"/>
      <c r="M183" s="1071"/>
      <c r="N183" s="1071"/>
      <c r="O183" s="1071"/>
      <c r="P183" s="1071"/>
      <c r="Q183" s="1071"/>
      <c r="R183" s="1071"/>
      <c r="S183" s="1071"/>
      <c r="T183" s="1071"/>
    </row>
    <row r="184" spans="1:20">
      <c r="A184" s="1071"/>
      <c r="B184" s="1071"/>
      <c r="C184" s="1071"/>
      <c r="D184" s="1071"/>
      <c r="E184" s="1071"/>
      <c r="F184" s="1071"/>
      <c r="G184" s="1071"/>
      <c r="H184" s="1071"/>
      <c r="I184" s="1071"/>
      <c r="J184" s="1071"/>
      <c r="K184" s="1072"/>
      <c r="L184" s="1073"/>
      <c r="M184" s="1071"/>
      <c r="N184" s="1071"/>
      <c r="O184" s="1071"/>
      <c r="P184" s="1071"/>
      <c r="Q184" s="1071"/>
      <c r="R184" s="1071"/>
      <c r="S184" s="1071"/>
      <c r="T184" s="1071"/>
    </row>
    <row r="185" spans="1:20">
      <c r="A185" s="1071"/>
      <c r="B185" s="1071"/>
      <c r="C185" s="1071"/>
      <c r="D185" s="1071"/>
      <c r="E185" s="1071"/>
      <c r="F185" s="1071"/>
      <c r="G185" s="1071"/>
      <c r="H185" s="1071"/>
      <c r="I185" s="1071"/>
      <c r="J185" s="1071"/>
      <c r="K185" s="1072"/>
      <c r="L185" s="1073"/>
      <c r="M185" s="1071"/>
      <c r="N185" s="1071"/>
      <c r="O185" s="1071"/>
      <c r="P185" s="1071"/>
      <c r="Q185" s="1071"/>
      <c r="R185" s="1071"/>
      <c r="S185" s="1071"/>
      <c r="T185" s="1071"/>
    </row>
    <row r="186" spans="1:20">
      <c r="A186" s="1071"/>
      <c r="B186" s="1071"/>
      <c r="C186" s="1071"/>
      <c r="D186" s="1071"/>
      <c r="E186" s="1071"/>
      <c r="F186" s="1071"/>
      <c r="G186" s="1071"/>
      <c r="H186" s="1071"/>
      <c r="I186" s="1071"/>
      <c r="J186" s="1071"/>
      <c r="K186" s="1072"/>
      <c r="L186" s="1073"/>
      <c r="M186" s="1071"/>
      <c r="N186" s="1071"/>
      <c r="O186" s="1071"/>
      <c r="P186" s="1071"/>
      <c r="Q186" s="1071"/>
      <c r="R186" s="1071"/>
      <c r="S186" s="1071"/>
      <c r="T186" s="1071"/>
    </row>
    <row r="187" spans="1:20">
      <c r="A187" s="1071"/>
      <c r="B187" s="1071"/>
      <c r="C187" s="1071"/>
      <c r="D187" s="1071"/>
      <c r="E187" s="1071"/>
      <c r="F187" s="1071"/>
      <c r="G187" s="1071"/>
      <c r="H187" s="1071"/>
      <c r="I187" s="1071"/>
      <c r="J187" s="1071"/>
      <c r="K187" s="1072"/>
      <c r="L187" s="1073"/>
      <c r="M187" s="1071"/>
      <c r="N187" s="1071"/>
      <c r="O187" s="1071"/>
      <c r="P187" s="1071"/>
      <c r="Q187" s="1071"/>
      <c r="R187" s="1071"/>
      <c r="S187" s="1071"/>
      <c r="T187" s="1071"/>
    </row>
    <row r="188" spans="1:20">
      <c r="A188" s="1071"/>
      <c r="B188" s="1071"/>
      <c r="C188" s="1071"/>
      <c r="D188" s="1071"/>
      <c r="E188" s="1071"/>
      <c r="F188" s="1071"/>
      <c r="G188" s="1071"/>
      <c r="H188" s="1071"/>
      <c r="I188" s="1071"/>
      <c r="J188" s="1071"/>
      <c r="K188" s="1072"/>
      <c r="L188" s="1073"/>
      <c r="M188" s="1071"/>
      <c r="N188" s="1071"/>
      <c r="O188" s="1071"/>
      <c r="P188" s="1071"/>
      <c r="Q188" s="1071"/>
      <c r="R188" s="1071"/>
      <c r="S188" s="1071"/>
      <c r="T188" s="1071"/>
    </row>
    <row r="189" spans="1:20">
      <c r="A189" s="1071"/>
      <c r="B189" s="1071"/>
      <c r="C189" s="1071"/>
      <c r="D189" s="1071"/>
      <c r="E189" s="1071"/>
      <c r="F189" s="1071"/>
      <c r="G189" s="1071"/>
      <c r="H189" s="1071"/>
      <c r="I189" s="1071"/>
      <c r="J189" s="1071"/>
      <c r="K189" s="1072"/>
      <c r="L189" s="1073"/>
      <c r="M189" s="1071"/>
      <c r="N189" s="1071"/>
      <c r="O189" s="1071"/>
      <c r="P189" s="1071"/>
      <c r="Q189" s="1071"/>
      <c r="R189" s="1071"/>
      <c r="S189" s="1071"/>
      <c r="T189" s="1071"/>
    </row>
    <row r="190" spans="1:20">
      <c r="A190" s="1071"/>
      <c r="B190" s="1071"/>
      <c r="C190" s="1071"/>
      <c r="D190" s="1071"/>
      <c r="E190" s="1071"/>
      <c r="F190" s="1071"/>
      <c r="G190" s="1071"/>
      <c r="H190" s="1071"/>
      <c r="I190" s="1071"/>
      <c r="J190" s="1071"/>
      <c r="K190" s="1072"/>
      <c r="L190" s="1073"/>
      <c r="M190" s="1071"/>
      <c r="N190" s="1071"/>
      <c r="O190" s="1071"/>
      <c r="P190" s="1071"/>
      <c r="Q190" s="1071"/>
      <c r="R190" s="1071"/>
      <c r="S190" s="1071"/>
      <c r="T190" s="1071"/>
    </row>
    <row r="191" spans="1:20">
      <c r="A191" s="1071"/>
      <c r="B191" s="1071"/>
      <c r="C191" s="1071"/>
      <c r="D191" s="1071"/>
      <c r="E191" s="1071"/>
      <c r="F191" s="1071"/>
      <c r="G191" s="1071"/>
      <c r="H191" s="1071"/>
      <c r="I191" s="1071"/>
      <c r="J191" s="1071"/>
      <c r="K191" s="1072"/>
      <c r="L191" s="1073"/>
      <c r="M191" s="1071"/>
      <c r="N191" s="1071"/>
      <c r="O191" s="1071"/>
      <c r="P191" s="1071"/>
      <c r="Q191" s="1071"/>
      <c r="R191" s="1071"/>
      <c r="S191" s="1071"/>
      <c r="T191" s="1071"/>
    </row>
    <row r="192" spans="1:20">
      <c r="A192" s="1071"/>
      <c r="B192" s="1071"/>
      <c r="C192" s="1071"/>
      <c r="D192" s="1071"/>
      <c r="E192" s="1071"/>
      <c r="F192" s="1071"/>
      <c r="G192" s="1071"/>
      <c r="H192" s="1071"/>
      <c r="I192" s="1071"/>
      <c r="J192" s="1071"/>
      <c r="K192" s="1072"/>
      <c r="L192" s="1073"/>
      <c r="M192" s="1071"/>
      <c r="N192" s="1071"/>
      <c r="O192" s="1071"/>
      <c r="P192" s="1071"/>
      <c r="Q192" s="1071"/>
      <c r="R192" s="1071"/>
      <c r="S192" s="1071"/>
      <c r="T192" s="1071"/>
    </row>
    <row r="193" spans="1:20">
      <c r="A193" s="1071"/>
      <c r="B193" s="1071"/>
      <c r="C193" s="1071"/>
      <c r="D193" s="1071"/>
      <c r="E193" s="1071"/>
      <c r="F193" s="1071"/>
      <c r="G193" s="1071"/>
      <c r="H193" s="1071"/>
      <c r="I193" s="1071"/>
      <c r="J193" s="1071"/>
      <c r="K193" s="1072"/>
      <c r="L193" s="1073"/>
      <c r="M193" s="1071"/>
      <c r="N193" s="1071"/>
      <c r="O193" s="1071"/>
      <c r="P193" s="1071"/>
      <c r="Q193" s="1071"/>
      <c r="R193" s="1071"/>
      <c r="S193" s="1071"/>
      <c r="T193" s="1071"/>
    </row>
    <row r="194" spans="1:20">
      <c r="A194" s="1071"/>
      <c r="B194" s="1071"/>
      <c r="C194" s="1071"/>
      <c r="D194" s="1071"/>
      <c r="E194" s="1071"/>
      <c r="F194" s="1071"/>
      <c r="G194" s="1071"/>
      <c r="H194" s="1071"/>
      <c r="I194" s="1071"/>
      <c r="J194" s="1071"/>
      <c r="K194" s="1072"/>
      <c r="L194" s="1073"/>
      <c r="M194" s="1071"/>
      <c r="N194" s="1071"/>
      <c r="O194" s="1071"/>
      <c r="P194" s="1071"/>
      <c r="Q194" s="1071"/>
      <c r="R194" s="1071"/>
      <c r="S194" s="1071"/>
      <c r="T194" s="1071"/>
    </row>
    <row r="195" spans="1:20">
      <c r="A195" s="1071"/>
      <c r="B195" s="1071"/>
      <c r="C195" s="1071"/>
      <c r="D195" s="1071"/>
      <c r="E195" s="1071"/>
      <c r="F195" s="1071"/>
      <c r="G195" s="1071"/>
      <c r="H195" s="1071"/>
      <c r="I195" s="1071"/>
      <c r="J195" s="1071"/>
      <c r="K195" s="1072"/>
      <c r="L195" s="1073"/>
      <c r="M195" s="1071"/>
      <c r="N195" s="1071"/>
      <c r="O195" s="1071"/>
      <c r="P195" s="1071"/>
      <c r="Q195" s="1071"/>
      <c r="R195" s="1071"/>
      <c r="S195" s="1071"/>
      <c r="T195" s="1071"/>
    </row>
    <row r="196" spans="1:20">
      <c r="A196" s="1071"/>
      <c r="B196" s="1071"/>
      <c r="C196" s="1071"/>
      <c r="D196" s="1071"/>
      <c r="E196" s="1071"/>
      <c r="F196" s="1071"/>
      <c r="G196" s="1071"/>
      <c r="H196" s="1071"/>
      <c r="I196" s="1071"/>
      <c r="J196" s="1071"/>
      <c r="K196" s="1072"/>
      <c r="L196" s="1073"/>
      <c r="M196" s="1071"/>
      <c r="N196" s="1071"/>
      <c r="O196" s="1071"/>
      <c r="P196" s="1071"/>
      <c r="Q196" s="1071"/>
      <c r="R196" s="1071"/>
      <c r="S196" s="1071"/>
      <c r="T196" s="1071"/>
    </row>
    <row r="197" spans="1:20">
      <c r="A197" s="1071"/>
      <c r="B197" s="1071"/>
      <c r="C197" s="1071"/>
      <c r="D197" s="1071"/>
      <c r="E197" s="1071"/>
      <c r="F197" s="1071"/>
      <c r="G197" s="1071"/>
      <c r="H197" s="1071"/>
      <c r="I197" s="1071"/>
      <c r="J197" s="1071"/>
      <c r="K197" s="1072"/>
      <c r="L197" s="1073"/>
      <c r="M197" s="1071"/>
      <c r="N197" s="1071"/>
      <c r="O197" s="1071"/>
      <c r="P197" s="1071"/>
      <c r="Q197" s="1071"/>
      <c r="R197" s="1071"/>
      <c r="S197" s="1071"/>
      <c r="T197" s="1071"/>
    </row>
    <row r="198" spans="1:20">
      <c r="A198" s="1071"/>
      <c r="B198" s="1071"/>
      <c r="C198" s="1071"/>
      <c r="D198" s="1071"/>
      <c r="E198" s="1071"/>
      <c r="F198" s="1071"/>
      <c r="G198" s="1071"/>
      <c r="H198" s="1071"/>
      <c r="I198" s="1071"/>
      <c r="J198" s="1071"/>
      <c r="K198" s="1072"/>
      <c r="L198" s="1073"/>
      <c r="M198" s="1071"/>
      <c r="N198" s="1071"/>
      <c r="O198" s="1071"/>
      <c r="P198" s="1071"/>
      <c r="Q198" s="1071"/>
      <c r="R198" s="1071"/>
      <c r="S198" s="1071"/>
      <c r="T198" s="1071"/>
    </row>
    <row r="199" spans="1:20">
      <c r="A199" s="1071"/>
      <c r="B199" s="1071"/>
      <c r="C199" s="1071"/>
      <c r="D199" s="1071"/>
      <c r="E199" s="1071"/>
      <c r="F199" s="1071"/>
      <c r="G199" s="1071"/>
      <c r="H199" s="1071"/>
      <c r="I199" s="1071"/>
      <c r="J199" s="1071"/>
      <c r="K199" s="1072"/>
      <c r="L199" s="1073"/>
      <c r="M199" s="1071"/>
      <c r="N199" s="1071"/>
      <c r="O199" s="1071"/>
      <c r="P199" s="1071"/>
      <c r="Q199" s="1071"/>
      <c r="R199" s="1071"/>
      <c r="S199" s="1071"/>
      <c r="T199" s="1071"/>
    </row>
    <row r="200" spans="1:20">
      <c r="A200" s="1071"/>
      <c r="B200" s="1071"/>
      <c r="C200" s="1071"/>
      <c r="D200" s="1071"/>
      <c r="E200" s="1071"/>
      <c r="F200" s="1071"/>
      <c r="G200" s="1071"/>
      <c r="H200" s="1071"/>
      <c r="I200" s="1071"/>
      <c r="J200" s="1071"/>
      <c r="K200" s="1072"/>
      <c r="L200" s="1073"/>
      <c r="M200" s="1071"/>
      <c r="N200" s="1071"/>
      <c r="O200" s="1071"/>
      <c r="P200" s="1071"/>
      <c r="Q200" s="1071"/>
      <c r="R200" s="1071"/>
      <c r="S200" s="1071"/>
      <c r="T200" s="1071"/>
    </row>
    <row r="201" spans="1:20">
      <c r="A201" s="1071"/>
      <c r="B201" s="1071"/>
      <c r="C201" s="1071"/>
      <c r="D201" s="1071"/>
      <c r="E201" s="1071"/>
      <c r="F201" s="1071"/>
      <c r="G201" s="1071"/>
      <c r="H201" s="1071"/>
      <c r="I201" s="1071"/>
      <c r="J201" s="1071"/>
      <c r="K201" s="1072"/>
      <c r="L201" s="1073"/>
      <c r="M201" s="1071"/>
      <c r="N201" s="1071"/>
      <c r="O201" s="1071"/>
      <c r="P201" s="1071"/>
      <c r="Q201" s="1071"/>
      <c r="R201" s="1071"/>
      <c r="S201" s="1071"/>
      <c r="T201" s="1071"/>
    </row>
    <row r="202" spans="1:20">
      <c r="A202" s="1071"/>
      <c r="B202" s="1071"/>
      <c r="C202" s="1071"/>
      <c r="D202" s="1071"/>
      <c r="E202" s="1071"/>
      <c r="F202" s="1071"/>
      <c r="G202" s="1071"/>
      <c r="H202" s="1071"/>
      <c r="I202" s="1071"/>
      <c r="J202" s="1071"/>
      <c r="K202" s="1072"/>
      <c r="L202" s="1073"/>
      <c r="M202" s="1071"/>
      <c r="N202" s="1071"/>
      <c r="O202" s="1071"/>
      <c r="P202" s="1071"/>
      <c r="Q202" s="1071"/>
      <c r="R202" s="1071"/>
      <c r="S202" s="1071"/>
      <c r="T202" s="1071"/>
    </row>
    <row r="203" spans="1:20">
      <c r="A203" s="1071"/>
      <c r="B203" s="1071"/>
      <c r="C203" s="1071"/>
      <c r="D203" s="1071"/>
      <c r="E203" s="1071"/>
      <c r="F203" s="1071"/>
      <c r="G203" s="1071"/>
      <c r="H203" s="1071"/>
      <c r="I203" s="1071"/>
      <c r="J203" s="1071"/>
      <c r="K203" s="1072"/>
      <c r="L203" s="1073"/>
      <c r="M203" s="1071"/>
      <c r="N203" s="1071"/>
      <c r="O203" s="1071"/>
      <c r="P203" s="1071"/>
      <c r="Q203" s="1071"/>
      <c r="R203" s="1071"/>
      <c r="S203" s="1071"/>
      <c r="T203" s="1071"/>
    </row>
    <row r="204" spans="1:20">
      <c r="A204" s="1071"/>
      <c r="B204" s="1071"/>
      <c r="C204" s="1071"/>
      <c r="D204" s="1071"/>
      <c r="E204" s="1071"/>
      <c r="F204" s="1071"/>
      <c r="G204" s="1071"/>
      <c r="H204" s="1071"/>
      <c r="I204" s="1071"/>
      <c r="J204" s="1071"/>
      <c r="K204" s="1072"/>
      <c r="L204" s="1073"/>
      <c r="M204" s="1071"/>
      <c r="N204" s="1071"/>
      <c r="O204" s="1071"/>
      <c r="P204" s="1071"/>
      <c r="Q204" s="1071"/>
      <c r="R204" s="1071"/>
      <c r="S204" s="1071"/>
      <c r="T204" s="1071"/>
    </row>
    <row r="205" spans="1:20">
      <c r="A205" s="1071"/>
      <c r="B205" s="1071"/>
      <c r="C205" s="1071"/>
      <c r="D205" s="1071"/>
      <c r="E205" s="1071"/>
      <c r="F205" s="1071"/>
      <c r="G205" s="1071"/>
      <c r="H205" s="1071"/>
      <c r="I205" s="1071"/>
      <c r="J205" s="1071"/>
      <c r="K205" s="1072"/>
      <c r="L205" s="1073"/>
      <c r="M205" s="1071"/>
      <c r="N205" s="1071"/>
      <c r="O205" s="1071"/>
      <c r="P205" s="1071"/>
      <c r="Q205" s="1071"/>
      <c r="R205" s="1071"/>
      <c r="S205" s="1071"/>
      <c r="T205" s="1071"/>
    </row>
    <row r="206" spans="1:20">
      <c r="A206" s="1071"/>
      <c r="B206" s="1071"/>
      <c r="C206" s="1071"/>
      <c r="D206" s="1071"/>
      <c r="E206" s="1071"/>
      <c r="F206" s="1071"/>
      <c r="G206" s="1071"/>
      <c r="H206" s="1071"/>
      <c r="I206" s="1071"/>
      <c r="J206" s="1071"/>
      <c r="K206" s="1072"/>
      <c r="L206" s="1073"/>
      <c r="M206" s="1071"/>
      <c r="N206" s="1071"/>
      <c r="O206" s="1071"/>
      <c r="P206" s="1071"/>
      <c r="Q206" s="1071"/>
      <c r="R206" s="1071"/>
      <c r="S206" s="1071"/>
      <c r="T206" s="1071"/>
    </row>
    <row r="207" spans="1:20">
      <c r="A207" s="1071"/>
      <c r="B207" s="1071"/>
      <c r="C207" s="1071"/>
      <c r="D207" s="1071"/>
      <c r="E207" s="1071"/>
      <c r="F207" s="1071"/>
      <c r="G207" s="1071"/>
      <c r="H207" s="1071"/>
      <c r="I207" s="1071"/>
      <c r="J207" s="1071"/>
      <c r="K207" s="1072"/>
      <c r="L207" s="1073"/>
      <c r="M207" s="1071"/>
      <c r="N207" s="1071"/>
      <c r="O207" s="1071"/>
      <c r="P207" s="1071"/>
      <c r="Q207" s="1071"/>
      <c r="R207" s="1071"/>
      <c r="S207" s="1071"/>
      <c r="T207" s="1071"/>
    </row>
    <row r="208" spans="1:20">
      <c r="A208" s="1071"/>
      <c r="B208" s="1071"/>
      <c r="C208" s="1071"/>
      <c r="D208" s="1071"/>
      <c r="E208" s="1071"/>
      <c r="F208" s="1071"/>
      <c r="G208" s="1071"/>
      <c r="H208" s="1071"/>
      <c r="I208" s="1071"/>
      <c r="J208" s="1071"/>
      <c r="K208" s="1072"/>
      <c r="L208" s="1073"/>
      <c r="M208" s="1071"/>
      <c r="N208" s="1071"/>
      <c r="O208" s="1071"/>
      <c r="P208" s="1071"/>
      <c r="Q208" s="1071"/>
      <c r="R208" s="1071"/>
      <c r="S208" s="1071"/>
      <c r="T208" s="1071"/>
    </row>
    <row r="209" spans="1:20">
      <c r="A209" s="1071"/>
      <c r="B209" s="1071"/>
      <c r="C209" s="1071"/>
      <c r="D209" s="1071"/>
      <c r="E209" s="1071"/>
      <c r="F209" s="1071"/>
      <c r="G209" s="1071"/>
      <c r="H209" s="1071"/>
      <c r="I209" s="1071"/>
      <c r="J209" s="1071"/>
      <c r="K209" s="1072"/>
      <c r="L209" s="1073"/>
      <c r="M209" s="1071"/>
      <c r="N209" s="1071"/>
      <c r="O209" s="1071"/>
      <c r="P209" s="1071"/>
      <c r="Q209" s="1071"/>
      <c r="R209" s="1071"/>
      <c r="S209" s="1071"/>
      <c r="T209" s="1071"/>
    </row>
    <row r="210" spans="1:20">
      <c r="A210" s="1071"/>
      <c r="B210" s="1071"/>
      <c r="C210" s="1071"/>
      <c r="D210" s="1071"/>
      <c r="E210" s="1071"/>
      <c r="F210" s="1071"/>
      <c r="G210" s="1071"/>
      <c r="H210" s="1071"/>
      <c r="I210" s="1071"/>
      <c r="J210" s="1071"/>
      <c r="K210" s="1072"/>
      <c r="L210" s="1073"/>
      <c r="M210" s="1071"/>
      <c r="N210" s="1071"/>
      <c r="O210" s="1071"/>
      <c r="P210" s="1071"/>
      <c r="Q210" s="1071"/>
      <c r="R210" s="1071"/>
      <c r="S210" s="1071"/>
      <c r="T210" s="1071"/>
    </row>
    <row r="211" spans="1:20">
      <c r="A211" s="1071"/>
      <c r="B211" s="1071"/>
      <c r="C211" s="1071"/>
      <c r="D211" s="1071"/>
      <c r="E211" s="1071"/>
      <c r="F211" s="1071"/>
      <c r="G211" s="1071"/>
      <c r="H211" s="1071"/>
      <c r="I211" s="1071"/>
      <c r="J211" s="1071"/>
      <c r="K211" s="1072"/>
      <c r="L211" s="1073"/>
      <c r="M211" s="1071"/>
      <c r="N211" s="1071"/>
      <c r="O211" s="1071"/>
      <c r="P211" s="1071"/>
      <c r="Q211" s="1071"/>
      <c r="R211" s="1071"/>
      <c r="S211" s="1071"/>
      <c r="T211" s="1071"/>
    </row>
    <row r="212" spans="1:20">
      <c r="A212" s="1071"/>
      <c r="B212" s="1071"/>
      <c r="C212" s="1071"/>
      <c r="D212" s="1071"/>
      <c r="E212" s="1071"/>
      <c r="F212" s="1071"/>
      <c r="G212" s="1071"/>
      <c r="H212" s="1071"/>
      <c r="I212" s="1071"/>
      <c r="J212" s="1071"/>
      <c r="K212" s="1072"/>
      <c r="L212" s="1073"/>
      <c r="M212" s="1071"/>
      <c r="N212" s="1071"/>
      <c r="O212" s="1071"/>
      <c r="P212" s="1071"/>
      <c r="Q212" s="1071"/>
      <c r="R212" s="1071"/>
      <c r="S212" s="1071"/>
      <c r="T212" s="1071"/>
    </row>
    <row r="213" spans="1:20">
      <c r="A213" s="1071"/>
      <c r="B213" s="1071"/>
      <c r="C213" s="1071"/>
      <c r="D213" s="1071"/>
      <c r="E213" s="1071"/>
      <c r="F213" s="1071"/>
      <c r="G213" s="1071"/>
      <c r="H213" s="1071"/>
      <c r="I213" s="1071"/>
      <c r="J213" s="1071"/>
      <c r="K213" s="1072"/>
      <c r="L213" s="1073"/>
      <c r="M213" s="1071"/>
      <c r="N213" s="1071"/>
      <c r="O213" s="1071"/>
      <c r="P213" s="1071"/>
      <c r="Q213" s="1071"/>
      <c r="R213" s="1071"/>
      <c r="S213" s="1071"/>
      <c r="T213" s="1071"/>
    </row>
    <row r="214" spans="1:20">
      <c r="A214" s="1071"/>
      <c r="B214" s="1071"/>
      <c r="C214" s="1071"/>
      <c r="D214" s="1071"/>
      <c r="E214" s="1071"/>
      <c r="F214" s="1071"/>
      <c r="G214" s="1071"/>
      <c r="H214" s="1071"/>
      <c r="I214" s="1071"/>
      <c r="J214" s="1071"/>
      <c r="K214" s="1072"/>
      <c r="L214" s="1073"/>
      <c r="M214" s="1071"/>
      <c r="N214" s="1071"/>
      <c r="O214" s="1071"/>
      <c r="P214" s="1071"/>
      <c r="Q214" s="1071"/>
      <c r="R214" s="1071"/>
      <c r="S214" s="1071"/>
      <c r="T214" s="1071"/>
    </row>
    <row r="215" spans="1:20">
      <c r="A215" s="1071"/>
      <c r="B215" s="1071"/>
      <c r="C215" s="1071"/>
      <c r="D215" s="1071"/>
      <c r="E215" s="1071"/>
      <c r="F215" s="1071"/>
      <c r="G215" s="1071"/>
      <c r="H215" s="1071"/>
      <c r="I215" s="1071"/>
      <c r="J215" s="1071"/>
      <c r="K215" s="1072"/>
      <c r="L215" s="1073"/>
      <c r="M215" s="1071"/>
      <c r="N215" s="1071"/>
      <c r="O215" s="1071"/>
      <c r="P215" s="1071"/>
      <c r="Q215" s="1071"/>
      <c r="R215" s="1071"/>
      <c r="S215" s="1071"/>
      <c r="T215" s="1071"/>
    </row>
    <row r="216" spans="1:20">
      <c r="A216" s="1071"/>
      <c r="B216" s="1071"/>
      <c r="C216" s="1071"/>
      <c r="D216" s="1071"/>
      <c r="E216" s="1071"/>
      <c r="F216" s="1071"/>
      <c r="G216" s="1071"/>
      <c r="H216" s="1071"/>
      <c r="I216" s="1071"/>
      <c r="J216" s="1071"/>
      <c r="K216" s="1072"/>
      <c r="L216" s="1073"/>
      <c r="M216" s="1071"/>
      <c r="N216" s="1071"/>
      <c r="O216" s="1071"/>
      <c r="P216" s="1071"/>
      <c r="Q216" s="1071"/>
      <c r="R216" s="1071"/>
      <c r="S216" s="1071"/>
      <c r="T216" s="1071"/>
    </row>
    <row r="217" spans="1:20">
      <c r="A217" s="1071"/>
      <c r="B217" s="1071"/>
      <c r="C217" s="1071"/>
      <c r="D217" s="1071"/>
      <c r="E217" s="1071"/>
      <c r="F217" s="1071"/>
      <c r="G217" s="1071"/>
      <c r="H217" s="1071"/>
      <c r="I217" s="1071"/>
      <c r="J217" s="1071"/>
      <c r="K217" s="1072"/>
      <c r="L217" s="1073"/>
      <c r="M217" s="1071"/>
      <c r="N217" s="1071"/>
      <c r="O217" s="1071"/>
      <c r="P217" s="1071"/>
      <c r="Q217" s="1071"/>
      <c r="R217" s="1071"/>
      <c r="S217" s="1071"/>
      <c r="T217" s="1071"/>
    </row>
    <row r="218" spans="1:20">
      <c r="A218" s="1071"/>
      <c r="B218" s="1071"/>
      <c r="C218" s="1071"/>
      <c r="D218" s="1071"/>
      <c r="E218" s="1071"/>
      <c r="F218" s="1071"/>
      <c r="G218" s="1071"/>
      <c r="H218" s="1071"/>
      <c r="I218" s="1071"/>
      <c r="J218" s="1071"/>
      <c r="K218" s="1072"/>
      <c r="L218" s="1073"/>
      <c r="M218" s="1071"/>
      <c r="N218" s="1071"/>
      <c r="O218" s="1071"/>
      <c r="P218" s="1071"/>
      <c r="Q218" s="1071"/>
      <c r="R218" s="1071"/>
      <c r="S218" s="1071"/>
      <c r="T218" s="1071"/>
    </row>
    <row r="219" spans="1:20">
      <c r="A219" s="1071"/>
      <c r="B219" s="1071"/>
      <c r="C219" s="1071"/>
      <c r="D219" s="1071"/>
      <c r="E219" s="1071"/>
      <c r="F219" s="1071"/>
      <c r="G219" s="1071"/>
      <c r="H219" s="1071"/>
      <c r="I219" s="1071"/>
      <c r="J219" s="1071"/>
      <c r="K219" s="1072"/>
      <c r="L219" s="1073"/>
      <c r="M219" s="1071"/>
      <c r="N219" s="1071"/>
      <c r="O219" s="1071"/>
      <c r="P219" s="1071"/>
      <c r="Q219" s="1071"/>
      <c r="R219" s="1071"/>
      <c r="S219" s="1071"/>
      <c r="T219" s="1071"/>
    </row>
    <row r="220" spans="1:20">
      <c r="A220" s="1071"/>
      <c r="B220" s="1071"/>
      <c r="C220" s="1071"/>
      <c r="D220" s="1071"/>
      <c r="E220" s="1071"/>
      <c r="F220" s="1071"/>
      <c r="G220" s="1071"/>
      <c r="H220" s="1071"/>
      <c r="I220" s="1071"/>
      <c r="J220" s="1071"/>
      <c r="K220" s="1072"/>
      <c r="L220" s="1073"/>
      <c r="M220" s="1071"/>
      <c r="N220" s="1071"/>
      <c r="O220" s="1071"/>
      <c r="P220" s="1071"/>
      <c r="Q220" s="1071"/>
      <c r="R220" s="1071"/>
      <c r="S220" s="1071"/>
      <c r="T220" s="1071"/>
    </row>
    <row r="221" spans="1:20">
      <c r="A221" s="1071"/>
      <c r="B221" s="1071"/>
      <c r="C221" s="1071"/>
      <c r="D221" s="1071"/>
      <c r="E221" s="1071"/>
      <c r="F221" s="1071"/>
      <c r="G221" s="1071"/>
      <c r="H221" s="1071"/>
      <c r="I221" s="1071"/>
      <c r="J221" s="1071"/>
      <c r="K221" s="1072"/>
      <c r="L221" s="1073"/>
      <c r="M221" s="1071"/>
      <c r="N221" s="1071"/>
      <c r="O221" s="1071"/>
      <c r="P221" s="1071"/>
      <c r="Q221" s="1071"/>
      <c r="R221" s="1071"/>
      <c r="S221" s="1071"/>
      <c r="T221" s="1071"/>
    </row>
    <row r="222" spans="1:20">
      <c r="A222" s="1071"/>
      <c r="B222" s="1071"/>
      <c r="C222" s="1071"/>
      <c r="D222" s="1071"/>
      <c r="E222" s="1071"/>
      <c r="F222" s="1071"/>
      <c r="G222" s="1071"/>
      <c r="H222" s="1071"/>
      <c r="I222" s="1071"/>
      <c r="J222" s="1071"/>
      <c r="K222" s="1072"/>
      <c r="L222" s="1073"/>
      <c r="M222" s="1071"/>
      <c r="N222" s="1071"/>
      <c r="O222" s="1071"/>
      <c r="P222" s="1071"/>
      <c r="Q222" s="1071"/>
      <c r="R222" s="1071"/>
      <c r="S222" s="1071"/>
      <c r="T222" s="1071"/>
    </row>
    <row r="223" spans="1:20">
      <c r="A223" s="1071"/>
      <c r="B223" s="1071"/>
      <c r="C223" s="1071"/>
      <c r="D223" s="1071"/>
      <c r="E223" s="1071"/>
      <c r="F223" s="1071"/>
      <c r="G223" s="1071"/>
      <c r="H223" s="1071"/>
      <c r="I223" s="1071"/>
      <c r="J223" s="1071"/>
      <c r="K223" s="1072"/>
      <c r="L223" s="1073"/>
      <c r="M223" s="1071"/>
      <c r="N223" s="1071"/>
      <c r="O223" s="1071"/>
      <c r="P223" s="1071"/>
      <c r="Q223" s="1071"/>
      <c r="R223" s="1071"/>
      <c r="S223" s="1071"/>
      <c r="T223" s="1071"/>
    </row>
    <row r="224" spans="1:20">
      <c r="A224" s="1071"/>
      <c r="B224" s="1071"/>
      <c r="C224" s="1071"/>
      <c r="D224" s="1071"/>
      <c r="E224" s="1071"/>
      <c r="F224" s="1071"/>
      <c r="G224" s="1071"/>
      <c r="H224" s="1071"/>
      <c r="I224" s="1071"/>
      <c r="J224" s="1071"/>
      <c r="K224" s="1072"/>
      <c r="L224" s="1073"/>
      <c r="M224" s="1071"/>
      <c r="N224" s="1071"/>
      <c r="O224" s="1071"/>
      <c r="P224" s="1071"/>
      <c r="Q224" s="1071"/>
      <c r="R224" s="1071"/>
      <c r="S224" s="1071"/>
      <c r="T224" s="1071"/>
    </row>
    <row r="225" spans="1:20">
      <c r="A225" s="1071"/>
      <c r="B225" s="1071"/>
      <c r="C225" s="1071"/>
      <c r="D225" s="1071"/>
      <c r="E225" s="1071"/>
      <c r="F225" s="1071"/>
      <c r="G225" s="1071"/>
      <c r="H225" s="1071"/>
      <c r="I225" s="1071"/>
      <c r="J225" s="1071"/>
      <c r="K225" s="1072"/>
      <c r="L225" s="1073"/>
      <c r="M225" s="1071"/>
      <c r="N225" s="1071"/>
      <c r="O225" s="1071"/>
      <c r="P225" s="1071"/>
      <c r="Q225" s="1071"/>
      <c r="R225" s="1071"/>
      <c r="S225" s="1071"/>
      <c r="T225" s="1071"/>
    </row>
    <row r="226" spans="1:20">
      <c r="A226" s="1071"/>
      <c r="B226" s="1071"/>
      <c r="C226" s="1071"/>
      <c r="D226" s="1071"/>
      <c r="E226" s="1071"/>
      <c r="F226" s="1071"/>
      <c r="G226" s="1071"/>
      <c r="H226" s="1071"/>
      <c r="I226" s="1071"/>
      <c r="J226" s="1071"/>
      <c r="K226" s="1072"/>
      <c r="L226" s="1073"/>
      <c r="M226" s="1071"/>
      <c r="N226" s="1071"/>
      <c r="O226" s="1071"/>
      <c r="P226" s="1071"/>
      <c r="Q226" s="1071"/>
      <c r="R226" s="1071"/>
      <c r="S226" s="1071"/>
      <c r="T226" s="1071"/>
    </row>
    <row r="227" spans="1:20">
      <c r="A227" s="1071"/>
      <c r="B227" s="1071"/>
      <c r="C227" s="1071"/>
      <c r="D227" s="1071"/>
      <c r="E227" s="1071"/>
      <c r="F227" s="1071"/>
      <c r="G227" s="1071"/>
      <c r="H227" s="1071"/>
      <c r="I227" s="1071"/>
      <c r="J227" s="1071"/>
      <c r="K227" s="1072"/>
      <c r="L227" s="1073"/>
      <c r="M227" s="1071"/>
      <c r="N227" s="1071"/>
      <c r="O227" s="1071"/>
      <c r="P227" s="1071"/>
      <c r="Q227" s="1071"/>
      <c r="R227" s="1071"/>
      <c r="S227" s="1071"/>
      <c r="T227" s="1071"/>
    </row>
    <row r="228" spans="1:20">
      <c r="A228" s="1071"/>
      <c r="B228" s="1071"/>
      <c r="C228" s="1071"/>
      <c r="D228" s="1071"/>
      <c r="E228" s="1071"/>
      <c r="F228" s="1071"/>
      <c r="G228" s="1071"/>
      <c r="H228" s="1071"/>
      <c r="I228" s="1071"/>
      <c r="J228" s="1071"/>
      <c r="K228" s="1072"/>
      <c r="L228" s="1073"/>
      <c r="M228" s="1071"/>
      <c r="N228" s="1071"/>
      <c r="O228" s="1071"/>
      <c r="P228" s="1071"/>
      <c r="Q228" s="1071"/>
      <c r="R228" s="1071"/>
      <c r="S228" s="1071"/>
      <c r="T228" s="1071"/>
    </row>
    <row r="229" spans="1:20">
      <c r="A229" s="1071"/>
      <c r="B229" s="1071"/>
      <c r="C229" s="1071"/>
      <c r="D229" s="1071"/>
      <c r="E229" s="1071"/>
      <c r="F229" s="1071"/>
      <c r="G229" s="1071"/>
      <c r="H229" s="1071"/>
      <c r="I229" s="1071"/>
      <c r="J229" s="1071"/>
      <c r="K229" s="1072"/>
      <c r="L229" s="1073"/>
      <c r="M229" s="1071"/>
      <c r="N229" s="1071"/>
      <c r="O229" s="1071"/>
      <c r="P229" s="1071"/>
      <c r="Q229" s="1071"/>
      <c r="R229" s="1071"/>
      <c r="S229" s="1071"/>
      <c r="T229" s="1071"/>
    </row>
    <row r="230" spans="1:20">
      <c r="A230" s="1071"/>
      <c r="B230" s="1071"/>
      <c r="C230" s="1071"/>
      <c r="D230" s="1071"/>
      <c r="E230" s="1071"/>
      <c r="F230" s="1071"/>
      <c r="G230" s="1071"/>
      <c r="H230" s="1071"/>
      <c r="I230" s="1071"/>
      <c r="J230" s="1071"/>
      <c r="K230" s="1072"/>
      <c r="L230" s="1073"/>
      <c r="M230" s="1071"/>
      <c r="N230" s="1071"/>
      <c r="O230" s="1071"/>
      <c r="P230" s="1071"/>
      <c r="Q230" s="1071"/>
      <c r="R230" s="1071"/>
      <c r="S230" s="1071"/>
      <c r="T230" s="1071"/>
    </row>
    <row r="231" spans="1:20">
      <c r="A231" s="1071"/>
      <c r="B231" s="1071"/>
      <c r="C231" s="1071"/>
      <c r="D231" s="1071"/>
      <c r="E231" s="1071"/>
      <c r="F231" s="1071"/>
      <c r="G231" s="1071"/>
      <c r="H231" s="1071"/>
      <c r="I231" s="1071"/>
      <c r="J231" s="1071"/>
      <c r="K231" s="1072"/>
      <c r="L231" s="1073"/>
      <c r="M231" s="1071"/>
      <c r="N231" s="1071"/>
      <c r="O231" s="1071"/>
      <c r="P231" s="1071"/>
      <c r="Q231" s="1071"/>
      <c r="R231" s="1071"/>
      <c r="S231" s="1071"/>
      <c r="T231" s="1071"/>
    </row>
    <row r="232" spans="1:20">
      <c r="A232" s="1071"/>
      <c r="B232" s="1071"/>
      <c r="C232" s="1071"/>
      <c r="D232" s="1071"/>
      <c r="E232" s="1071"/>
      <c r="F232" s="1071"/>
      <c r="G232" s="1071"/>
      <c r="H232" s="1071"/>
      <c r="I232" s="1071"/>
      <c r="J232" s="1071"/>
      <c r="K232" s="1072"/>
      <c r="L232" s="1073"/>
      <c r="M232" s="1071"/>
      <c r="N232" s="1071"/>
      <c r="O232" s="1071"/>
      <c r="P232" s="1071"/>
      <c r="Q232" s="1071"/>
      <c r="R232" s="1071"/>
      <c r="S232" s="1071"/>
      <c r="T232" s="1071"/>
    </row>
    <row r="233" spans="1:20">
      <c r="A233" s="1071"/>
      <c r="B233" s="1071"/>
      <c r="C233" s="1071"/>
      <c r="D233" s="1071"/>
      <c r="E233" s="1071"/>
      <c r="F233" s="1071"/>
      <c r="G233" s="1071"/>
      <c r="H233" s="1071"/>
      <c r="I233" s="1071"/>
      <c r="J233" s="1071"/>
      <c r="K233" s="1072"/>
      <c r="L233" s="1073"/>
      <c r="M233" s="1071"/>
      <c r="N233" s="1071"/>
      <c r="O233" s="1071"/>
      <c r="P233" s="1071"/>
      <c r="Q233" s="1071"/>
      <c r="R233" s="1071"/>
      <c r="S233" s="1071"/>
      <c r="T233" s="1071"/>
    </row>
    <row r="234" spans="1:20">
      <c r="A234" s="1071"/>
      <c r="B234" s="1071"/>
      <c r="C234" s="1071"/>
      <c r="D234" s="1071"/>
      <c r="E234" s="1071"/>
      <c r="F234" s="1071"/>
      <c r="G234" s="1071"/>
      <c r="H234" s="1071"/>
      <c r="I234" s="1071"/>
      <c r="J234" s="1071"/>
      <c r="K234" s="1072"/>
      <c r="L234" s="1073"/>
      <c r="M234" s="1071"/>
      <c r="N234" s="1071"/>
      <c r="O234" s="1071"/>
      <c r="P234" s="1071"/>
      <c r="Q234" s="1071"/>
      <c r="R234" s="1071"/>
      <c r="S234" s="1071"/>
      <c r="T234" s="1071"/>
    </row>
    <row r="235" spans="1:20">
      <c r="A235" s="1071"/>
      <c r="B235" s="1071"/>
      <c r="C235" s="1071"/>
      <c r="D235" s="1071"/>
      <c r="E235" s="1071"/>
      <c r="F235" s="1071"/>
      <c r="G235" s="1071"/>
      <c r="H235" s="1071"/>
      <c r="I235" s="1071"/>
      <c r="J235" s="1071"/>
      <c r="K235" s="1072"/>
      <c r="L235" s="1073"/>
      <c r="M235" s="1071"/>
      <c r="N235" s="1071"/>
      <c r="O235" s="1071"/>
      <c r="P235" s="1071"/>
      <c r="Q235" s="1071"/>
      <c r="R235" s="1071"/>
      <c r="S235" s="1071"/>
      <c r="T235" s="1071"/>
    </row>
    <row r="236" spans="1:20">
      <c r="A236" s="1071"/>
      <c r="B236" s="1071"/>
      <c r="C236" s="1071"/>
      <c r="D236" s="1071"/>
      <c r="E236" s="1071"/>
      <c r="F236" s="1071"/>
      <c r="G236" s="1071"/>
      <c r="H236" s="1071"/>
      <c r="I236" s="1071"/>
      <c r="J236" s="1071"/>
      <c r="K236" s="1072"/>
      <c r="L236" s="1073"/>
      <c r="M236" s="1071"/>
      <c r="N236" s="1071"/>
      <c r="O236" s="1071"/>
      <c r="P236" s="1071"/>
      <c r="Q236" s="1071"/>
      <c r="R236" s="1071"/>
      <c r="S236" s="1071"/>
      <c r="T236" s="1071"/>
    </row>
    <row r="237" spans="1:20">
      <c r="A237" s="1071"/>
      <c r="B237" s="1071"/>
      <c r="C237" s="1071"/>
      <c r="D237" s="1071"/>
      <c r="E237" s="1071"/>
      <c r="F237" s="1071"/>
      <c r="G237" s="1071"/>
      <c r="H237" s="1071"/>
      <c r="I237" s="1071"/>
      <c r="J237" s="1071"/>
      <c r="K237" s="1072"/>
      <c r="L237" s="1073"/>
      <c r="M237" s="1071"/>
      <c r="N237" s="1071"/>
      <c r="O237" s="1071"/>
      <c r="P237" s="1071"/>
      <c r="Q237" s="1071"/>
      <c r="R237" s="1071"/>
      <c r="S237" s="1071"/>
      <c r="T237" s="1071"/>
    </row>
    <row r="238" spans="1:20">
      <c r="A238" s="1071"/>
      <c r="B238" s="1071"/>
      <c r="C238" s="1071"/>
      <c r="D238" s="1071"/>
      <c r="E238" s="1071"/>
      <c r="F238" s="1071"/>
      <c r="G238" s="1071"/>
      <c r="H238" s="1071"/>
      <c r="I238" s="1071"/>
      <c r="J238" s="1071"/>
      <c r="K238" s="1072"/>
      <c r="L238" s="1073"/>
      <c r="M238" s="1071"/>
      <c r="N238" s="1071"/>
      <c r="O238" s="1071"/>
      <c r="P238" s="1071"/>
      <c r="Q238" s="1071"/>
      <c r="R238" s="1071"/>
      <c r="S238" s="1071"/>
      <c r="T238" s="1071"/>
    </row>
    <row r="239" spans="1:20">
      <c r="A239" s="1071"/>
      <c r="B239" s="1071"/>
      <c r="C239" s="1071"/>
      <c r="D239" s="1071"/>
      <c r="E239" s="1071"/>
      <c r="F239" s="1071"/>
      <c r="G239" s="1071"/>
      <c r="H239" s="1071"/>
      <c r="I239" s="1071"/>
      <c r="J239" s="1071"/>
      <c r="K239" s="1072"/>
      <c r="L239" s="1073"/>
      <c r="M239" s="1071"/>
      <c r="N239" s="1071"/>
      <c r="O239" s="1071"/>
      <c r="P239" s="1071"/>
      <c r="Q239" s="1071"/>
      <c r="R239" s="1071"/>
      <c r="S239" s="1071"/>
      <c r="T239" s="1071"/>
    </row>
    <row r="240" spans="1:20">
      <c r="A240" s="1071"/>
      <c r="B240" s="1071"/>
      <c r="C240" s="1071"/>
      <c r="D240" s="1071"/>
      <c r="E240" s="1071"/>
      <c r="F240" s="1071"/>
      <c r="G240" s="1071"/>
      <c r="H240" s="1071"/>
      <c r="I240" s="1071"/>
      <c r="J240" s="1071"/>
      <c r="K240" s="1072"/>
      <c r="L240" s="1073"/>
      <c r="M240" s="1071"/>
      <c r="N240" s="1071"/>
      <c r="O240" s="1071"/>
      <c r="P240" s="1071"/>
      <c r="Q240" s="1071"/>
      <c r="R240" s="1071"/>
      <c r="S240" s="1071"/>
      <c r="T240" s="1071"/>
    </row>
    <row r="241" spans="1:20">
      <c r="A241" s="1071"/>
      <c r="B241" s="1071"/>
      <c r="C241" s="1071"/>
      <c r="D241" s="1071"/>
      <c r="E241" s="1071"/>
      <c r="F241" s="1071"/>
      <c r="G241" s="1071"/>
      <c r="H241" s="1071"/>
      <c r="I241" s="1071"/>
      <c r="J241" s="1071"/>
      <c r="K241" s="1072"/>
      <c r="L241" s="1073"/>
      <c r="M241" s="1071"/>
      <c r="N241" s="1071"/>
      <c r="O241" s="1071"/>
      <c r="P241" s="1071"/>
      <c r="Q241" s="1071"/>
      <c r="R241" s="1071"/>
      <c r="S241" s="1071"/>
      <c r="T241" s="107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0" priority="17" stopIfTrue="1" operator="containsText" text="超过">
      <formula>NOT(ISERROR(SEARCH("超过",F40)))</formula>
    </cfRule>
  </conditionalFormatting>
  <conditionalFormatting sqref="J42">
    <cfRule type="containsText" dxfId="49" priority="16" stopIfTrue="1" operator="containsText" text="超过">
      <formula>NOT(ISERROR(SEARCH("超过",J42)))</formula>
    </cfRule>
  </conditionalFormatting>
  <conditionalFormatting sqref="H42">
    <cfRule type="containsText" dxfId="48" priority="15" stopIfTrue="1" operator="containsText" text="超过">
      <formula>NOT(ISERROR(SEARCH("超过",H42)))</formula>
    </cfRule>
  </conditionalFormatting>
  <conditionalFormatting sqref="F42">
    <cfRule type="containsText" dxfId="47" priority="14" stopIfTrue="1" operator="containsText" text="超过">
      <formula>NOT(ISERROR(SEARCH("超过",F42)))</formula>
    </cfRule>
  </conditionalFormatting>
  <conditionalFormatting sqref="F41 H41 J41">
    <cfRule type="containsText" dxfId="46" priority="13" stopIfTrue="1" operator="containsText" text="超过">
      <formula>NOT(ISERROR(SEARCH("超过",F41)))</formula>
    </cfRule>
  </conditionalFormatting>
  <conditionalFormatting sqref="E40">
    <cfRule type="expression" dxfId="45" priority="12" stopIfTrue="1">
      <formula>$F$40="超过30%"</formula>
    </cfRule>
  </conditionalFormatting>
  <conditionalFormatting sqref="G42">
    <cfRule type="expression" dxfId="44" priority="11" stopIfTrue="1">
      <formula>$H$54+$H$42="超过30%"</formula>
    </cfRule>
  </conditionalFormatting>
  <conditionalFormatting sqref="E41">
    <cfRule type="expression" dxfId="43" priority="10" stopIfTrue="1">
      <formula>$F$41="超过20%"</formula>
    </cfRule>
  </conditionalFormatting>
  <conditionalFormatting sqref="E42">
    <cfRule type="expression" dxfId="42" priority="9" stopIfTrue="1">
      <formula>$F$42="超过30%"</formula>
    </cfRule>
  </conditionalFormatting>
  <conditionalFormatting sqref="G40">
    <cfRule type="expression" dxfId="41" priority="8" stopIfTrue="1">
      <formula>$H$52+$H$40="超过30%"</formula>
    </cfRule>
  </conditionalFormatting>
  <conditionalFormatting sqref="G41">
    <cfRule type="expression" dxfId="40" priority="7" stopIfTrue="1">
      <formula>$H$53+$H$41="超过20%"</formula>
    </cfRule>
  </conditionalFormatting>
  <conditionalFormatting sqref="I40">
    <cfRule type="expression" dxfId="39" priority="6" stopIfTrue="1">
      <formula>$J$40="超过30%"</formula>
    </cfRule>
  </conditionalFormatting>
  <conditionalFormatting sqref="I41">
    <cfRule type="expression" dxfId="38" priority="5" stopIfTrue="1">
      <formula>$J$41="超过20%"</formula>
    </cfRule>
  </conditionalFormatting>
  <conditionalFormatting sqref="I42">
    <cfRule type="expression" dxfId="37" priority="4" stopIfTrue="1">
      <formula>$J$42="超过30%"</formula>
    </cfRule>
  </conditionalFormatting>
  <conditionalFormatting sqref="F36">
    <cfRule type="expression" dxfId="36" priority="3">
      <formula>$D$36="简单平均"</formula>
    </cfRule>
  </conditionalFormatting>
  <conditionalFormatting sqref="H36">
    <cfRule type="expression" dxfId="35" priority="2">
      <formula>$D$36="简单平均"</formula>
    </cfRule>
  </conditionalFormatting>
  <conditionalFormatting sqref="J36">
    <cfRule type="expression" dxfId="34"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D48" sqref="D48"/>
    </sheetView>
  </sheetViews>
  <sheetFormatPr defaultColWidth="9" defaultRowHeight="13.8"/>
  <cols>
    <col min="1" max="1" width="14.33203125" style="367" customWidth="1"/>
    <col min="2" max="2" width="15.77734375" style="367" customWidth="1"/>
    <col min="3" max="3" width="14.33203125" style="367" customWidth="1"/>
    <col min="4" max="4" width="14.109375" style="367" customWidth="1"/>
    <col min="5" max="5" width="14.33203125" style="367" customWidth="1"/>
    <col min="6" max="6" width="12.21875" style="367" customWidth="1"/>
    <col min="7" max="7" width="14.44140625" style="367" customWidth="1"/>
    <col min="8" max="8" width="12.21875" style="367" customWidth="1"/>
    <col min="9" max="9" width="14.44140625" style="367" customWidth="1"/>
    <col min="10" max="10" width="12.21875" style="367" customWidth="1"/>
    <col min="11" max="11" width="12.21875" style="456" customWidth="1"/>
    <col min="12" max="12" width="12.21875" style="457" customWidth="1"/>
    <col min="13" max="15" width="12.21875" style="367" customWidth="1"/>
    <col min="16" max="16" width="4.77734375" style="367" customWidth="1"/>
    <col min="17" max="17" width="19.44140625" style="367" customWidth="1"/>
    <col min="18" max="22" width="6.109375" style="367" customWidth="1"/>
    <col min="23" max="23" width="5.77734375" style="367" customWidth="1"/>
    <col min="24" max="24" width="4.21875" style="367" customWidth="1"/>
    <col min="25" max="25" width="3.44140625" style="367" customWidth="1"/>
    <col min="26" max="26" width="19.77734375" style="367" customWidth="1"/>
    <col min="27" max="28" width="9.33203125" style="367" customWidth="1"/>
    <col min="29" max="16384" width="9" style="367"/>
  </cols>
  <sheetData>
    <row r="1" spans="1:30" s="362" customFormat="1" ht="28.5" customHeight="1">
      <c r="A1" s="358" t="s">
        <v>2574</v>
      </c>
      <c r="B1" s="359"/>
      <c r="C1" s="360" t="s">
        <v>2575</v>
      </c>
      <c r="D1" s="699"/>
      <c r="E1" s="699"/>
      <c r="F1" s="698" t="s">
        <v>2473</v>
      </c>
      <c r="G1" s="699"/>
      <c r="H1" s="699"/>
      <c r="I1" s="699"/>
      <c r="J1" s="699"/>
      <c r="K1" s="700"/>
      <c r="L1" s="701"/>
      <c r="M1" s="702"/>
      <c r="N1" s="702"/>
      <c r="O1" s="702"/>
      <c r="P1" s="712"/>
      <c r="Q1" s="712"/>
      <c r="R1" s="712"/>
      <c r="S1" s="712"/>
      <c r="T1" s="712"/>
      <c r="U1" s="712"/>
      <c r="V1" s="712"/>
      <c r="W1" s="712"/>
      <c r="X1" s="712"/>
      <c r="Y1" s="712"/>
      <c r="Z1" s="712"/>
      <c r="AA1" s="712"/>
      <c r="AB1" s="712"/>
      <c r="AC1" s="713"/>
      <c r="AD1" s="361"/>
    </row>
    <row r="2" spans="1:30" s="362" customFormat="1" ht="28.5" customHeight="1">
      <c r="A2" s="211" t="s">
        <v>2157</v>
      </c>
      <c r="B2" s="631" t="e">
        <f>F66</f>
        <v>#DIV/0!</v>
      </c>
      <c r="C2" s="1042"/>
      <c r="D2" s="1042"/>
      <c r="E2" s="1043"/>
      <c r="F2" s="1044"/>
      <c r="G2" s="1043"/>
      <c r="H2" s="1043"/>
      <c r="I2" s="1043"/>
      <c r="J2" s="1043"/>
      <c r="K2" s="1045"/>
      <c r="L2" s="2966"/>
      <c r="M2" s="2967"/>
      <c r="N2" s="2967"/>
      <c r="O2" s="2967"/>
      <c r="P2" s="712"/>
      <c r="Q2" s="712"/>
      <c r="R2" s="712"/>
      <c r="S2" s="712"/>
      <c r="T2" s="712"/>
      <c r="U2" s="712"/>
      <c r="V2" s="712"/>
      <c r="W2" s="712"/>
      <c r="X2" s="712"/>
      <c r="Y2" s="712"/>
      <c r="Z2" s="712"/>
      <c r="AA2" s="712"/>
      <c r="AB2" s="712"/>
      <c r="AC2" s="713"/>
      <c r="AD2" s="361"/>
    </row>
    <row r="3" spans="1:30" s="362" customFormat="1" ht="28.5" customHeight="1" thickBot="1">
      <c r="A3" s="213" t="s">
        <v>2159</v>
      </c>
      <c r="B3" s="570" t="e">
        <f>ROUND(IF(D3="",B2*10000/'数据-汇总表'!E3,B2*10000/D3),0)</f>
        <v>#DIV/0!</v>
      </c>
      <c r="C3" s="213" t="s">
        <v>2576</v>
      </c>
      <c r="D3" s="1359"/>
      <c r="E3" s="1043"/>
      <c r="F3" s="1044"/>
      <c r="G3" s="1043"/>
      <c r="H3" s="1043"/>
      <c r="I3" s="1043"/>
      <c r="J3" s="1043"/>
      <c r="K3" s="1045"/>
      <c r="L3" s="2966"/>
      <c r="M3" s="2967"/>
      <c r="N3" s="2967"/>
      <c r="O3" s="2967"/>
      <c r="P3" s="712"/>
      <c r="Q3" s="712"/>
      <c r="R3" s="712"/>
      <c r="S3" s="712"/>
      <c r="T3" s="712"/>
      <c r="U3" s="712"/>
      <c r="V3" s="712"/>
      <c r="W3" s="712"/>
      <c r="X3" s="712"/>
      <c r="Y3" s="712"/>
      <c r="Z3" s="712"/>
      <c r="AA3" s="712"/>
      <c r="AB3" s="729"/>
      <c r="AC3" s="726"/>
    </row>
    <row r="4" spans="1:30" ht="14.4">
      <c r="A4" s="365" t="s">
        <v>2475</v>
      </c>
      <c r="B4" s="366"/>
      <c r="C4" s="3380" t="s">
        <v>2476</v>
      </c>
      <c r="D4" s="3381"/>
      <c r="E4" s="3382" t="s">
        <v>2477</v>
      </c>
      <c r="F4" s="3383"/>
      <c r="G4" s="3380" t="s">
        <v>2478</v>
      </c>
      <c r="H4" s="3381"/>
      <c r="I4" s="3380" t="s">
        <v>2479</v>
      </c>
      <c r="J4" s="3381"/>
      <c r="K4" s="571" t="s">
        <v>2480</v>
      </c>
      <c r="L4" s="2947"/>
      <c r="M4" s="2948"/>
      <c r="N4" s="2948"/>
      <c r="O4" s="2948"/>
      <c r="P4" s="3384" t="s">
        <v>2481</v>
      </c>
      <c r="Q4" s="3385"/>
      <c r="R4" s="3367" t="s">
        <v>2477</v>
      </c>
      <c r="S4" s="3368"/>
      <c r="T4" s="3367" t="s">
        <v>2478</v>
      </c>
      <c r="U4" s="3368"/>
      <c r="V4" s="3392" t="s">
        <v>2479</v>
      </c>
      <c r="W4" s="3392"/>
      <c r="X4" s="1545"/>
      <c r="Y4" s="3367" t="s">
        <v>2481</v>
      </c>
      <c r="Z4" s="3368"/>
      <c r="AA4" s="3362" t="s">
        <v>2477</v>
      </c>
      <c r="AB4" s="3363" t="s">
        <v>2478</v>
      </c>
      <c r="AC4" s="3362" t="s">
        <v>2479</v>
      </c>
    </row>
    <row r="5" spans="1:30">
      <c r="A5" s="368"/>
      <c r="B5" s="369"/>
      <c r="C5" s="3373" t="s">
        <v>2372</v>
      </c>
      <c r="D5" s="3374"/>
      <c r="E5" s="3371" t="s">
        <v>2373</v>
      </c>
      <c r="F5" s="3372"/>
      <c r="G5" s="3373" t="s">
        <v>2374</v>
      </c>
      <c r="H5" s="3374"/>
      <c r="I5" s="3373" t="s">
        <v>2375</v>
      </c>
      <c r="J5" s="3374"/>
      <c r="K5" s="571"/>
      <c r="L5" s="2947"/>
      <c r="M5" s="2948"/>
      <c r="N5" s="2948"/>
      <c r="O5" s="2948"/>
      <c r="P5" s="3386"/>
      <c r="Q5" s="3387"/>
      <c r="R5" s="3369"/>
      <c r="S5" s="3370"/>
      <c r="T5" s="3369"/>
      <c r="U5" s="3370"/>
      <c r="V5" s="3392"/>
      <c r="W5" s="3392"/>
      <c r="X5" s="1545"/>
      <c r="Y5" s="3369"/>
      <c r="Z5" s="3370"/>
      <c r="AA5" s="3363"/>
      <c r="AB5" s="3363"/>
      <c r="AC5" s="3363"/>
    </row>
    <row r="6" spans="1:30" ht="15" thickBot="1">
      <c r="A6" s="370"/>
      <c r="B6" s="371"/>
      <c r="C6" s="3375" t="s">
        <v>2376</v>
      </c>
      <c r="D6" s="3376"/>
      <c r="E6" s="3377" t="s">
        <v>2376</v>
      </c>
      <c r="F6" s="3378"/>
      <c r="G6" s="3375" t="s">
        <v>2376</v>
      </c>
      <c r="H6" s="3376"/>
      <c r="I6" s="3375" t="s">
        <v>2376</v>
      </c>
      <c r="J6" s="3376"/>
      <c r="K6" s="571" t="s">
        <v>2377</v>
      </c>
      <c r="L6" s="2947"/>
      <c r="M6" s="2948"/>
      <c r="N6" s="2948"/>
      <c r="O6" s="2948"/>
      <c r="P6" s="3388"/>
      <c r="Q6" s="3389"/>
      <c r="R6" s="3369"/>
      <c r="S6" s="3370"/>
      <c r="T6" s="3390"/>
      <c r="U6" s="3391"/>
      <c r="V6" s="3392"/>
      <c r="W6" s="3392"/>
      <c r="X6" s="1545"/>
      <c r="Y6" s="3390"/>
      <c r="Z6" s="3391"/>
      <c r="AA6" s="3364"/>
      <c r="AB6" s="3364"/>
      <c r="AC6" s="3364"/>
    </row>
    <row r="7" spans="1:30" s="117" customFormat="1" ht="15" thickBot="1">
      <c r="A7" s="372" t="s">
        <v>2378</v>
      </c>
      <c r="B7" s="373"/>
      <c r="C7" s="374">
        <f>'数据-取费表'!B2</f>
        <v>44063</v>
      </c>
      <c r="D7" s="375">
        <v>100</v>
      </c>
      <c r="E7" s="376">
        <v>42309</v>
      </c>
      <c r="F7" s="377">
        <f>SUMIF(70:70,YEAR(E7)&amp;"-"&amp;INT((MONTH(E7)+2)/3),71:71)</f>
        <v>0</v>
      </c>
      <c r="G7" s="2166">
        <v>42309</v>
      </c>
      <c r="H7" s="375">
        <f>SUMIF(70:70,YEAR(G7)&amp;"-"&amp;INT((MONTH(G7)+2)/3),71:71)</f>
        <v>0</v>
      </c>
      <c r="I7" s="2166">
        <v>42036</v>
      </c>
      <c r="J7" s="375">
        <f>SUMIF(70:70,YEAR(I7)&amp;"-"&amp;INT((MONTH(I7)+2)/3),71:71)</f>
        <v>0</v>
      </c>
      <c r="K7" s="572"/>
      <c r="L7" s="2949"/>
      <c r="M7" s="2950"/>
      <c r="N7" s="2950"/>
      <c r="O7" s="2950"/>
      <c r="P7" s="3365" t="s">
        <v>2379</v>
      </c>
      <c r="Q7" s="3393"/>
      <c r="R7" s="714" t="s">
        <v>17</v>
      </c>
      <c r="S7" s="715">
        <f t="shared" ref="S7:S15" si="0">F7</f>
        <v>0</v>
      </c>
      <c r="T7" s="714" t="s">
        <v>17</v>
      </c>
      <c r="U7" s="715">
        <f t="shared" ref="U7:U15" si="1">H7</f>
        <v>0</v>
      </c>
      <c r="V7" s="714" t="s">
        <v>17</v>
      </c>
      <c r="W7" s="715">
        <f t="shared" ref="W7:W15" si="2">J7</f>
        <v>0</v>
      </c>
      <c r="X7" s="716"/>
      <c r="Y7" s="3365" t="s">
        <v>2379</v>
      </c>
      <c r="Z7" s="3366"/>
      <c r="AA7" s="717" t="e">
        <f>D7/F7</f>
        <v>#DIV/0!</v>
      </c>
      <c r="AB7" s="717" t="e">
        <f>D7/H7</f>
        <v>#DIV/0!</v>
      </c>
      <c r="AC7" s="717" t="e">
        <f>D7/J7</f>
        <v>#DIV/0!</v>
      </c>
    </row>
    <row r="8" spans="1:30" s="117" customFormat="1" ht="15" thickBot="1">
      <c r="A8" s="372" t="s">
        <v>2380</v>
      </c>
      <c r="B8" s="373"/>
      <c r="C8" s="378" t="s">
        <v>2381</v>
      </c>
      <c r="D8" s="375">
        <v>100</v>
      </c>
      <c r="E8" s="378"/>
      <c r="F8" s="377">
        <f>SUMIF(73:73,E8,74:74)-SUMIF(73:73,C8,74:74)+100</f>
        <v>0</v>
      </c>
      <c r="G8" s="378"/>
      <c r="H8" s="375">
        <f>SUMIF(73:73,G8,74:74)-SUMIF(73:73,C8,74:74)+100</f>
        <v>0</v>
      </c>
      <c r="I8" s="378"/>
      <c r="J8" s="375">
        <f>SUMIF(73:73,I8,74:74)-SUMIF(73:73,C8,74:74)+100</f>
        <v>0</v>
      </c>
      <c r="K8" s="572"/>
      <c r="L8" s="2949"/>
      <c r="M8" s="2950"/>
      <c r="N8" s="2950"/>
      <c r="O8" s="2950"/>
      <c r="P8" s="3365" t="s">
        <v>2382</v>
      </c>
      <c r="Q8" s="3366"/>
      <c r="R8" s="714" t="s">
        <v>17</v>
      </c>
      <c r="S8" s="715">
        <f t="shared" si="0"/>
        <v>0</v>
      </c>
      <c r="T8" s="714" t="s">
        <v>17</v>
      </c>
      <c r="U8" s="715">
        <f t="shared" si="1"/>
        <v>0</v>
      </c>
      <c r="V8" s="714" t="s">
        <v>17</v>
      </c>
      <c r="W8" s="715">
        <f t="shared" si="2"/>
        <v>0</v>
      </c>
      <c r="X8" s="716"/>
      <c r="Y8" s="3365" t="s">
        <v>2382</v>
      </c>
      <c r="Z8" s="3366"/>
      <c r="AA8" s="717" t="e">
        <f t="shared" ref="AA8:AA45" si="3">D8/F8</f>
        <v>#DIV/0!</v>
      </c>
      <c r="AB8" s="717" t="e">
        <f t="shared" ref="AB8:AB45" si="4">D8/H8</f>
        <v>#DIV/0!</v>
      </c>
      <c r="AC8" s="717" t="e">
        <f t="shared" ref="AC8:AC45" si="5">D8/J8</f>
        <v>#DIV/0!</v>
      </c>
    </row>
    <row r="9" spans="1:30" s="117" customFormat="1" ht="14.4">
      <c r="A9" s="379" t="s">
        <v>2383</v>
      </c>
      <c r="B9" s="71" t="s">
        <v>2384</v>
      </c>
      <c r="C9" s="2169"/>
      <c r="D9" s="135">
        <v>100</v>
      </c>
      <c r="E9" s="2169"/>
      <c r="F9" s="135">
        <f>SUMIF(75:75,E9,76:76)-SUMIF(75:75,C9,76:76)+100</f>
        <v>100</v>
      </c>
      <c r="G9" s="2169"/>
      <c r="H9" s="135">
        <f>SUMIF(75:75,G9,76:76)-SUMIF(75:75,C9,76:76)+100</f>
        <v>100</v>
      </c>
      <c r="I9" s="2169"/>
      <c r="J9" s="135">
        <f>SUMIF(75:75,I9,76:76)-SUMIF(75:75,C9,76:76)+100</f>
        <v>100</v>
      </c>
      <c r="K9" s="572"/>
      <c r="L9" s="2949"/>
      <c r="M9" s="2950"/>
      <c r="N9" s="2950"/>
      <c r="O9" s="3004"/>
      <c r="P9" s="3397" t="s">
        <v>2385</v>
      </c>
      <c r="Q9" s="1533" t="str">
        <f t="shared" ref="Q9:Q15" si="6">B9</f>
        <v>用途</v>
      </c>
      <c r="R9" s="714" t="s">
        <v>17</v>
      </c>
      <c r="S9" s="715">
        <f t="shared" si="0"/>
        <v>100</v>
      </c>
      <c r="T9" s="714" t="s">
        <v>17</v>
      </c>
      <c r="U9" s="715">
        <f t="shared" si="1"/>
        <v>100</v>
      </c>
      <c r="V9" s="714" t="s">
        <v>17</v>
      </c>
      <c r="W9" s="715">
        <f t="shared" si="2"/>
        <v>100</v>
      </c>
      <c r="X9" s="716"/>
      <c r="Y9" s="3282" t="s">
        <v>2386</v>
      </c>
      <c r="Z9" s="55" t="str">
        <f t="shared" ref="Z9:Z15" si="7">Q9</f>
        <v>用途</v>
      </c>
      <c r="AA9" s="717">
        <f t="shared" si="3"/>
        <v>1</v>
      </c>
      <c r="AB9" s="717">
        <f t="shared" si="4"/>
        <v>1</v>
      </c>
      <c r="AC9" s="717">
        <f t="shared" si="5"/>
        <v>1</v>
      </c>
    </row>
    <row r="10" spans="1:30" s="390" customFormat="1" ht="28.8">
      <c r="A10" s="384"/>
      <c r="B10" s="385" t="s">
        <v>2387</v>
      </c>
      <c r="C10" s="395"/>
      <c r="D10" s="136">
        <v>100</v>
      </c>
      <c r="E10" s="428"/>
      <c r="F10" s="136">
        <f>ROUND(100/'数据-取费表'!G16,0)</f>
        <v>120</v>
      </c>
      <c r="G10" s="426"/>
      <c r="H10" s="136">
        <f>ROUND(100/'数据-取费表'!G16,0)</f>
        <v>120</v>
      </c>
      <c r="I10" s="426"/>
      <c r="J10" s="136">
        <f>ROUND(100/'数据-取费表'!G16,0)</f>
        <v>120</v>
      </c>
      <c r="K10" s="632"/>
      <c r="L10" s="2951"/>
      <c r="M10" s="2952"/>
      <c r="N10" s="2952"/>
      <c r="O10" s="3005"/>
      <c r="P10" s="3397"/>
      <c r="Q10" s="1533" t="str">
        <f t="shared" si="6"/>
        <v>土地使用年限（年）</v>
      </c>
      <c r="R10" s="714" t="s">
        <v>17</v>
      </c>
      <c r="S10" s="715">
        <f t="shared" si="0"/>
        <v>120</v>
      </c>
      <c r="T10" s="714" t="s">
        <v>17</v>
      </c>
      <c r="U10" s="715">
        <f t="shared" si="1"/>
        <v>120</v>
      </c>
      <c r="V10" s="714" t="s">
        <v>17</v>
      </c>
      <c r="W10" s="715">
        <f t="shared" si="2"/>
        <v>120</v>
      </c>
      <c r="X10" s="716"/>
      <c r="Y10" s="3282"/>
      <c r="Z10" s="55" t="str">
        <f t="shared" si="7"/>
        <v>土地使用年限（年）</v>
      </c>
      <c r="AA10" s="717">
        <f t="shared" si="3"/>
        <v>0.83333333333333337</v>
      </c>
      <c r="AB10" s="717">
        <f t="shared" si="4"/>
        <v>0.83333333333333337</v>
      </c>
      <c r="AC10" s="717">
        <f t="shared" si="5"/>
        <v>0.83333333333333337</v>
      </c>
    </row>
    <row r="11" spans="1:30" ht="15">
      <c r="A11" s="391"/>
      <c r="B11" s="385" t="s">
        <v>2388</v>
      </c>
      <c r="C11" s="392"/>
      <c r="D11" s="136">
        <v>100</v>
      </c>
      <c r="E11" s="392"/>
      <c r="F11" s="136" t="e">
        <f>LOOKUP(E11,80:80,81:81)-LOOKUP(C11,80:80,81:81)+100</f>
        <v>#N/A</v>
      </c>
      <c r="G11" s="393"/>
      <c r="H11" s="136" t="e">
        <f>LOOKUP(G11,80:80,81:81)-LOOKUP(C11,80:80,81:81)+100</f>
        <v>#N/A</v>
      </c>
      <c r="I11" s="392"/>
      <c r="J11" s="136" t="e">
        <f>LOOKUP(I11,80:80,81:81)-LOOKUP(C11,80:80,81:81)+100</f>
        <v>#N/A</v>
      </c>
      <c r="K11" s="633"/>
      <c r="L11" s="2953"/>
      <c r="M11" s="2948"/>
      <c r="N11" s="2948"/>
      <c r="O11" s="3006"/>
      <c r="P11" s="3397"/>
      <c r="Q11" s="1533" t="str">
        <f t="shared" si="6"/>
        <v>容积率</v>
      </c>
      <c r="R11" s="714" t="s">
        <v>17</v>
      </c>
      <c r="S11" s="715" t="e">
        <f t="shared" si="0"/>
        <v>#N/A</v>
      </c>
      <c r="T11" s="714" t="s">
        <v>17</v>
      </c>
      <c r="U11" s="715" t="e">
        <f t="shared" si="1"/>
        <v>#N/A</v>
      </c>
      <c r="V11" s="714" t="s">
        <v>17</v>
      </c>
      <c r="W11" s="715" t="e">
        <f t="shared" si="2"/>
        <v>#N/A</v>
      </c>
      <c r="X11" s="716"/>
      <c r="Y11" s="3282"/>
      <c r="Z11" s="55" t="str">
        <f t="shared" si="7"/>
        <v>容积率</v>
      </c>
      <c r="AA11" s="717" t="e">
        <f t="shared" si="3"/>
        <v>#N/A</v>
      </c>
      <c r="AB11" s="717" t="e">
        <f t="shared" si="4"/>
        <v>#N/A</v>
      </c>
      <c r="AC11" s="717" t="e">
        <f t="shared" si="5"/>
        <v>#N/A</v>
      </c>
    </row>
    <row r="12" spans="1:30" s="117" customFormat="1" ht="15">
      <c r="A12" s="394"/>
      <c r="B12" s="2085" t="s">
        <v>2577</v>
      </c>
      <c r="C12" s="395"/>
      <c r="D12" s="396">
        <v>100</v>
      </c>
      <c r="E12" s="428"/>
      <c r="F12" s="136">
        <f>SUMIF(82:82,E12,83:83)-SUMIF(82:82,C12,83:83)+100</f>
        <v>100</v>
      </c>
      <c r="G12" s="426"/>
      <c r="H12" s="136">
        <f>SUMIF(82:82,G12,83:83)-SUMIF(82:82,C12,83:83)+100</f>
        <v>100</v>
      </c>
      <c r="I12" s="428"/>
      <c r="J12" s="136">
        <f>SUMIF(82:82,I12,83:83)-SUMIF(82:82,C12,83:83)+100</f>
        <v>100</v>
      </c>
      <c r="K12" s="632"/>
      <c r="L12" s="2949"/>
      <c r="M12" s="2950"/>
      <c r="N12" s="2950"/>
      <c r="O12" s="3004"/>
      <c r="P12" s="3397"/>
      <c r="Q12" s="1533" t="str">
        <f t="shared" si="6"/>
        <v>配建</v>
      </c>
      <c r="R12" s="714" t="s">
        <v>17</v>
      </c>
      <c r="S12" s="715">
        <f t="shared" si="0"/>
        <v>100</v>
      </c>
      <c r="T12" s="714" t="s">
        <v>17</v>
      </c>
      <c r="U12" s="715">
        <f t="shared" si="1"/>
        <v>100</v>
      </c>
      <c r="V12" s="714" t="s">
        <v>17</v>
      </c>
      <c r="W12" s="715">
        <f t="shared" si="2"/>
        <v>100</v>
      </c>
      <c r="X12" s="716"/>
      <c r="Y12" s="3282"/>
      <c r="Z12" s="55" t="str">
        <f t="shared" si="7"/>
        <v>配建</v>
      </c>
      <c r="AA12" s="717">
        <f>D12/F12</f>
        <v>1</v>
      </c>
      <c r="AB12" s="717">
        <f>D12/H12</f>
        <v>1</v>
      </c>
      <c r="AC12" s="717">
        <f>D12/J12</f>
        <v>1</v>
      </c>
    </row>
    <row r="13" spans="1:30" ht="15">
      <c r="A13" s="391"/>
      <c r="B13" s="2085">
        <v>111</v>
      </c>
      <c r="C13" s="397"/>
      <c r="D13" s="398">
        <v>100</v>
      </c>
      <c r="E13" s="510"/>
      <c r="F13" s="136">
        <f>SUMIF(84:84,E13,85:85)-SUMIF(84:84,C13,85:85)+100</f>
        <v>100</v>
      </c>
      <c r="G13" s="634"/>
      <c r="H13" s="398">
        <f>SUMIF(84:84,G13,85:85)-SUMIF(84:84,C13,85:85)+100</f>
        <v>100</v>
      </c>
      <c r="I13" s="634"/>
      <c r="J13" s="398">
        <f>SUMIF(84:84,I13,85:85)-SUMIF(84:84,C13,85:85)+100</f>
        <v>100</v>
      </c>
      <c r="K13" s="632"/>
      <c r="L13" s="2954"/>
      <c r="M13" s="2948"/>
      <c r="N13" s="2948"/>
      <c r="O13" s="3006"/>
      <c r="P13" s="3397"/>
      <c r="Q13" s="1533">
        <f t="shared" si="6"/>
        <v>111</v>
      </c>
      <c r="R13" s="714" t="s">
        <v>17</v>
      </c>
      <c r="S13" s="715">
        <f t="shared" si="0"/>
        <v>100</v>
      </c>
      <c r="T13" s="714" t="s">
        <v>17</v>
      </c>
      <c r="U13" s="715">
        <f t="shared" si="1"/>
        <v>100</v>
      </c>
      <c r="V13" s="714" t="s">
        <v>17</v>
      </c>
      <c r="W13" s="715">
        <f t="shared" si="2"/>
        <v>100</v>
      </c>
      <c r="X13" s="716"/>
      <c r="Y13" s="3282"/>
      <c r="Z13" s="55">
        <f t="shared" si="7"/>
        <v>111</v>
      </c>
      <c r="AA13" s="717">
        <f>D13/F13</f>
        <v>1</v>
      </c>
      <c r="AB13" s="717">
        <f>D13/H13</f>
        <v>1</v>
      </c>
      <c r="AC13" s="717">
        <f>D13/J13</f>
        <v>1</v>
      </c>
    </row>
    <row r="14" spans="1:30" ht="15.6" thickBot="1">
      <c r="A14" s="399"/>
      <c r="B14" s="2087">
        <v>111</v>
      </c>
      <c r="C14" s="400"/>
      <c r="D14" s="401">
        <v>100</v>
      </c>
      <c r="E14" s="510"/>
      <c r="F14" s="401">
        <f>SUMIF(86:86,E14,87:87)-SUMIF(86:86,C14,87:87)+100</f>
        <v>100</v>
      </c>
      <c r="G14" s="634"/>
      <c r="H14" s="401">
        <f>SUMIF(86:86,G14,87:87)-SUMIF(86:86,C14,87:87)+100</f>
        <v>100</v>
      </c>
      <c r="I14" s="634"/>
      <c r="J14" s="401">
        <f>SUMIF(86:86,I14,87:87)-SUMIF(86:86,C14,87:87)+100</f>
        <v>100</v>
      </c>
      <c r="K14" s="632"/>
      <c r="L14" s="2954"/>
      <c r="M14" s="2948"/>
      <c r="N14" s="2948"/>
      <c r="O14" s="3006"/>
      <c r="P14" s="3397"/>
      <c r="Q14" s="1533">
        <f t="shared" si="6"/>
        <v>111</v>
      </c>
      <c r="R14" s="714" t="s">
        <v>17</v>
      </c>
      <c r="S14" s="715">
        <f t="shared" si="0"/>
        <v>100</v>
      </c>
      <c r="T14" s="714" t="s">
        <v>17</v>
      </c>
      <c r="U14" s="715">
        <f t="shared" si="1"/>
        <v>100</v>
      </c>
      <c r="V14" s="714" t="s">
        <v>17</v>
      </c>
      <c r="W14" s="715">
        <f t="shared" si="2"/>
        <v>100</v>
      </c>
      <c r="X14" s="716"/>
      <c r="Y14" s="3282"/>
      <c r="Z14" s="55">
        <f t="shared" si="7"/>
        <v>111</v>
      </c>
      <c r="AA14" s="717">
        <f>D14/F14</f>
        <v>1</v>
      </c>
      <c r="AB14" s="717">
        <f>D14/H14</f>
        <v>1</v>
      </c>
      <c r="AC14" s="717">
        <f>D14/J14</f>
        <v>1</v>
      </c>
    </row>
    <row r="15" spans="1:30" ht="96.6">
      <c r="A15" s="403" t="s">
        <v>2389</v>
      </c>
      <c r="B15" s="69" t="s">
        <v>1945</v>
      </c>
      <c r="C15" s="2088" t="str">
        <f>估价对象房地状况!C15</f>
        <v>估价对象周边居住用地比例、居住小区规模和社区发展完善程度，综合评价居住社区成熟度一般</v>
      </c>
      <c r="D15" s="404">
        <v>100</v>
      </c>
      <c r="E15" s="405"/>
      <c r="F15" s="404">
        <f>SUMIF(88:88,E16,89:89)-SUMIF(88:88,C16,89:89)+100</f>
        <v>100</v>
      </c>
      <c r="G15" s="405"/>
      <c r="H15" s="404">
        <f>SUMIF(88:88,G16,89:89)-SUMIF(88:88,C16,89:89)+100</f>
        <v>100</v>
      </c>
      <c r="I15" s="407"/>
      <c r="J15" s="404">
        <f>SUMIF(88:88,I16,89:89)-SUMIF(88:88,C16,89:89)+100</f>
        <v>100</v>
      </c>
      <c r="K15" s="633"/>
      <c r="L15" s="2954"/>
      <c r="M15" s="2948"/>
      <c r="N15" s="2948"/>
      <c r="O15" s="3006"/>
      <c r="P15" s="3399" t="s">
        <v>2390</v>
      </c>
      <c r="Q15" s="1542" t="str">
        <f t="shared" si="6"/>
        <v>居住社区成熟度</v>
      </c>
      <c r="R15" s="718" t="s">
        <v>17</v>
      </c>
      <c r="S15" s="719">
        <f t="shared" si="0"/>
        <v>100</v>
      </c>
      <c r="T15" s="718" t="s">
        <v>17</v>
      </c>
      <c r="U15" s="719">
        <f t="shared" si="1"/>
        <v>100</v>
      </c>
      <c r="V15" s="718" t="s">
        <v>17</v>
      </c>
      <c r="W15" s="719">
        <f t="shared" si="2"/>
        <v>100</v>
      </c>
      <c r="X15" s="1545"/>
      <c r="Y15" s="3399" t="s">
        <v>2390</v>
      </c>
      <c r="Z15" s="1546" t="str">
        <f t="shared" si="7"/>
        <v>居住社区成熟度</v>
      </c>
      <c r="AA15" s="1543">
        <f t="shared" si="3"/>
        <v>1</v>
      </c>
      <c r="AB15" s="1543">
        <f t="shared" si="4"/>
        <v>1</v>
      </c>
      <c r="AC15" s="1543">
        <f t="shared" si="5"/>
        <v>1</v>
      </c>
    </row>
    <row r="16" spans="1:30" ht="15">
      <c r="A16" s="391"/>
      <c r="B16" s="409"/>
      <c r="C16" s="410"/>
      <c r="D16" s="411"/>
      <c r="E16" s="2090"/>
      <c r="F16" s="411"/>
      <c r="G16" s="2090"/>
      <c r="H16" s="413"/>
      <c r="I16" s="2089"/>
      <c r="J16" s="411"/>
      <c r="K16" s="632"/>
      <c r="L16" s="2954"/>
      <c r="M16" s="2948"/>
      <c r="N16" s="2948"/>
      <c r="O16" s="3006"/>
      <c r="P16" s="3400"/>
      <c r="Q16" s="1542"/>
      <c r="R16" s="718"/>
      <c r="S16" s="719"/>
      <c r="T16" s="718"/>
      <c r="U16" s="719"/>
      <c r="V16" s="718"/>
      <c r="W16" s="719"/>
      <c r="X16" s="1545"/>
      <c r="Y16" s="3400"/>
      <c r="Z16" s="1546"/>
      <c r="AA16" s="1543">
        <v>1</v>
      </c>
      <c r="AB16" s="1543">
        <v>1</v>
      </c>
      <c r="AC16" s="1543">
        <v>1</v>
      </c>
    </row>
    <row r="17" spans="1:29" ht="82.8">
      <c r="A17" s="391"/>
      <c r="B17" s="414" t="s">
        <v>2483</v>
      </c>
      <c r="C17" s="2147" t="str">
        <f>估价对象房地状况!C16</f>
        <v>估价对象位于XX商圈，周边商业氛围成熟，人流量大，商业繁华度好</v>
      </c>
      <c r="D17" s="413">
        <v>100</v>
      </c>
      <c r="E17" s="415"/>
      <c r="F17" s="413">
        <f>SUMIF(90:90,E18,91:91)-SUMIF(90:90,C18,91:91)+100</f>
        <v>100</v>
      </c>
      <c r="G17" s="415"/>
      <c r="H17" s="418">
        <f>SUMIF(90:90,G18,91:91)-SUMIF(90:90,C18,91:91)+100</f>
        <v>100</v>
      </c>
      <c r="I17" s="417"/>
      <c r="J17" s="418">
        <f>SUMIF(90:90,I18,91:91)-SUMIF(90:90,C18,91:91)+100</f>
        <v>100</v>
      </c>
      <c r="K17" s="633"/>
      <c r="L17" s="2954"/>
      <c r="M17" s="2948"/>
      <c r="N17" s="2948"/>
      <c r="O17" s="3006"/>
      <c r="P17" s="3400"/>
      <c r="Q17" s="1542" t="str">
        <f>B17</f>
        <v>商业繁华度</v>
      </c>
      <c r="R17" s="718" t="s">
        <v>17</v>
      </c>
      <c r="S17" s="719">
        <f>F17</f>
        <v>100</v>
      </c>
      <c r="T17" s="718" t="s">
        <v>17</v>
      </c>
      <c r="U17" s="719">
        <f>H17</f>
        <v>100</v>
      </c>
      <c r="V17" s="718" t="s">
        <v>17</v>
      </c>
      <c r="W17" s="719">
        <f>J17</f>
        <v>100</v>
      </c>
      <c r="X17" s="1545"/>
      <c r="Y17" s="3400"/>
      <c r="Z17" s="1546" t="str">
        <f>Q17</f>
        <v>商业繁华度</v>
      </c>
      <c r="AA17" s="1543">
        <f t="shared" si="3"/>
        <v>1</v>
      </c>
      <c r="AB17" s="1543">
        <f t="shared" si="4"/>
        <v>1</v>
      </c>
      <c r="AC17" s="1543">
        <f t="shared" si="5"/>
        <v>1</v>
      </c>
    </row>
    <row r="18" spans="1:29" ht="15">
      <c r="A18" s="391"/>
      <c r="B18" s="419"/>
      <c r="C18" s="2093"/>
      <c r="D18" s="413"/>
      <c r="E18" s="2095"/>
      <c r="F18" s="413"/>
      <c r="G18" s="2095"/>
      <c r="H18" s="411"/>
      <c r="I18" s="2094"/>
      <c r="J18" s="411"/>
      <c r="K18" s="632"/>
      <c r="L18" s="2954"/>
      <c r="M18" s="2948"/>
      <c r="N18" s="2948"/>
      <c r="O18" s="3006"/>
      <c r="P18" s="3400"/>
      <c r="Q18" s="1542"/>
      <c r="R18" s="718"/>
      <c r="S18" s="719"/>
      <c r="T18" s="718"/>
      <c r="U18" s="719"/>
      <c r="V18" s="718"/>
      <c r="W18" s="719"/>
      <c r="X18" s="1545"/>
      <c r="Y18" s="3400"/>
      <c r="Z18" s="1546"/>
      <c r="AA18" s="1543">
        <v>1</v>
      </c>
      <c r="AB18" s="1543">
        <v>1</v>
      </c>
      <c r="AC18" s="1543">
        <v>1</v>
      </c>
    </row>
    <row r="19" spans="1:29" ht="82.8">
      <c r="A19" s="391"/>
      <c r="B19" s="414" t="s">
        <v>2517</v>
      </c>
      <c r="C19" s="2147" t="str">
        <f>估价对象房地状况!C17</f>
        <v>估价对象位于XX商圈，周边办公楼项目较多，入驻率高，办公集聚程度较好</v>
      </c>
      <c r="D19" s="418">
        <v>100</v>
      </c>
      <c r="E19" s="420"/>
      <c r="F19" s="418">
        <f>SUMIF(92:92,E20,93:93)-SUMIF(92:92,C20,93:93)+100</f>
        <v>100</v>
      </c>
      <c r="G19" s="420"/>
      <c r="H19" s="413">
        <f>SUMIF(92:92,G20,93:93)-SUMIF(92:92,C20,93:93)+100</f>
        <v>100</v>
      </c>
      <c r="I19" s="422"/>
      <c r="J19" s="413">
        <f>SUMIF(92:92,I20,93:93)-SUMIF(92:92,C20,93:93)+100</f>
        <v>100</v>
      </c>
      <c r="K19" s="633"/>
      <c r="L19" s="2954"/>
      <c r="M19" s="2948"/>
      <c r="N19" s="2948"/>
      <c r="O19" s="3006"/>
      <c r="P19" s="3400"/>
      <c r="Q19" s="1542" t="str">
        <f>B19</f>
        <v>办公集聚程度</v>
      </c>
      <c r="R19" s="718" t="s">
        <v>17</v>
      </c>
      <c r="S19" s="719">
        <f>F19</f>
        <v>100</v>
      </c>
      <c r="T19" s="718" t="s">
        <v>17</v>
      </c>
      <c r="U19" s="719">
        <f>H19</f>
        <v>100</v>
      </c>
      <c r="V19" s="718" t="s">
        <v>17</v>
      </c>
      <c r="W19" s="719">
        <f>J19</f>
        <v>100</v>
      </c>
      <c r="X19" s="1545"/>
      <c r="Y19" s="3400"/>
      <c r="Z19" s="1546" t="str">
        <f>Q19</f>
        <v>办公集聚程度</v>
      </c>
      <c r="AA19" s="1543">
        <f t="shared" si="3"/>
        <v>1</v>
      </c>
      <c r="AB19" s="1543">
        <f t="shared" si="4"/>
        <v>1</v>
      </c>
      <c r="AC19" s="1543">
        <f t="shared" si="5"/>
        <v>1</v>
      </c>
    </row>
    <row r="20" spans="1:29" ht="15">
      <c r="A20" s="391"/>
      <c r="B20" s="419"/>
      <c r="C20" s="410"/>
      <c r="D20" s="411"/>
      <c r="E20" s="2090"/>
      <c r="F20" s="411"/>
      <c r="G20" s="2090"/>
      <c r="H20" s="411"/>
      <c r="I20" s="2089"/>
      <c r="J20" s="411"/>
      <c r="K20" s="632"/>
      <c r="L20" s="2954"/>
      <c r="M20" s="2948"/>
      <c r="N20" s="2948"/>
      <c r="O20" s="3006"/>
      <c r="P20" s="3400"/>
      <c r="Q20" s="1542"/>
      <c r="R20" s="718"/>
      <c r="S20" s="719"/>
      <c r="T20" s="718"/>
      <c r="U20" s="719"/>
      <c r="V20" s="718"/>
      <c r="W20" s="719"/>
      <c r="X20" s="1545"/>
      <c r="Y20" s="3400"/>
      <c r="Z20" s="1546"/>
      <c r="AA20" s="1543">
        <v>1</v>
      </c>
      <c r="AB20" s="1543">
        <v>1</v>
      </c>
      <c r="AC20" s="1543">
        <v>1</v>
      </c>
    </row>
    <row r="21" spans="1:29" ht="96.6">
      <c r="A21" s="391"/>
      <c r="B21" s="414" t="s">
        <v>2539</v>
      </c>
      <c r="C21" s="2092" t="str">
        <f>估价对象房地状况!C18</f>
        <v>估价对象周边道路状况、公共交通通达情况、停车便捷程度，综合评价交通便捷度较好</v>
      </c>
      <c r="D21" s="413">
        <v>100</v>
      </c>
      <c r="E21" s="415"/>
      <c r="F21" s="418">
        <f>SUMIF(94:94,E22,95:95)-SUMIF(94:94,C22,95:95)+100</f>
        <v>100</v>
      </c>
      <c r="G21" s="415"/>
      <c r="H21" s="413">
        <f>SUMIF(94:94,G22,95:95)-SUMIF(94:94,C22,95:95)+100</f>
        <v>100</v>
      </c>
      <c r="I21" s="417"/>
      <c r="J21" s="413">
        <f>SUMIF(94:94,I22,95:95)-SUMIF(94:94,C22,95:95)+100</f>
        <v>100</v>
      </c>
      <c r="K21" s="633"/>
      <c r="L21" s="2954"/>
      <c r="M21" s="2948"/>
      <c r="N21" s="2948"/>
      <c r="O21" s="3006"/>
      <c r="P21" s="3400"/>
      <c r="Q21" s="1542" t="str">
        <f>B21</f>
        <v>交通便捷度</v>
      </c>
      <c r="R21" s="718" t="s">
        <v>17</v>
      </c>
      <c r="S21" s="719">
        <f>F21</f>
        <v>100</v>
      </c>
      <c r="T21" s="718" t="s">
        <v>17</v>
      </c>
      <c r="U21" s="719">
        <f>H21</f>
        <v>100</v>
      </c>
      <c r="V21" s="718" t="s">
        <v>17</v>
      </c>
      <c r="W21" s="719">
        <f>J21</f>
        <v>100</v>
      </c>
      <c r="X21" s="1545"/>
      <c r="Y21" s="3400"/>
      <c r="Z21" s="1546" t="str">
        <f>Q21</f>
        <v>交通便捷度</v>
      </c>
      <c r="AA21" s="1543">
        <f t="shared" si="3"/>
        <v>1</v>
      </c>
      <c r="AB21" s="1543">
        <f t="shared" si="4"/>
        <v>1</v>
      </c>
      <c r="AC21" s="1543">
        <f t="shared" si="5"/>
        <v>1</v>
      </c>
    </row>
    <row r="22" spans="1:29" ht="15">
      <c r="A22" s="391"/>
      <c r="B22" s="1297"/>
      <c r="C22" s="410"/>
      <c r="D22" s="413"/>
      <c r="E22" s="2090"/>
      <c r="F22" s="411"/>
      <c r="G22" s="2090"/>
      <c r="H22" s="411"/>
      <c r="I22" s="2089"/>
      <c r="J22" s="411"/>
      <c r="K22" s="632"/>
      <c r="L22" s="2954"/>
      <c r="M22" s="2948"/>
      <c r="N22" s="2948"/>
      <c r="O22" s="3006"/>
      <c r="P22" s="3400"/>
      <c r="Q22" s="1542"/>
      <c r="R22" s="718"/>
      <c r="S22" s="719"/>
      <c r="T22" s="718"/>
      <c r="U22" s="719"/>
      <c r="V22" s="718"/>
      <c r="W22" s="719"/>
      <c r="X22" s="1545"/>
      <c r="Y22" s="3400"/>
      <c r="Z22" s="1546"/>
      <c r="AA22" s="1543">
        <v>1</v>
      </c>
      <c r="AB22" s="1543">
        <v>1</v>
      </c>
      <c r="AC22" s="1543">
        <v>1</v>
      </c>
    </row>
    <row r="23" spans="1:29" ht="28.8">
      <c r="A23" s="368"/>
      <c r="B23" s="414" t="s">
        <v>2578</v>
      </c>
      <c r="C23" s="1302">
        <f>估价对象房地状况!C19</f>
        <v>0</v>
      </c>
      <c r="D23" s="418">
        <v>100</v>
      </c>
      <c r="E23" s="415"/>
      <c r="F23" s="418">
        <f>SUMIF(96:96,E24,97:97)-SUMIF(96:96,C24,97:97)+100</f>
        <v>100</v>
      </c>
      <c r="G23" s="417"/>
      <c r="H23" s="418">
        <f>SUMIF(96:96,G24,97:97)-SUMIF(96:96,C24,97:97)+100</f>
        <v>100</v>
      </c>
      <c r="I23" s="417"/>
      <c r="J23" s="418">
        <f>SUMIF(96:96,I24,97:97)-SUMIF(96:96,C24,97:97)+100</f>
        <v>100</v>
      </c>
      <c r="K23" s="633"/>
      <c r="L23" s="2954"/>
      <c r="M23" s="2948"/>
      <c r="N23" s="2948"/>
      <c r="O23" s="3006"/>
      <c r="P23" s="3400"/>
      <c r="Q23" s="1542" t="str">
        <f t="shared" ref="Q23:Q37" si="8">B23</f>
        <v>区域土地利用方向</v>
      </c>
      <c r="R23" s="718" t="s">
        <v>17</v>
      </c>
      <c r="S23" s="719">
        <f>F23</f>
        <v>100</v>
      </c>
      <c r="T23" s="718" t="s">
        <v>17</v>
      </c>
      <c r="U23" s="719">
        <f>H23</f>
        <v>100</v>
      </c>
      <c r="V23" s="718" t="s">
        <v>17</v>
      </c>
      <c r="W23" s="719">
        <f>J23</f>
        <v>100</v>
      </c>
      <c r="X23" s="1545"/>
      <c r="Y23" s="3400"/>
      <c r="Z23" s="1546" t="str">
        <f>Q23</f>
        <v>区域土地利用方向</v>
      </c>
      <c r="AA23" s="1543">
        <f t="shared" si="3"/>
        <v>1</v>
      </c>
      <c r="AB23" s="1543">
        <f t="shared" si="4"/>
        <v>1</v>
      </c>
      <c r="AC23" s="1543">
        <f t="shared" si="5"/>
        <v>1</v>
      </c>
    </row>
    <row r="24" spans="1:29" ht="15">
      <c r="A24" s="368"/>
      <c r="B24" s="419"/>
      <c r="C24" s="577"/>
      <c r="D24" s="411"/>
      <c r="E24" s="2090"/>
      <c r="F24" s="411"/>
      <c r="G24" s="2089"/>
      <c r="H24" s="411"/>
      <c r="I24" s="2089"/>
      <c r="J24" s="411"/>
      <c r="K24" s="755"/>
      <c r="L24" s="2954"/>
      <c r="M24" s="2948"/>
      <c r="N24" s="2948"/>
      <c r="O24" s="3006"/>
      <c r="P24" s="3400"/>
      <c r="Q24" s="1542"/>
      <c r="R24" s="718"/>
      <c r="S24" s="719"/>
      <c r="T24" s="718"/>
      <c r="U24" s="719"/>
      <c r="V24" s="718"/>
      <c r="W24" s="719"/>
      <c r="X24" s="1545"/>
      <c r="Y24" s="3400"/>
      <c r="Z24" s="1546"/>
      <c r="AA24" s="1543"/>
      <c r="AB24" s="1543"/>
      <c r="AC24" s="1543"/>
    </row>
    <row r="25" spans="1:29" ht="55.2">
      <c r="A25" s="368"/>
      <c r="B25" s="1297" t="s">
        <v>2579</v>
      </c>
      <c r="C25" s="2147" t="str">
        <f>估价对象房地状况!C20</f>
        <v>区域自然环境：；人文环境；综合评价环境状况一般</v>
      </c>
      <c r="D25" s="413">
        <v>100</v>
      </c>
      <c r="E25" s="415"/>
      <c r="F25" s="413">
        <f>SUMIF(98:98,E26,99:99)-SUMIF(98:98,C26,99:99)+100</f>
        <v>100</v>
      </c>
      <c r="G25" s="415"/>
      <c r="H25" s="413">
        <f>SUMIF(98:98,G26,99:99)-SUMIF(98:98,C26,99:99)+100</f>
        <v>100</v>
      </c>
      <c r="I25" s="417"/>
      <c r="J25" s="413">
        <f>SUMIF(98:98,I26,99:99)-SUMIF(98:98,C26,99:99)+100</f>
        <v>100</v>
      </c>
      <c r="K25" s="633"/>
      <c r="L25" s="2954"/>
      <c r="M25" s="2948"/>
      <c r="N25" s="2948"/>
      <c r="O25" s="3006"/>
      <c r="P25" s="3400"/>
      <c r="Q25" s="1542" t="str">
        <f t="shared" si="8"/>
        <v>自然及人文环境状况</v>
      </c>
      <c r="R25" s="718" t="s">
        <v>17</v>
      </c>
      <c r="S25" s="719">
        <f>F25</f>
        <v>100</v>
      </c>
      <c r="T25" s="718" t="s">
        <v>17</v>
      </c>
      <c r="U25" s="719">
        <f>H25</f>
        <v>100</v>
      </c>
      <c r="V25" s="718" t="s">
        <v>17</v>
      </c>
      <c r="W25" s="719">
        <f>J25</f>
        <v>100</v>
      </c>
      <c r="X25" s="1545"/>
      <c r="Y25" s="3400"/>
      <c r="Z25" s="1546" t="str">
        <f>Q25</f>
        <v>自然及人文环境状况</v>
      </c>
      <c r="AA25" s="1543">
        <f t="shared" si="3"/>
        <v>1</v>
      </c>
      <c r="AB25" s="1543">
        <f t="shared" si="4"/>
        <v>1</v>
      </c>
      <c r="AC25" s="1543">
        <f t="shared" si="5"/>
        <v>1</v>
      </c>
    </row>
    <row r="26" spans="1:29" ht="15">
      <c r="A26" s="368"/>
      <c r="B26" s="419"/>
      <c r="C26" s="410"/>
      <c r="D26" s="411"/>
      <c r="E26" s="2096"/>
      <c r="F26" s="411"/>
      <c r="G26" s="2096"/>
      <c r="H26" s="411"/>
      <c r="I26" s="410"/>
      <c r="J26" s="411"/>
      <c r="K26" s="632"/>
      <c r="L26" s="2954"/>
      <c r="M26" s="2948"/>
      <c r="N26" s="2948"/>
      <c r="O26" s="3006"/>
      <c r="P26" s="3400"/>
      <c r="Q26" s="1542"/>
      <c r="R26" s="718"/>
      <c r="S26" s="719"/>
      <c r="T26" s="718"/>
      <c r="U26" s="719"/>
      <c r="V26" s="718"/>
      <c r="W26" s="719"/>
      <c r="X26" s="1545"/>
      <c r="Y26" s="3400"/>
      <c r="Z26" s="1546"/>
      <c r="AA26" s="1543">
        <v>1</v>
      </c>
      <c r="AB26" s="1543">
        <v>1</v>
      </c>
      <c r="AC26" s="1543">
        <v>1</v>
      </c>
    </row>
    <row r="27" spans="1:29" s="117" customFormat="1" ht="41.4">
      <c r="A27" s="609"/>
      <c r="B27" s="1297" t="s">
        <v>2484</v>
      </c>
      <c r="C27" s="2092" t="str">
        <f>估价对象房地状况!C21</f>
        <v>估价对象所在区域公共配套设施齐备情况</v>
      </c>
      <c r="D27" s="413">
        <v>100</v>
      </c>
      <c r="E27" s="415"/>
      <c r="F27" s="413">
        <f>SUMIF(100:100,E28,101:101)-SUMIF(100:100,C28,101:101)+100</f>
        <v>100</v>
      </c>
      <c r="G27" s="415"/>
      <c r="H27" s="413">
        <f>SUMIF(100:100,G28,101:101)-SUMIF(100:100,C28,101:101)+100</f>
        <v>100</v>
      </c>
      <c r="I27" s="417"/>
      <c r="J27" s="413">
        <f>SUMIF(100:100,I28,101:101)-SUMIF(100:100,C28,101:101)+100</f>
        <v>100</v>
      </c>
      <c r="K27" s="633"/>
      <c r="L27" s="2949"/>
      <c r="M27" s="2950"/>
      <c r="N27" s="2950"/>
      <c r="O27" s="3004"/>
      <c r="P27" s="3400"/>
      <c r="Q27" s="1533" t="str">
        <f t="shared" si="8"/>
        <v>公共配套设施</v>
      </c>
      <c r="R27" s="714" t="s">
        <v>17</v>
      </c>
      <c r="S27" s="715">
        <f>F27</f>
        <v>100</v>
      </c>
      <c r="T27" s="714" t="s">
        <v>17</v>
      </c>
      <c r="U27" s="715">
        <f>H27</f>
        <v>100</v>
      </c>
      <c r="V27" s="714" t="s">
        <v>17</v>
      </c>
      <c r="W27" s="715">
        <f>J27</f>
        <v>100</v>
      </c>
      <c r="X27" s="716"/>
      <c r="Y27" s="3400"/>
      <c r="Z27" s="55" t="str">
        <f>Q27</f>
        <v>公共配套设施</v>
      </c>
      <c r="AA27" s="1543">
        <f>D27/F27</f>
        <v>1</v>
      </c>
      <c r="AB27" s="1543">
        <f>D27/H27</f>
        <v>1</v>
      </c>
      <c r="AC27" s="1543">
        <f>D27/J27</f>
        <v>1</v>
      </c>
    </row>
    <row r="28" spans="1:29" s="117" customFormat="1" ht="15">
      <c r="A28" s="609"/>
      <c r="B28" s="419"/>
      <c r="C28" s="2170"/>
      <c r="D28" s="411"/>
      <c r="E28" s="2096"/>
      <c r="F28" s="411"/>
      <c r="G28" s="2096"/>
      <c r="H28" s="411"/>
      <c r="I28" s="410"/>
      <c r="J28" s="411"/>
      <c r="K28" s="632"/>
      <c r="L28" s="2949"/>
      <c r="M28" s="2950"/>
      <c r="N28" s="2950"/>
      <c r="O28" s="3004"/>
      <c r="P28" s="3400"/>
      <c r="Q28" s="1533"/>
      <c r="R28" s="714"/>
      <c r="S28" s="715"/>
      <c r="T28" s="714"/>
      <c r="U28" s="715"/>
      <c r="V28" s="714"/>
      <c r="W28" s="715"/>
      <c r="X28" s="716"/>
      <c r="Y28" s="3400"/>
      <c r="Z28" s="55"/>
      <c r="AA28" s="1543">
        <v>1</v>
      </c>
      <c r="AB28" s="1543">
        <v>1</v>
      </c>
      <c r="AC28" s="1543">
        <v>1</v>
      </c>
    </row>
    <row r="29" spans="1:29" s="117" customFormat="1" ht="41.4">
      <c r="A29" s="609"/>
      <c r="B29" s="1297" t="s">
        <v>2485</v>
      </c>
      <c r="C29" s="2092" t="str">
        <f>估价对象房地状况!C22</f>
        <v>估价对象所在区域基础设施水平</v>
      </c>
      <c r="D29" s="413">
        <v>100</v>
      </c>
      <c r="E29" s="415"/>
      <c r="F29" s="413">
        <f>SUMIF(102:102,E30,103:103)-SUMIF(102:102,C30,103:103)+100</f>
        <v>100</v>
      </c>
      <c r="G29" s="415"/>
      <c r="H29" s="413">
        <f>SUMIF(102:102,G30,103:103)-SUMIF(102:102,C30,103:103)+100</f>
        <v>100</v>
      </c>
      <c r="I29" s="417"/>
      <c r="J29" s="413">
        <f>SUMIF(102:102,I30,103:103)-SUMIF(102:102,C30,103:103)+100</f>
        <v>100</v>
      </c>
      <c r="K29" s="633"/>
      <c r="L29" s="2949"/>
      <c r="M29" s="2950"/>
      <c r="N29" s="2950"/>
      <c r="O29" s="3004"/>
      <c r="P29" s="3400"/>
      <c r="Q29" s="1533" t="str">
        <f t="shared" ref="Q29" si="9">B29</f>
        <v>基础设施水平</v>
      </c>
      <c r="R29" s="714" t="s">
        <v>17</v>
      </c>
      <c r="S29" s="715">
        <f>F29</f>
        <v>100</v>
      </c>
      <c r="T29" s="714" t="s">
        <v>17</v>
      </c>
      <c r="U29" s="715">
        <f>H29</f>
        <v>100</v>
      </c>
      <c r="V29" s="714" t="s">
        <v>17</v>
      </c>
      <c r="W29" s="715">
        <f>J29</f>
        <v>100</v>
      </c>
      <c r="X29" s="716"/>
      <c r="Y29" s="3400"/>
      <c r="Z29" s="55" t="str">
        <f>Q29</f>
        <v>基础设施水平</v>
      </c>
      <c r="AA29" s="1543">
        <f>D29/F29</f>
        <v>1</v>
      </c>
      <c r="AB29" s="1543">
        <f>D29/H29</f>
        <v>1</v>
      </c>
      <c r="AC29" s="1543">
        <f>D29/J29</f>
        <v>1</v>
      </c>
    </row>
    <row r="30" spans="1:29" s="117" customFormat="1" ht="15">
      <c r="A30" s="609"/>
      <c r="B30" s="419"/>
      <c r="C30" s="2170"/>
      <c r="D30" s="411"/>
      <c r="E30" s="2171"/>
      <c r="F30" s="411"/>
      <c r="G30" s="2171"/>
      <c r="H30" s="411"/>
      <c r="I30" s="2171"/>
      <c r="J30" s="411"/>
      <c r="K30" s="632"/>
      <c r="L30" s="2949"/>
      <c r="M30" s="2950"/>
      <c r="N30" s="2950"/>
      <c r="O30" s="3004"/>
      <c r="P30" s="3400"/>
      <c r="Q30" s="1533"/>
      <c r="R30" s="714"/>
      <c r="S30" s="715"/>
      <c r="T30" s="714"/>
      <c r="U30" s="715"/>
      <c r="V30" s="714"/>
      <c r="W30" s="715"/>
      <c r="X30" s="716"/>
      <c r="Y30" s="3400"/>
      <c r="Z30" s="55"/>
      <c r="AA30" s="1543">
        <v>1</v>
      </c>
      <c r="AB30" s="1543">
        <v>1</v>
      </c>
      <c r="AC30" s="1543">
        <v>1</v>
      </c>
    </row>
    <row r="31" spans="1:29" ht="15">
      <c r="A31" s="391"/>
      <c r="B31" s="419" t="s">
        <v>2486</v>
      </c>
      <c r="C31" s="577"/>
      <c r="D31" s="398">
        <v>100</v>
      </c>
      <c r="E31" s="594"/>
      <c r="F31" s="398">
        <f>SUMIF(104:104,E31,105:105)-SUMIF(104:104,C31,105:105)+100</f>
        <v>100</v>
      </c>
      <c r="G31" s="594"/>
      <c r="H31" s="398">
        <f>SUMIF(104:104,G31,105:105)-SUMIF(104:104,C31,105:105)+100</f>
        <v>100</v>
      </c>
      <c r="I31" s="594"/>
      <c r="J31" s="398">
        <f>SUMIF(104:104,I31,105:105)-SUMIF(104:104,C31,105:105)+100</f>
        <v>100</v>
      </c>
      <c r="K31" s="633"/>
      <c r="L31" s="2954"/>
      <c r="M31" s="2948"/>
      <c r="N31" s="2948"/>
      <c r="O31" s="3006"/>
      <c r="P31" s="3400"/>
      <c r="Q31" s="1542" t="str">
        <f t="shared" si="8"/>
        <v>临街状况</v>
      </c>
      <c r="R31" s="718" t="s">
        <v>17</v>
      </c>
      <c r="S31" s="719">
        <f t="shared" ref="S31:S45" si="10">F31</f>
        <v>100</v>
      </c>
      <c r="T31" s="718" t="s">
        <v>17</v>
      </c>
      <c r="U31" s="719">
        <f t="shared" ref="U31:U45" si="11">H31</f>
        <v>100</v>
      </c>
      <c r="V31" s="718" t="s">
        <v>17</v>
      </c>
      <c r="W31" s="719">
        <f t="shared" ref="W31:W45" si="12">J31</f>
        <v>100</v>
      </c>
      <c r="X31" s="1545"/>
      <c r="Y31" s="3400"/>
      <c r="Z31" s="1546" t="str">
        <f t="shared" ref="Z31:Z45" si="13">Q31</f>
        <v>临街状况</v>
      </c>
      <c r="AA31" s="1543">
        <f t="shared" si="3"/>
        <v>1</v>
      </c>
      <c r="AB31" s="1543">
        <f t="shared" si="4"/>
        <v>1</v>
      </c>
      <c r="AC31" s="1543">
        <f t="shared" si="5"/>
        <v>1</v>
      </c>
    </row>
    <row r="32" spans="1:29" ht="28.8">
      <c r="A32" s="391"/>
      <c r="B32" s="1297" t="s">
        <v>2521</v>
      </c>
      <c r="C32" s="417"/>
      <c r="D32" s="413">
        <v>100</v>
      </c>
      <c r="E32" s="415"/>
      <c r="F32" s="413">
        <f>SUMIF(106:106,E33,107:107)-SUMIF(106:106,C33,107:107)+100</f>
        <v>100</v>
      </c>
      <c r="G32" s="415"/>
      <c r="H32" s="413">
        <f>SUMIF(106:106,G33,107:107)-SUMIF(106:106,C33,107:107)+100</f>
        <v>100</v>
      </c>
      <c r="I32" s="417"/>
      <c r="J32" s="413">
        <f>SUMIF(106:106,I33,107:107)-SUMIF(106:106,C33,107:107)+100</f>
        <v>100</v>
      </c>
      <c r="K32" s="633"/>
      <c r="L32" s="2954"/>
      <c r="M32" s="2948"/>
      <c r="N32" s="2948"/>
      <c r="O32" s="3006"/>
      <c r="P32" s="3400"/>
      <c r="Q32" s="1542" t="str">
        <f t="shared" si="8"/>
        <v>毗邻道路的类型与等级</v>
      </c>
      <c r="R32" s="718" t="s">
        <v>17</v>
      </c>
      <c r="S32" s="719">
        <f t="shared" si="10"/>
        <v>100</v>
      </c>
      <c r="T32" s="718" t="s">
        <v>17</v>
      </c>
      <c r="U32" s="719">
        <f t="shared" si="11"/>
        <v>100</v>
      </c>
      <c r="V32" s="718" t="s">
        <v>17</v>
      </c>
      <c r="W32" s="719">
        <f t="shared" si="12"/>
        <v>100</v>
      </c>
      <c r="X32" s="1545"/>
      <c r="Y32" s="3400"/>
      <c r="Z32" s="1546" t="str">
        <f t="shared" si="13"/>
        <v>毗邻道路的类型与等级</v>
      </c>
      <c r="AA32" s="1543">
        <f t="shared" si="3"/>
        <v>1</v>
      </c>
      <c r="AB32" s="1543">
        <f t="shared" si="4"/>
        <v>1</v>
      </c>
      <c r="AC32" s="1543">
        <f t="shared" si="5"/>
        <v>1</v>
      </c>
    </row>
    <row r="33" spans="1:29" ht="15">
      <c r="A33" s="391"/>
      <c r="B33" s="419"/>
      <c r="C33" s="410"/>
      <c r="D33" s="411"/>
      <c r="E33" s="2096"/>
      <c r="F33" s="411"/>
      <c r="G33" s="2096"/>
      <c r="H33" s="411"/>
      <c r="I33" s="410"/>
      <c r="J33" s="411"/>
      <c r="K33" s="574"/>
      <c r="L33" s="2954"/>
      <c r="M33" s="2948"/>
      <c r="N33" s="2948"/>
      <c r="O33" s="3006"/>
      <c r="P33" s="3400"/>
      <c r="Q33" s="1542"/>
      <c r="R33" s="718"/>
      <c r="S33" s="719"/>
      <c r="T33" s="718"/>
      <c r="U33" s="719"/>
      <c r="V33" s="718"/>
      <c r="W33" s="719"/>
      <c r="X33" s="1545"/>
      <c r="Y33" s="3400"/>
      <c r="Z33" s="1546"/>
      <c r="AA33" s="1543">
        <v>1</v>
      </c>
      <c r="AB33" s="1543">
        <v>1</v>
      </c>
      <c r="AC33" s="1543">
        <v>1</v>
      </c>
    </row>
    <row r="34" spans="1:29" ht="15">
      <c r="A34" s="391"/>
      <c r="B34" s="385" t="s">
        <v>2580</v>
      </c>
      <c r="C34" s="577"/>
      <c r="D34" s="398">
        <v>100</v>
      </c>
      <c r="E34" s="594"/>
      <c r="F34" s="398">
        <f>SUMIF(108:108,E34,109:109)-SUMIF(108:108,C34,109:109)+100</f>
        <v>100</v>
      </c>
      <c r="G34" s="594"/>
      <c r="H34" s="398">
        <f>SUMIF(108:108,G34,109:109)-SUMIF(108:108,C34,109:109)+100</f>
        <v>100</v>
      </c>
      <c r="I34" s="577"/>
      <c r="J34" s="398">
        <f>SUMIF(108:108,I34,109:109)-SUMIF(108:108,C34,109:109)+100</f>
        <v>100</v>
      </c>
      <c r="K34" s="573"/>
      <c r="L34" s="2954"/>
      <c r="M34" s="2948"/>
      <c r="N34" s="2948"/>
      <c r="O34" s="3006"/>
      <c r="P34" s="3400"/>
      <c r="Q34" s="1542" t="str">
        <f t="shared" si="8"/>
        <v>土地级别</v>
      </c>
      <c r="R34" s="718" t="s">
        <v>17</v>
      </c>
      <c r="S34" s="719">
        <f t="shared" si="10"/>
        <v>100</v>
      </c>
      <c r="T34" s="718" t="s">
        <v>17</v>
      </c>
      <c r="U34" s="719">
        <f t="shared" si="11"/>
        <v>100</v>
      </c>
      <c r="V34" s="718" t="s">
        <v>17</v>
      </c>
      <c r="W34" s="719">
        <f t="shared" si="12"/>
        <v>100</v>
      </c>
      <c r="X34" s="1545"/>
      <c r="Y34" s="3400"/>
      <c r="Z34" s="1546" t="str">
        <f t="shared" si="13"/>
        <v>土地级别</v>
      </c>
      <c r="AA34" s="1543">
        <f t="shared" si="3"/>
        <v>1</v>
      </c>
      <c r="AB34" s="1543">
        <f t="shared" si="4"/>
        <v>1</v>
      </c>
      <c r="AC34" s="1543">
        <f t="shared" si="5"/>
        <v>1</v>
      </c>
    </row>
    <row r="35" spans="1:29" ht="15">
      <c r="A35" s="368"/>
      <c r="B35" s="1299">
        <v>111</v>
      </c>
      <c r="C35" s="634"/>
      <c r="D35" s="398">
        <v>100</v>
      </c>
      <c r="E35" s="440"/>
      <c r="F35" s="398">
        <f>SUMIF(110:110,E35,111:111)-SUMIF(110:110,C35,111:111)+100</f>
        <v>100</v>
      </c>
      <c r="G35" s="440"/>
      <c r="H35" s="398">
        <f>SUMIF(110:110,G35,111:111)-SUMIF(110:110,C35,111:111)+100</f>
        <v>100</v>
      </c>
      <c r="I35" s="634"/>
      <c r="J35" s="398">
        <f>SUMIF(110:110,I35,111:111)-SUMIF(110:110,C35,111:111)+100</f>
        <v>100</v>
      </c>
      <c r="K35" s="574"/>
      <c r="L35" s="2954"/>
      <c r="M35" s="2948"/>
      <c r="N35" s="2948"/>
      <c r="O35" s="3006"/>
      <c r="P35" s="3400"/>
      <c r="Q35" s="1542">
        <f t="shared" si="8"/>
        <v>111</v>
      </c>
      <c r="R35" s="718" t="s">
        <v>17</v>
      </c>
      <c r="S35" s="719">
        <f t="shared" si="10"/>
        <v>100</v>
      </c>
      <c r="T35" s="718" t="s">
        <v>17</v>
      </c>
      <c r="U35" s="719">
        <f t="shared" si="11"/>
        <v>100</v>
      </c>
      <c r="V35" s="718" t="s">
        <v>17</v>
      </c>
      <c r="W35" s="719">
        <f t="shared" si="12"/>
        <v>100</v>
      </c>
      <c r="X35" s="1545"/>
      <c r="Y35" s="3400"/>
      <c r="Z35" s="1546">
        <f t="shared" si="13"/>
        <v>111</v>
      </c>
      <c r="AA35" s="1543">
        <f t="shared" si="3"/>
        <v>1</v>
      </c>
      <c r="AB35" s="1543">
        <f t="shared" si="4"/>
        <v>1</v>
      </c>
      <c r="AC35" s="1543">
        <f t="shared" si="5"/>
        <v>1</v>
      </c>
    </row>
    <row r="36" spans="1:29" ht="15">
      <c r="A36" s="635"/>
      <c r="B36" s="1300">
        <v>111</v>
      </c>
      <c r="C36" s="634"/>
      <c r="D36" s="398">
        <v>100</v>
      </c>
      <c r="E36" s="440"/>
      <c r="F36" s="398">
        <f>SUMIF(112:112,E37,113:113)-SUMIF(112:112,C37,113:113)+100</f>
        <v>100</v>
      </c>
      <c r="G36" s="440"/>
      <c r="H36" s="398">
        <f>SUMIF(112:112,G36,113:113)-SUMIF(112:112,C36,113:113)+100</f>
        <v>100</v>
      </c>
      <c r="I36" s="634"/>
      <c r="J36" s="398">
        <f>SUMIF(112:112,I36,113:113)-SUMIF(112:112,C36,113:113)+100</f>
        <v>100</v>
      </c>
      <c r="K36" s="574"/>
      <c r="L36" s="2954"/>
      <c r="M36" s="2948"/>
      <c r="N36" s="2948"/>
      <c r="O36" s="3006"/>
      <c r="P36" s="3423" t="s">
        <v>2395</v>
      </c>
      <c r="Q36" s="1542">
        <f t="shared" si="8"/>
        <v>111</v>
      </c>
      <c r="R36" s="718" t="s">
        <v>17</v>
      </c>
      <c r="S36" s="719">
        <f t="shared" si="10"/>
        <v>100</v>
      </c>
      <c r="T36" s="718" t="s">
        <v>17</v>
      </c>
      <c r="U36" s="719">
        <f t="shared" si="11"/>
        <v>100</v>
      </c>
      <c r="V36" s="718" t="s">
        <v>17</v>
      </c>
      <c r="W36" s="719">
        <f t="shared" si="12"/>
        <v>100</v>
      </c>
      <c r="X36" s="1545"/>
      <c r="Y36" s="3404" t="s">
        <v>2395</v>
      </c>
      <c r="Z36" s="1546">
        <f t="shared" si="13"/>
        <v>111</v>
      </c>
      <c r="AA36" s="1543">
        <f t="shared" si="3"/>
        <v>1</v>
      </c>
      <c r="AB36" s="1543">
        <f t="shared" si="4"/>
        <v>1</v>
      </c>
      <c r="AC36" s="1543">
        <f t="shared" si="5"/>
        <v>1</v>
      </c>
    </row>
    <row r="37" spans="1:29" s="434" customFormat="1" ht="15.6" thickBot="1">
      <c r="A37" s="636"/>
      <c r="B37" s="1301">
        <v>111</v>
      </c>
      <c r="C37" s="638"/>
      <c r="D37" s="137">
        <v>100</v>
      </c>
      <c r="E37" s="661"/>
      <c r="F37" s="401">
        <f>SUMIF(114:114,E37,115:115)-SUMIF(114:114,C37,115:115)+100</f>
        <v>100</v>
      </c>
      <c r="G37" s="661"/>
      <c r="H37" s="401">
        <f>SUMIF(114:114,G37,115:115)-SUMIF(114:114,C37,115:115)+100</f>
        <v>100</v>
      </c>
      <c r="I37" s="638"/>
      <c r="J37" s="401">
        <f>SUMIF(114:114,I37,115:115)-SUMIF(114:114,C37,115:115)+100</f>
        <v>100</v>
      </c>
      <c r="K37" s="574"/>
      <c r="L37" s="2953"/>
      <c r="M37" s="2955"/>
      <c r="N37" s="2955"/>
      <c r="O37" s="3007"/>
      <c r="P37" s="3404"/>
      <c r="Q37" s="1542">
        <f t="shared" si="8"/>
        <v>111</v>
      </c>
      <c r="R37" s="721" t="s">
        <v>17</v>
      </c>
      <c r="S37" s="722">
        <f t="shared" si="10"/>
        <v>100</v>
      </c>
      <c r="T37" s="721" t="s">
        <v>17</v>
      </c>
      <c r="U37" s="722">
        <f t="shared" si="11"/>
        <v>100</v>
      </c>
      <c r="V37" s="721" t="s">
        <v>17</v>
      </c>
      <c r="W37" s="722">
        <f t="shared" si="12"/>
        <v>100</v>
      </c>
      <c r="X37" s="723"/>
      <c r="Y37" s="3404"/>
      <c r="Z37" s="724">
        <f t="shared" si="13"/>
        <v>111</v>
      </c>
      <c r="AA37" s="1543">
        <f t="shared" si="3"/>
        <v>1</v>
      </c>
      <c r="AB37" s="1543">
        <f t="shared" si="4"/>
        <v>1</v>
      </c>
      <c r="AC37" s="1543">
        <f t="shared" si="5"/>
        <v>1</v>
      </c>
    </row>
    <row r="38" spans="1:29" ht="15.6">
      <c r="A38" s="435" t="s">
        <v>2393</v>
      </c>
      <c r="B38" s="419" t="s">
        <v>2581</v>
      </c>
      <c r="C38" s="639"/>
      <c r="D38" s="430">
        <v>100</v>
      </c>
      <c r="E38" s="639"/>
      <c r="F38" s="430" t="e">
        <f>LOOKUP(E38,117:117,118:118)-LOOKUP(C38,117:117,118:118)+100</f>
        <v>#N/A</v>
      </c>
      <c r="G38" s="639"/>
      <c r="H38" s="430" t="e">
        <f>LOOKUP(G38,117:117,118:118)-LOOKUP(C38,117:117,118:118)+100</f>
        <v>#N/A</v>
      </c>
      <c r="I38" s="491"/>
      <c r="J38" s="430" t="e">
        <f>LOOKUP(I38,117:117,118:118)-LOOKUP(C38,117:117,118:118)+100</f>
        <v>#N/A</v>
      </c>
      <c r="K38" s="574"/>
      <c r="L38" s="2954"/>
      <c r="M38" s="2948"/>
      <c r="N38" s="2948"/>
      <c r="O38" s="3006"/>
      <c r="P38" s="3404"/>
      <c r="Q38" s="1542" t="str">
        <f>B38</f>
        <v>宗地面积</v>
      </c>
      <c r="R38" s="718" t="s">
        <v>17</v>
      </c>
      <c r="S38" s="719" t="e">
        <f t="shared" si="10"/>
        <v>#N/A</v>
      </c>
      <c r="T38" s="718" t="s">
        <v>17</v>
      </c>
      <c r="U38" s="719" t="e">
        <f t="shared" si="11"/>
        <v>#N/A</v>
      </c>
      <c r="V38" s="718" t="s">
        <v>17</v>
      </c>
      <c r="W38" s="719" t="e">
        <f t="shared" si="12"/>
        <v>#N/A</v>
      </c>
      <c r="X38" s="1545"/>
      <c r="Y38" s="3404"/>
      <c r="Z38" s="1546" t="str">
        <f t="shared" si="13"/>
        <v>宗地面积</v>
      </c>
      <c r="AA38" s="1543" t="e">
        <f t="shared" si="3"/>
        <v>#N/A</v>
      </c>
      <c r="AB38" s="1543" t="e">
        <f t="shared" si="4"/>
        <v>#N/A</v>
      </c>
      <c r="AC38" s="1543" t="e">
        <f t="shared" si="5"/>
        <v>#N/A</v>
      </c>
    </row>
    <row r="39" spans="1:29" ht="15">
      <c r="A39" s="435"/>
      <c r="B39" s="385" t="s">
        <v>2582</v>
      </c>
      <c r="C39" s="2098"/>
      <c r="D39" s="398">
        <v>100</v>
      </c>
      <c r="E39" s="2098"/>
      <c r="F39" s="398">
        <f>SUMIF(119:119,E39,120:120)-SUMIF(119:119,C39,120:120)+100</f>
        <v>100</v>
      </c>
      <c r="G39" s="2098"/>
      <c r="H39" s="398">
        <f>SUMIF(119:119,G39,120:120)-SUMIF(119:119,C39,120:120)+100</f>
        <v>100</v>
      </c>
      <c r="I39" s="2098"/>
      <c r="J39" s="398">
        <f>SUMIF(119:119,I39,120:120)-SUMIF(119:119,C39,120:120)+100</f>
        <v>100</v>
      </c>
      <c r="K39" s="573"/>
      <c r="L39" s="2954"/>
      <c r="M39" s="2948"/>
      <c r="N39" s="2948"/>
      <c r="O39" s="3006"/>
      <c r="P39" s="3404"/>
      <c r="Q39" s="1542" t="str">
        <f t="shared" ref="Q39:Q45" si="14">B39</f>
        <v>宗地形状</v>
      </c>
      <c r="R39" s="718" t="s">
        <v>17</v>
      </c>
      <c r="S39" s="719">
        <f t="shared" si="10"/>
        <v>100</v>
      </c>
      <c r="T39" s="718" t="s">
        <v>17</v>
      </c>
      <c r="U39" s="719">
        <f t="shared" si="11"/>
        <v>100</v>
      </c>
      <c r="V39" s="718" t="s">
        <v>17</v>
      </c>
      <c r="W39" s="719">
        <f t="shared" si="12"/>
        <v>100</v>
      </c>
      <c r="X39" s="1545"/>
      <c r="Y39" s="3404"/>
      <c r="Z39" s="1546" t="str">
        <f t="shared" si="13"/>
        <v>宗地形状</v>
      </c>
      <c r="AA39" s="1543">
        <f t="shared" si="3"/>
        <v>1</v>
      </c>
      <c r="AB39" s="1543">
        <f t="shared" si="4"/>
        <v>1</v>
      </c>
      <c r="AC39" s="1543">
        <f t="shared" si="5"/>
        <v>1</v>
      </c>
    </row>
    <row r="40" spans="1:29" ht="15">
      <c r="A40" s="435"/>
      <c r="B40" s="385" t="s">
        <v>2583</v>
      </c>
      <c r="C40" s="2098"/>
      <c r="D40" s="398">
        <v>100</v>
      </c>
      <c r="E40" s="2098"/>
      <c r="F40" s="398">
        <f>SUMIF(121:121,E40,122:122)-SUMIF(121:121,C40,122:122)+100</f>
        <v>100</v>
      </c>
      <c r="G40" s="2098"/>
      <c r="H40" s="398">
        <f>SUMIF(121:121,G40,122:122)-SUMIF(121:121,C40,122:122)+100</f>
        <v>100</v>
      </c>
      <c r="I40" s="2098"/>
      <c r="J40" s="398">
        <f>SUMIF(121:121,I40,122:122)-SUMIF(121:121,C40,122:122)+100</f>
        <v>100</v>
      </c>
      <c r="K40" s="573"/>
      <c r="L40" s="2954"/>
      <c r="M40" s="2948"/>
      <c r="N40" s="2948"/>
      <c r="O40" s="3006"/>
      <c r="P40" s="3404"/>
      <c r="Q40" s="1542" t="str">
        <f t="shared" si="14"/>
        <v>临街宽度及深度</v>
      </c>
      <c r="R40" s="718" t="s">
        <v>17</v>
      </c>
      <c r="S40" s="719">
        <f t="shared" si="10"/>
        <v>100</v>
      </c>
      <c r="T40" s="718" t="s">
        <v>17</v>
      </c>
      <c r="U40" s="719">
        <f t="shared" si="11"/>
        <v>100</v>
      </c>
      <c r="V40" s="718" t="s">
        <v>17</v>
      </c>
      <c r="W40" s="719">
        <f t="shared" si="12"/>
        <v>100</v>
      </c>
      <c r="X40" s="1545"/>
      <c r="Y40" s="3404"/>
      <c r="Z40" s="1546" t="str">
        <f t="shared" si="13"/>
        <v>临街宽度及深度</v>
      </c>
      <c r="AA40" s="1543">
        <f t="shared" si="3"/>
        <v>1</v>
      </c>
      <c r="AB40" s="1543">
        <f t="shared" si="4"/>
        <v>1</v>
      </c>
      <c r="AC40" s="1543">
        <f t="shared" si="5"/>
        <v>1</v>
      </c>
    </row>
    <row r="41" spans="1:29" s="117" customFormat="1" ht="15">
      <c r="A41" s="436"/>
      <c r="B41" s="385" t="s">
        <v>2584</v>
      </c>
      <c r="C41" s="2172"/>
      <c r="D41" s="136">
        <v>100</v>
      </c>
      <c r="E41" s="2172"/>
      <c r="F41" s="398">
        <f>SUMIF(123:123,E41,124:124)-SUMIF(123:123,C41,124:124)+100</f>
        <v>100</v>
      </c>
      <c r="G41" s="2172"/>
      <c r="H41" s="398">
        <f>SUMIF(123:123,G41,124:124)-SUMIF(123:123,C41,124:124)+100</f>
        <v>100</v>
      </c>
      <c r="I41" s="2172"/>
      <c r="J41" s="398">
        <f>SUMIF(123:123,I41,124:124)-SUMIF(123:123,C41,124:124)+100</f>
        <v>100</v>
      </c>
      <c r="K41" s="573"/>
      <c r="L41" s="2949"/>
      <c r="M41" s="2950"/>
      <c r="N41" s="2950"/>
      <c r="O41" s="3004"/>
      <c r="P41" s="3404"/>
      <c r="Q41" s="1542" t="str">
        <f t="shared" si="14"/>
        <v>宗地开发程度</v>
      </c>
      <c r="R41" s="714" t="s">
        <v>17</v>
      </c>
      <c r="S41" s="715">
        <f t="shared" si="10"/>
        <v>100</v>
      </c>
      <c r="T41" s="714" t="s">
        <v>17</v>
      </c>
      <c r="U41" s="715">
        <f t="shared" si="11"/>
        <v>100</v>
      </c>
      <c r="V41" s="714" t="s">
        <v>17</v>
      </c>
      <c r="W41" s="715">
        <f t="shared" si="12"/>
        <v>100</v>
      </c>
      <c r="X41" s="716"/>
      <c r="Y41" s="3404"/>
      <c r="Z41" s="55" t="str">
        <f t="shared" si="13"/>
        <v>宗地开发程度</v>
      </c>
      <c r="AA41" s="717">
        <f t="shared" si="3"/>
        <v>1</v>
      </c>
      <c r="AB41" s="717">
        <f t="shared" si="4"/>
        <v>1</v>
      </c>
      <c r="AC41" s="717">
        <f t="shared" si="5"/>
        <v>1</v>
      </c>
    </row>
    <row r="42" spans="1:29" ht="15">
      <c r="A42" s="435"/>
      <c r="B42" s="385" t="s">
        <v>2585</v>
      </c>
      <c r="C42" s="2098"/>
      <c r="D42" s="398">
        <v>100</v>
      </c>
      <c r="E42" s="2098"/>
      <c r="F42" s="398">
        <f>SUMIF(125:125,E42,126:126)-SUMIF(125:125,C42,126:126)+100</f>
        <v>100</v>
      </c>
      <c r="G42" s="2098"/>
      <c r="H42" s="398">
        <f>SUMIF(125:125,G42,126:126)-SUMIF(125:125,C42,126:126)+100</f>
        <v>100</v>
      </c>
      <c r="I42" s="2098"/>
      <c r="J42" s="398">
        <f>SUMIF(125:125,I42,126:126)-SUMIF(125:125,C42,126:126)+100</f>
        <v>100</v>
      </c>
      <c r="K42" s="573"/>
      <c r="L42" s="2954"/>
      <c r="M42" s="2948"/>
      <c r="N42" s="2948"/>
      <c r="O42" s="3006"/>
      <c r="P42" s="3404" t="s">
        <v>2395</v>
      </c>
      <c r="Q42" s="1542" t="str">
        <f t="shared" si="14"/>
        <v>工程地质条件</v>
      </c>
      <c r="R42" s="718" t="s">
        <v>17</v>
      </c>
      <c r="S42" s="719">
        <f t="shared" si="10"/>
        <v>100</v>
      </c>
      <c r="T42" s="718" t="s">
        <v>17</v>
      </c>
      <c r="U42" s="719">
        <f t="shared" si="11"/>
        <v>100</v>
      </c>
      <c r="V42" s="718" t="s">
        <v>17</v>
      </c>
      <c r="W42" s="719">
        <f t="shared" si="12"/>
        <v>100</v>
      </c>
      <c r="X42" s="1545"/>
      <c r="Y42" s="3404" t="s">
        <v>2395</v>
      </c>
      <c r="Z42" s="1546" t="str">
        <f t="shared" si="13"/>
        <v>工程地质条件</v>
      </c>
      <c r="AA42" s="1543">
        <f t="shared" si="3"/>
        <v>1</v>
      </c>
      <c r="AB42" s="1543">
        <f t="shared" si="4"/>
        <v>1</v>
      </c>
      <c r="AC42" s="1543">
        <f t="shared" si="5"/>
        <v>1</v>
      </c>
    </row>
    <row r="43" spans="1:29" ht="15">
      <c r="A43" s="435"/>
      <c r="B43" s="1300">
        <v>111</v>
      </c>
      <c r="C43" s="634"/>
      <c r="D43" s="398">
        <v>100</v>
      </c>
      <c r="E43" s="634"/>
      <c r="F43" s="398">
        <f>SUMIF(127:127,E43,128:128)-SUMIF(127:127,C43,128:128)+100</f>
        <v>100</v>
      </c>
      <c r="G43" s="634"/>
      <c r="H43" s="398">
        <f>SUMIF(127:127,G43,128:128)-SUMIF(127:127,C43,128:128)+100</f>
        <v>100</v>
      </c>
      <c r="I43" s="510"/>
      <c r="J43" s="398">
        <f>SUMIF(127:127,I43,128:128)-SUMIF(127:127,C43,128:128)+100</f>
        <v>100</v>
      </c>
      <c r="K43" s="574"/>
      <c r="L43" s="2954"/>
      <c r="M43" s="2948"/>
      <c r="N43" s="2948"/>
      <c r="O43" s="3006"/>
      <c r="P43" s="3404"/>
      <c r="Q43" s="1542">
        <f t="shared" si="14"/>
        <v>111</v>
      </c>
      <c r="R43" s="718" t="s">
        <v>17</v>
      </c>
      <c r="S43" s="719">
        <f t="shared" si="10"/>
        <v>100</v>
      </c>
      <c r="T43" s="718" t="s">
        <v>17</v>
      </c>
      <c r="U43" s="719">
        <f t="shared" si="11"/>
        <v>100</v>
      </c>
      <c r="V43" s="718" t="s">
        <v>17</v>
      </c>
      <c r="W43" s="719">
        <f t="shared" si="12"/>
        <v>100</v>
      </c>
      <c r="X43" s="1545"/>
      <c r="Y43" s="3404"/>
      <c r="Z43" s="1546">
        <f t="shared" si="13"/>
        <v>111</v>
      </c>
      <c r="AA43" s="1543">
        <f t="shared" si="3"/>
        <v>1</v>
      </c>
      <c r="AB43" s="1543">
        <f t="shared" si="4"/>
        <v>1</v>
      </c>
      <c r="AC43" s="1543">
        <f t="shared" si="5"/>
        <v>1</v>
      </c>
    </row>
    <row r="44" spans="1:29" ht="15">
      <c r="A44" s="435"/>
      <c r="B44" s="1300">
        <v>111</v>
      </c>
      <c r="C44" s="634"/>
      <c r="D44" s="398">
        <v>100</v>
      </c>
      <c r="E44" s="634"/>
      <c r="F44" s="398">
        <f>SUMIF(129:129,E44,130:130)-SUMIF(129:129,C44,130:130)+100</f>
        <v>100</v>
      </c>
      <c r="G44" s="634"/>
      <c r="H44" s="398">
        <f>SUMIF(129:129,G44,130:130)-SUMIF(129:129,C44,130:130)+100</f>
        <v>100</v>
      </c>
      <c r="I44" s="510"/>
      <c r="J44" s="398">
        <f>SUMIF(129:129,I44,130:130)-SUMIF(129:129,C44,130:130)+100</f>
        <v>100</v>
      </c>
      <c r="K44" s="574"/>
      <c r="L44" s="2954"/>
      <c r="M44" s="2948"/>
      <c r="N44" s="2948"/>
      <c r="O44" s="3006"/>
      <c r="P44" s="3404"/>
      <c r="Q44" s="1542">
        <f t="shared" si="14"/>
        <v>111</v>
      </c>
      <c r="R44" s="718" t="s">
        <v>17</v>
      </c>
      <c r="S44" s="719">
        <f t="shared" si="10"/>
        <v>100</v>
      </c>
      <c r="T44" s="718" t="s">
        <v>17</v>
      </c>
      <c r="U44" s="719">
        <f t="shared" si="11"/>
        <v>100</v>
      </c>
      <c r="V44" s="718" t="s">
        <v>17</v>
      </c>
      <c r="W44" s="719">
        <f t="shared" si="12"/>
        <v>100</v>
      </c>
      <c r="X44" s="1545"/>
      <c r="Y44" s="3404"/>
      <c r="Z44" s="1546">
        <f t="shared" si="13"/>
        <v>111</v>
      </c>
      <c r="AA44" s="1543">
        <f t="shared" si="3"/>
        <v>1</v>
      </c>
      <c r="AB44" s="1543">
        <f t="shared" si="4"/>
        <v>1</v>
      </c>
      <c r="AC44" s="1543">
        <f t="shared" si="5"/>
        <v>1</v>
      </c>
    </row>
    <row r="45" spans="1:29" s="434" customFormat="1" ht="15.6" thickBot="1">
      <c r="A45" s="431"/>
      <c r="B45" s="1300">
        <v>111</v>
      </c>
      <c r="C45" s="2173"/>
      <c r="D45" s="640">
        <v>100</v>
      </c>
      <c r="E45" s="634"/>
      <c r="F45" s="401">
        <f>SUMIF(131:131,E45,132:132)-SUMIF(131:131,C45,132:132)+100</f>
        <v>100</v>
      </c>
      <c r="G45" s="634"/>
      <c r="H45" s="401">
        <f>SUMIF(131:131,G45,132:132)-SUMIF(131:131,C45,132:132)+100</f>
        <v>100</v>
      </c>
      <c r="I45" s="634"/>
      <c r="J45" s="401">
        <f>SUMIF(131:131,I45,132:132)-SUMIF(131:131,C45,132:132)+100</f>
        <v>100</v>
      </c>
      <c r="K45" s="641"/>
      <c r="L45" s="2953"/>
      <c r="M45" s="2955"/>
      <c r="N45" s="2955"/>
      <c r="O45" s="3007"/>
      <c r="P45" s="3404"/>
      <c r="Q45" s="1542">
        <f t="shared" si="14"/>
        <v>111</v>
      </c>
      <c r="R45" s="721" t="s">
        <v>17</v>
      </c>
      <c r="S45" s="722">
        <f t="shared" si="10"/>
        <v>100</v>
      </c>
      <c r="T45" s="721" t="s">
        <v>17</v>
      </c>
      <c r="U45" s="722">
        <f t="shared" si="11"/>
        <v>100</v>
      </c>
      <c r="V45" s="721" t="s">
        <v>17</v>
      </c>
      <c r="W45" s="722">
        <f t="shared" si="12"/>
        <v>100</v>
      </c>
      <c r="X45" s="723"/>
      <c r="Y45" s="3404"/>
      <c r="Z45" s="724">
        <f t="shared" si="13"/>
        <v>111</v>
      </c>
      <c r="AA45" s="1543">
        <f t="shared" si="3"/>
        <v>1</v>
      </c>
      <c r="AB45" s="1543">
        <f t="shared" si="4"/>
        <v>1</v>
      </c>
      <c r="AC45" s="1543">
        <f t="shared" si="5"/>
        <v>1</v>
      </c>
    </row>
    <row r="46" spans="1:29" ht="14.4">
      <c r="A46" s="442" t="s">
        <v>2550</v>
      </c>
      <c r="B46" s="2174" t="s">
        <v>2586</v>
      </c>
      <c r="C46" s="642" t="s">
        <v>1</v>
      </c>
      <c r="D46" s="444"/>
      <c r="E46" s="445"/>
      <c r="F46" s="446"/>
      <c r="G46" s="447"/>
      <c r="H46" s="448"/>
      <c r="I46" s="445"/>
      <c r="J46" s="448"/>
      <c r="K46" s="727"/>
      <c r="L46" s="2956"/>
      <c r="M46" s="2957"/>
      <c r="N46" s="2948"/>
      <c r="O46" s="2957"/>
      <c r="P46" s="3397" t="str">
        <f>A46</f>
        <v>成交单价</v>
      </c>
      <c r="Q46" s="3397"/>
      <c r="R46" s="3392">
        <f>E46</f>
        <v>0</v>
      </c>
      <c r="S46" s="3392"/>
      <c r="T46" s="3392">
        <f>G46</f>
        <v>0</v>
      </c>
      <c r="U46" s="3392"/>
      <c r="V46" s="3392">
        <f>I46</f>
        <v>0</v>
      </c>
      <c r="W46" s="3392"/>
      <c r="X46" s="703"/>
      <c r="Y46" s="725"/>
      <c r="Z46" s="703"/>
      <c r="AA46" s="703"/>
      <c r="AB46" s="703"/>
      <c r="AC46" s="703"/>
    </row>
    <row r="47" spans="1:29" ht="15" thickBot="1">
      <c r="A47" s="449" t="s">
        <v>2499</v>
      </c>
      <c r="B47" s="643"/>
      <c r="C47" s="452" t="e">
        <f>R48</f>
        <v>#DIV/0!</v>
      </c>
      <c r="D47" s="2544" t="s">
        <v>2891</v>
      </c>
      <c r="E47" s="452" t="e">
        <f>R47</f>
        <v>#DIV/0!</v>
      </c>
      <c r="F47" s="2545"/>
      <c r="G47" s="451" t="e">
        <f>T47</f>
        <v>#DIV/0!</v>
      </c>
      <c r="H47" s="2545"/>
      <c r="I47" s="452" t="e">
        <f>V47</f>
        <v>#DIV/0!</v>
      </c>
      <c r="J47" s="2545"/>
      <c r="K47" s="2547">
        <f>F47+H47+J47</f>
        <v>0</v>
      </c>
      <c r="L47" s="2956"/>
      <c r="M47" s="2957"/>
      <c r="N47" s="2957"/>
      <c r="O47" s="2957"/>
      <c r="P47" s="3397" t="str">
        <f>A47</f>
        <v>比较价值（元/平方米）</v>
      </c>
      <c r="Q47" s="3397"/>
      <c r="R47" s="3425" t="e">
        <f>ROUND(PRODUCT(R46,AA7:AA45),0)</f>
        <v>#DIV/0!</v>
      </c>
      <c r="S47" s="3425"/>
      <c r="T47" s="3425" t="e">
        <f>ROUND(PRODUCT(T46,AB7:AB45),0)</f>
        <v>#DIV/0!</v>
      </c>
      <c r="U47" s="3425"/>
      <c r="V47" s="3425" t="e">
        <f>ROUND(PRODUCT(V46,AC7:AC45),0)</f>
        <v>#DIV/0!</v>
      </c>
      <c r="W47" s="3425"/>
      <c r="X47" s="703"/>
      <c r="Y47" s="703"/>
      <c r="Z47" s="703"/>
      <c r="AA47" s="703"/>
      <c r="AB47" s="703"/>
      <c r="AC47" s="703"/>
    </row>
    <row r="48" spans="1:29" ht="15" thickBot="1">
      <c r="A48" s="453" t="s">
        <v>2587</v>
      </c>
      <c r="B48" s="454"/>
      <c r="C48" s="455" t="e">
        <f>R48</f>
        <v>#DIV/0!</v>
      </c>
      <c r="D48" s="455"/>
      <c r="E48" s="455"/>
      <c r="F48" s="455"/>
      <c r="G48" s="455"/>
      <c r="H48" s="455"/>
      <c r="I48" s="455"/>
      <c r="J48" s="455"/>
      <c r="K48" s="728"/>
      <c r="L48" s="2956"/>
      <c r="M48" s="2957"/>
      <c r="N48" s="2957"/>
      <c r="O48" s="2957"/>
      <c r="P48" s="3394" t="str">
        <f>A48</f>
        <v>估价对象XX用房的比较价值（楼面单价，元/平方米）</v>
      </c>
      <c r="Q48" s="3395"/>
      <c r="R48" s="3426" t="e">
        <f>ROUND(IF(D47="简单平均",AVERAGE(R47:W47),R47*F47+T47*H47+V47*J47),0)</f>
        <v>#DIV/0!</v>
      </c>
      <c r="S48" s="3426"/>
      <c r="T48" s="3426"/>
      <c r="U48" s="3426"/>
      <c r="V48" s="3426"/>
      <c r="W48" s="3426"/>
      <c r="X48" s="703"/>
      <c r="Y48" s="703"/>
      <c r="Z48" s="703"/>
      <c r="AA48" s="703"/>
      <c r="AB48" s="703"/>
      <c r="AC48" s="703"/>
    </row>
    <row r="49" spans="1:29">
      <c r="A49" s="2957"/>
      <c r="B49" s="2957"/>
      <c r="C49" s="2957"/>
      <c r="D49" s="2957"/>
      <c r="E49" s="2957"/>
      <c r="F49" s="2957"/>
      <c r="G49" s="2961"/>
      <c r="H49" s="2957"/>
      <c r="I49" s="2957"/>
      <c r="J49" s="2957"/>
      <c r="K49" s="2962"/>
      <c r="L49" s="2958"/>
      <c r="M49" s="2957"/>
      <c r="N49" s="2957"/>
      <c r="O49" s="2957"/>
      <c r="P49" s="2957"/>
      <c r="Q49" s="2957"/>
      <c r="R49" s="2957"/>
      <c r="S49" s="2957"/>
      <c r="T49" s="2957"/>
      <c r="U49" s="2957"/>
      <c r="V49" s="2957"/>
      <c r="W49" s="2957"/>
      <c r="X49" s="2957"/>
      <c r="Y49" s="2957"/>
      <c r="Z49" s="2957"/>
      <c r="AA49" s="2957"/>
      <c r="AB49" s="2957"/>
      <c r="AC49" s="2957"/>
    </row>
    <row r="50" spans="1:29">
      <c r="A50" s="2957"/>
      <c r="B50" s="2957"/>
      <c r="C50" s="2957"/>
      <c r="D50" s="2957"/>
      <c r="E50" s="2957"/>
      <c r="F50" s="2957"/>
      <c r="G50" s="2957"/>
      <c r="H50" s="2957"/>
      <c r="I50" s="2957"/>
      <c r="J50" s="2957"/>
      <c r="K50" s="2962"/>
      <c r="L50" s="2958"/>
      <c r="M50" s="2957"/>
      <c r="N50" s="2957"/>
      <c r="O50" s="2957"/>
      <c r="P50" s="2957"/>
      <c r="Q50" s="2957"/>
      <c r="R50" s="2957"/>
      <c r="S50" s="2957"/>
      <c r="T50" s="2957"/>
      <c r="U50" s="2957"/>
      <c r="V50" s="2957"/>
      <c r="W50" s="2957"/>
      <c r="X50" s="2957"/>
      <c r="Y50" s="2957"/>
      <c r="Z50" s="2957"/>
      <c r="AA50" s="2957"/>
      <c r="AB50" s="2957"/>
      <c r="AC50" s="2957"/>
    </row>
    <row r="51" spans="1:29" ht="13.5" customHeight="1">
      <c r="A51" s="2957"/>
      <c r="B51" s="2957"/>
      <c r="C51" s="458" t="s">
        <v>2501</v>
      </c>
      <c r="D51" s="459"/>
      <c r="E51" s="460" t="e">
        <f>IF(E46&lt;E47,E47/E46-1,E46/E47-1)</f>
        <v>#DIV/0!</v>
      </c>
      <c r="F51" s="461" t="e">
        <f>IF(OR(E51&gt;=0.3,E51&lt;=-0.3),"超过30%","")</f>
        <v>#DIV/0!</v>
      </c>
      <c r="G51" s="460" t="e">
        <f>IF(G46&lt;G47,G47/G46-1,G46/G47-1)</f>
        <v>#DIV/0!</v>
      </c>
      <c r="H51" s="461" t="e">
        <f>IF(OR(G51&gt;=0.3,G51&lt;=-0.3),"超过30%","")</f>
        <v>#DIV/0!</v>
      </c>
      <c r="I51" s="460" t="e">
        <f>IF(I46&lt;I47,I47/I46-1,I46/I47-1)</f>
        <v>#DIV/0!</v>
      </c>
      <c r="J51" s="461" t="e">
        <f>IF(OR(I51&gt;=0.3,I51&lt;=-0.3),"超过30%","")</f>
        <v>#DIV/0!</v>
      </c>
      <c r="K51" s="2962"/>
      <c r="L51" s="2958"/>
      <c r="M51" s="2957"/>
      <c r="N51" s="2957"/>
      <c r="O51" s="2957"/>
      <c r="P51" s="2957"/>
      <c r="Q51" s="2957"/>
      <c r="R51" s="2957"/>
      <c r="S51" s="2957"/>
      <c r="T51" s="2957"/>
      <c r="U51" s="2957"/>
      <c r="V51" s="2957"/>
      <c r="W51" s="2957"/>
      <c r="X51" s="2957"/>
      <c r="Y51" s="2957"/>
      <c r="Z51" s="2957"/>
      <c r="AA51" s="2957"/>
      <c r="AB51" s="2957"/>
      <c r="AC51" s="2957"/>
    </row>
    <row r="52" spans="1:29" ht="13.5" customHeight="1">
      <c r="A52" s="2957"/>
      <c r="B52" s="2957"/>
      <c r="C52" s="458" t="s">
        <v>2502</v>
      </c>
      <c r="D52" s="462"/>
      <c r="E52" s="460" t="e">
        <f>IF(E47&lt;G47,G47/E47-1,E47/G47-1)</f>
        <v>#DIV/0!</v>
      </c>
      <c r="F52" s="461" t="e">
        <f>IF(OR(E52&gt;=0.2,E52&lt;=-0.2),"超过20%","")</f>
        <v>#DIV/0!</v>
      </c>
      <c r="G52" s="460" t="e">
        <f>IF(G47&lt;I47,I47/G47-1,G47/I47-1)</f>
        <v>#DIV/0!</v>
      </c>
      <c r="H52" s="461" t="e">
        <f>IF(OR(G52&gt;=0.2,G52&lt;=-0.2),"超过20%","")</f>
        <v>#DIV/0!</v>
      </c>
      <c r="I52" s="460" t="e">
        <f>IF(I47&lt;E47,E47/I47-1,I47/E47-1)</f>
        <v>#DIV/0!</v>
      </c>
      <c r="J52" s="461" t="e">
        <f>IF(OR(I52&gt;=0.2,I52&lt;=-0.2),"超过20%","")</f>
        <v>#DIV/0!</v>
      </c>
      <c r="K52" s="2962"/>
      <c r="L52" s="2958"/>
      <c r="M52" s="2957"/>
      <c r="N52" s="2957"/>
      <c r="O52" s="2957"/>
      <c r="P52" s="2957"/>
      <c r="Q52" s="2957"/>
      <c r="R52" s="2957"/>
      <c r="S52" s="2957"/>
      <c r="T52" s="2957"/>
      <c r="U52" s="2957"/>
      <c r="V52" s="2957"/>
      <c r="W52" s="2957"/>
      <c r="X52" s="2957"/>
      <c r="Y52" s="2957"/>
      <c r="Z52" s="2957"/>
      <c r="AA52" s="2957"/>
      <c r="AB52" s="2957"/>
      <c r="AC52" s="2957"/>
    </row>
    <row r="53" spans="1:29" s="463" customFormat="1" ht="13.5" customHeight="1">
      <c r="A53" s="2960"/>
      <c r="B53" s="2960"/>
      <c r="C53" s="458" t="s">
        <v>2503</v>
      </c>
      <c r="D53" s="462"/>
      <c r="E53" s="460" t="e">
        <f>IF(E46&lt;G46,G46/E46-1,E46/G46-1)</f>
        <v>#DIV/0!</v>
      </c>
      <c r="F53" s="461" t="e">
        <f>IF(OR(E53&gt;=0.3,E53&lt;=-0.3),"超过30%","")</f>
        <v>#DIV/0!</v>
      </c>
      <c r="G53" s="460" t="e">
        <f>IF(G46&lt;I46,I46/G46-1,G46/I46-1)</f>
        <v>#DIV/0!</v>
      </c>
      <c r="H53" s="461" t="e">
        <f>IF(OR(G53&gt;=0.3,G53&lt;=-0.3),"超过30%","")</f>
        <v>#DIV/0!</v>
      </c>
      <c r="I53" s="460" t="e">
        <f>IF(I46&lt;E46,E46/I46-1,I46/E46-1)</f>
        <v>#DIV/0!</v>
      </c>
      <c r="J53" s="461" t="e">
        <f>IF(OR(I53&gt;=0.3,I53&lt;=-0.3),"超过30%","")</f>
        <v>#DIV/0!</v>
      </c>
      <c r="K53" s="2965"/>
      <c r="L53" s="2959"/>
      <c r="M53" s="2960"/>
      <c r="N53" s="2960"/>
      <c r="O53" s="2960"/>
      <c r="P53" s="2960"/>
      <c r="Q53" s="2960"/>
      <c r="R53" s="2960"/>
      <c r="S53" s="2960"/>
      <c r="T53" s="2960"/>
      <c r="U53" s="2960"/>
      <c r="V53" s="2960"/>
      <c r="W53" s="2960"/>
      <c r="X53" s="2960"/>
      <c r="Y53" s="2960"/>
      <c r="Z53" s="2960"/>
      <c r="AA53" s="2960"/>
      <c r="AB53" s="2960"/>
      <c r="AC53" s="2960"/>
    </row>
    <row r="54" spans="1:29" s="463" customFormat="1" ht="14.4" thickBot="1">
      <c r="A54" s="2960"/>
      <c r="B54" s="2963"/>
      <c r="C54" s="706"/>
      <c r="D54" s="704"/>
      <c r="E54" s="704"/>
      <c r="F54" s="704"/>
      <c r="G54" s="704"/>
      <c r="H54" s="704"/>
      <c r="I54" s="704"/>
      <c r="J54" s="704"/>
      <c r="K54" s="2965"/>
      <c r="L54" s="2959"/>
      <c r="M54" s="2960"/>
      <c r="N54" s="2960"/>
      <c r="O54" s="2960"/>
      <c r="P54" s="2960"/>
      <c r="Q54" s="2960"/>
      <c r="R54" s="2960"/>
      <c r="S54" s="2960"/>
      <c r="T54" s="2960"/>
      <c r="U54" s="2960"/>
      <c r="V54" s="2960"/>
      <c r="W54" s="2960"/>
      <c r="X54" s="2960"/>
      <c r="Y54" s="2960"/>
      <c r="Z54" s="2960"/>
      <c r="AA54" s="2960"/>
      <c r="AB54" s="2960"/>
      <c r="AC54" s="2960"/>
    </row>
    <row r="55" spans="1:29" ht="27" customHeight="1">
      <c r="A55" s="644" t="s">
        <v>2588</v>
      </c>
      <c r="B55" s="645" t="s">
        <v>2589</v>
      </c>
      <c r="C55" s="2175" t="s">
        <v>2590</v>
      </c>
      <c r="D55" s="2176" t="s">
        <v>2591</v>
      </c>
      <c r="E55" s="646" t="s">
        <v>2592</v>
      </c>
      <c r="F55" s="1025" t="s">
        <v>2593</v>
      </c>
      <c r="G55" s="3380" t="s">
        <v>2594</v>
      </c>
      <c r="H55" s="3427"/>
      <c r="I55" s="144" t="s">
        <v>2595</v>
      </c>
      <c r="J55" s="2177">
        <f>项目基本情况!F35</f>
        <v>0</v>
      </c>
      <c r="K55" s="2178" t="s">
        <v>2596</v>
      </c>
      <c r="L55" s="2958"/>
      <c r="M55" s="2957"/>
      <c r="N55" s="2957"/>
      <c r="O55" s="2957"/>
      <c r="P55" s="2957"/>
      <c r="Q55" s="2957"/>
      <c r="R55" s="2957"/>
      <c r="S55" s="2957"/>
      <c r="T55" s="2957"/>
      <c r="U55" s="2957"/>
      <c r="V55" s="2957"/>
      <c r="W55" s="2957"/>
      <c r="X55" s="2957"/>
      <c r="Y55" s="2957"/>
      <c r="Z55" s="2957"/>
      <c r="AA55" s="2957"/>
      <c r="AB55" s="2957"/>
      <c r="AC55" s="2957"/>
    </row>
    <row r="56" spans="1:29" s="652" customFormat="1">
      <c r="A56" s="648" t="s">
        <v>2597</v>
      </c>
      <c r="B56" s="649" t="e">
        <f>C48</f>
        <v>#DIV/0!</v>
      </c>
      <c r="C56" s="650">
        <v>1</v>
      </c>
      <c r="D56" s="1079">
        <v>1</v>
      </c>
      <c r="E56" s="650">
        <f>'数据-汇总表'!E8+'数据-汇总表'!E9</f>
        <v>8640.14</v>
      </c>
      <c r="F56" s="1021" t="e">
        <f t="shared" ref="F56:F65" si="15">ROUND(B56*E56/10000,0)</f>
        <v>#DIV/0!</v>
      </c>
      <c r="G56" s="3379"/>
      <c r="H56" s="3397"/>
      <c r="I56" s="1026">
        <v>1</v>
      </c>
      <c r="J56" s="1029">
        <v>1</v>
      </c>
      <c r="K56" s="2960"/>
      <c r="L56" s="3014"/>
      <c r="M56" s="3014"/>
      <c r="N56" s="3014"/>
      <c r="O56" s="3014"/>
      <c r="P56" s="3014"/>
      <c r="Q56" s="3014"/>
      <c r="R56" s="3014"/>
      <c r="S56" s="3014"/>
      <c r="T56" s="3014"/>
      <c r="U56" s="3014"/>
      <c r="V56" s="3014"/>
      <c r="W56" s="3014"/>
      <c r="X56" s="3014"/>
      <c r="Y56" s="3014"/>
      <c r="Z56" s="3014"/>
      <c r="AA56" s="3014"/>
      <c r="AB56" s="3014"/>
      <c r="AC56" s="3014"/>
    </row>
    <row r="57" spans="1:29" s="652" customFormat="1">
      <c r="A57" s="653" t="s">
        <v>2598</v>
      </c>
      <c r="B57" s="228" t="e">
        <f>ROUND($C$48*C57*D57,0)</f>
        <v>#DIV/0!</v>
      </c>
      <c r="C57" s="180">
        <f t="shared" ref="C57:C65" si="16">IF($C$55="北京市系数",I57,J57)</f>
        <v>0</v>
      </c>
      <c r="D57" s="1080">
        <v>0.25</v>
      </c>
      <c r="E57" s="654"/>
      <c r="F57" s="1021" t="e">
        <f t="shared" si="15"/>
        <v>#DIV/0!</v>
      </c>
      <c r="G57" s="3428" t="s">
        <v>2599</v>
      </c>
      <c r="H57" s="1022">
        <f>项目基本情况!B37</f>
        <v>0</v>
      </c>
      <c r="I57" s="1026">
        <f>SUMIF(修正!A45:A56,H57,修正!B45:B56)</f>
        <v>0</v>
      </c>
      <c r="J57" s="1030"/>
      <c r="K57" s="2957"/>
      <c r="L57" s="3014"/>
      <c r="M57" s="3014"/>
      <c r="N57" s="3014"/>
      <c r="O57" s="3014"/>
      <c r="P57" s="3014"/>
      <c r="Q57" s="3014"/>
      <c r="R57" s="3014"/>
      <c r="S57" s="3014"/>
      <c r="T57" s="3014"/>
      <c r="U57" s="3014"/>
      <c r="V57" s="3014"/>
      <c r="W57" s="3014"/>
      <c r="X57" s="3014"/>
      <c r="Y57" s="3014"/>
      <c r="Z57" s="3014"/>
      <c r="AA57" s="3014"/>
      <c r="AB57" s="3014"/>
      <c r="AC57" s="3014"/>
    </row>
    <row r="58" spans="1:29" s="652" customFormat="1">
      <c r="A58" s="653" t="s">
        <v>2600</v>
      </c>
      <c r="B58" s="228" t="e">
        <f t="shared" ref="B58:B65" si="17">ROUND($C$48*C58*D58,0)</f>
        <v>#DIV/0!</v>
      </c>
      <c r="C58" s="180">
        <f t="shared" si="16"/>
        <v>0</v>
      </c>
      <c r="D58" s="1080">
        <v>0.25</v>
      </c>
      <c r="E58" s="654"/>
      <c r="F58" s="1021" t="e">
        <f t="shared" si="15"/>
        <v>#DIV/0!</v>
      </c>
      <c r="G58" s="3428"/>
      <c r="H58" s="1022">
        <f>项目基本情况!B37</f>
        <v>0</v>
      </c>
      <c r="I58" s="1026">
        <f>SUMIF(修正!A45:A56,H58,修正!C45:C56)</f>
        <v>0</v>
      </c>
      <c r="J58" s="1030"/>
      <c r="K58" s="2960"/>
      <c r="L58" s="3014"/>
      <c r="M58" s="3014"/>
      <c r="N58" s="3014"/>
      <c r="O58" s="3014"/>
      <c r="P58" s="3014"/>
      <c r="Q58" s="3014"/>
      <c r="R58" s="3014"/>
      <c r="S58" s="3014"/>
      <c r="T58" s="3014"/>
      <c r="U58" s="3014"/>
      <c r="V58" s="3014"/>
      <c r="W58" s="3014"/>
      <c r="X58" s="3014"/>
      <c r="Y58" s="3014"/>
      <c r="Z58" s="3014"/>
      <c r="AA58" s="3014"/>
      <c r="AB58" s="3014"/>
      <c r="AC58" s="3014"/>
    </row>
    <row r="59" spans="1:29" s="652" customFormat="1">
      <c r="A59" s="653" t="s">
        <v>2601</v>
      </c>
      <c r="B59" s="228" t="e">
        <f t="shared" si="17"/>
        <v>#DIV/0!</v>
      </c>
      <c r="C59" s="180">
        <f t="shared" si="16"/>
        <v>0</v>
      </c>
      <c r="D59" s="1080">
        <v>0.25</v>
      </c>
      <c r="E59" s="654"/>
      <c r="F59" s="1021" t="e">
        <f t="shared" si="15"/>
        <v>#DIV/0!</v>
      </c>
      <c r="G59" s="3428"/>
      <c r="H59" s="1022">
        <f>项目基本情况!B37</f>
        <v>0</v>
      </c>
      <c r="I59" s="1026">
        <f>SUMIF(修正!A45:A56,H59,修正!D45:D56)</f>
        <v>0</v>
      </c>
      <c r="J59" s="1030"/>
      <c r="K59" s="2957"/>
      <c r="L59" s="3014"/>
      <c r="M59" s="3014"/>
      <c r="N59" s="3014"/>
      <c r="O59" s="3014"/>
      <c r="P59" s="3014"/>
      <c r="Q59" s="3014"/>
      <c r="R59" s="3014"/>
      <c r="S59" s="3014"/>
      <c r="T59" s="3014"/>
      <c r="U59" s="3014"/>
      <c r="V59" s="3014"/>
      <c r="W59" s="3014"/>
      <c r="X59" s="3014"/>
      <c r="Y59" s="3014"/>
      <c r="Z59" s="3014"/>
      <c r="AA59" s="3014"/>
      <c r="AB59" s="3014"/>
      <c r="AC59" s="3014"/>
    </row>
    <row r="60" spans="1:29" s="652" customFormat="1">
      <c r="A60" s="653" t="s">
        <v>2602</v>
      </c>
      <c r="B60" s="228" t="e">
        <f t="shared" si="17"/>
        <v>#DIV/0!</v>
      </c>
      <c r="C60" s="180">
        <f t="shared" si="16"/>
        <v>0</v>
      </c>
      <c r="D60" s="1080">
        <v>0.25</v>
      </c>
      <c r="E60" s="654"/>
      <c r="F60" s="1021" t="e">
        <f t="shared" si="15"/>
        <v>#DIV/0!</v>
      </c>
      <c r="G60" s="3428"/>
      <c r="H60" s="1022">
        <f>项目基本情况!B37</f>
        <v>0</v>
      </c>
      <c r="I60" s="1026">
        <f>SUMIF(修正!A45:A56,H60,修正!E45:E56)</f>
        <v>0</v>
      </c>
      <c r="J60" s="1030"/>
      <c r="K60" s="2960"/>
      <c r="L60" s="3014"/>
      <c r="M60" s="3014"/>
      <c r="N60" s="3014"/>
      <c r="O60" s="3014"/>
      <c r="P60" s="3014"/>
      <c r="Q60" s="3014"/>
      <c r="R60" s="3014"/>
      <c r="S60" s="3014"/>
      <c r="T60" s="3014"/>
      <c r="U60" s="3014"/>
      <c r="V60" s="3014"/>
      <c r="W60" s="3014"/>
      <c r="X60" s="3014"/>
      <c r="Y60" s="3014"/>
      <c r="Z60" s="3014"/>
      <c r="AA60" s="3014"/>
      <c r="AB60" s="3014"/>
      <c r="AC60" s="3014"/>
    </row>
    <row r="61" spans="1:29" s="652" customFormat="1">
      <c r="A61" s="653" t="s">
        <v>2603</v>
      </c>
      <c r="B61" s="228" t="e">
        <f t="shared" si="17"/>
        <v>#DIV/0!</v>
      </c>
      <c r="C61" s="180">
        <f t="shared" si="16"/>
        <v>0</v>
      </c>
      <c r="D61" s="1080">
        <v>0.25</v>
      </c>
      <c r="E61" s="227">
        <f>'数据-汇总表'!E11</f>
        <v>0</v>
      </c>
      <c r="F61" s="1021" t="e">
        <f t="shared" si="15"/>
        <v>#DIV/0!</v>
      </c>
      <c r="G61" s="2179" t="s">
        <v>2604</v>
      </c>
      <c r="H61" s="1022">
        <f>项目基本情况!C37</f>
        <v>0</v>
      </c>
      <c r="I61" s="1026">
        <f>SUMIF(修正!A45:A56,H61,修正!F45:F56)</f>
        <v>0</v>
      </c>
      <c r="J61" s="1030"/>
      <c r="K61" s="2957"/>
      <c r="L61" s="3014"/>
      <c r="M61" s="3014"/>
      <c r="N61" s="3014"/>
      <c r="O61" s="3014"/>
      <c r="P61" s="3014"/>
      <c r="Q61" s="3014"/>
      <c r="R61" s="3014"/>
      <c r="S61" s="3014"/>
      <c r="T61" s="3014"/>
      <c r="U61" s="3014"/>
      <c r="V61" s="3014"/>
      <c r="W61" s="3014"/>
      <c r="X61" s="3014"/>
      <c r="Y61" s="3014"/>
      <c r="Z61" s="3014"/>
      <c r="AA61" s="3014"/>
      <c r="AB61" s="3014"/>
      <c r="AC61" s="3014"/>
    </row>
    <row r="62" spans="1:29" s="652" customFormat="1">
      <c r="A62" s="653" t="s">
        <v>2605</v>
      </c>
      <c r="B62" s="228" t="e">
        <f t="shared" si="17"/>
        <v>#DIV/0!</v>
      </c>
      <c r="C62" s="180">
        <f t="shared" si="16"/>
        <v>0</v>
      </c>
      <c r="D62" s="1080">
        <v>0.25</v>
      </c>
      <c r="E62" s="227">
        <f>'数据-汇总表'!E12</f>
        <v>0</v>
      </c>
      <c r="F62" s="1021" t="e">
        <f t="shared" si="15"/>
        <v>#DIV/0!</v>
      </c>
      <c r="G62" s="1027" t="s">
        <v>2606</v>
      </c>
      <c r="H62" s="1022">
        <f>IF(G62="商业",项目基本情况!B37,IF(G62="办公",项目基本情况!C37,IF(G62="住宅",项目基本情况!D37,项目基本情况!E37)))</f>
        <v>0</v>
      </c>
      <c r="I62" s="1026">
        <f>SUMIF(修正!A45:A56,H62,修正!G45:G56)</f>
        <v>0</v>
      </c>
      <c r="J62" s="1030"/>
      <c r="K62" s="2960"/>
      <c r="L62" s="3014"/>
      <c r="M62" s="3014"/>
      <c r="N62" s="3014"/>
      <c r="O62" s="3014"/>
      <c r="P62" s="3014"/>
      <c r="Q62" s="3014"/>
      <c r="R62" s="3014"/>
      <c r="S62" s="3014"/>
      <c r="T62" s="3014"/>
      <c r="U62" s="3014"/>
      <c r="V62" s="3014"/>
      <c r="W62" s="3014"/>
      <c r="X62" s="3014"/>
      <c r="Y62" s="3014"/>
      <c r="Z62" s="3014"/>
      <c r="AA62" s="3014"/>
      <c r="AB62" s="3014"/>
      <c r="AC62" s="3014"/>
    </row>
    <row r="63" spans="1:29" s="652" customFormat="1">
      <c r="A63" s="653" t="s">
        <v>2607</v>
      </c>
      <c r="B63" s="228" t="e">
        <f t="shared" si="17"/>
        <v>#DIV/0!</v>
      </c>
      <c r="C63" s="180">
        <f t="shared" si="16"/>
        <v>0</v>
      </c>
      <c r="D63" s="1080">
        <v>0.25</v>
      </c>
      <c r="E63" s="227">
        <f>'数据-汇总表'!E13</f>
        <v>0</v>
      </c>
      <c r="F63" s="1021" t="e">
        <f t="shared" si="15"/>
        <v>#DIV/0!</v>
      </c>
      <c r="G63" s="1027" t="s">
        <v>2608</v>
      </c>
      <c r="H63" s="1022">
        <f>IF(G63="商业",项目基本情况!B37,IF(G63="办公",项目基本情况!C37,IF(G63="住宅",项目基本情况!D37,项目基本情况!E37)))</f>
        <v>0</v>
      </c>
      <c r="I63" s="1026">
        <f>SUMIF(修正!A45:A56,H63,修正!H45:H56)</f>
        <v>0</v>
      </c>
      <c r="J63" s="1030"/>
      <c r="K63" s="2957"/>
      <c r="L63" s="3014"/>
      <c r="M63" s="3014"/>
      <c r="N63" s="3014"/>
      <c r="O63" s="3014"/>
      <c r="P63" s="3014"/>
      <c r="Q63" s="3014"/>
      <c r="R63" s="3014"/>
      <c r="S63" s="3014"/>
      <c r="T63" s="3014"/>
      <c r="U63" s="3014"/>
      <c r="V63" s="3014"/>
      <c r="W63" s="3014"/>
      <c r="X63" s="3014"/>
      <c r="Y63" s="3014"/>
      <c r="Z63" s="3014"/>
      <c r="AA63" s="3014"/>
      <c r="AB63" s="3014"/>
      <c r="AC63" s="3014"/>
    </row>
    <row r="64" spans="1:29" s="652" customFormat="1">
      <c r="A64" s="653" t="s">
        <v>2609</v>
      </c>
      <c r="B64" s="228" t="e">
        <f t="shared" si="17"/>
        <v>#DIV/0!</v>
      </c>
      <c r="C64" s="180">
        <f t="shared" si="16"/>
        <v>0</v>
      </c>
      <c r="D64" s="1080">
        <v>0.25</v>
      </c>
      <c r="E64" s="227">
        <f>'数据-汇总表'!E14</f>
        <v>0</v>
      </c>
      <c r="F64" s="1021" t="e">
        <f t="shared" si="15"/>
        <v>#DIV/0!</v>
      </c>
      <c r="G64" s="2179" t="s">
        <v>2599</v>
      </c>
      <c r="H64" s="1022">
        <f>项目基本情况!B37</f>
        <v>0</v>
      </c>
      <c r="I64" s="1026">
        <f>SUMIF(修正!A45:A56,H64,修正!H45:H56)</f>
        <v>0</v>
      </c>
      <c r="J64" s="1030"/>
      <c r="K64" s="2960"/>
      <c r="L64" s="3014"/>
      <c r="M64" s="3014"/>
      <c r="N64" s="3014"/>
      <c r="O64" s="3014"/>
      <c r="P64" s="3014"/>
      <c r="Q64" s="3014"/>
      <c r="R64" s="3014"/>
      <c r="S64" s="3014"/>
      <c r="T64" s="3014"/>
      <c r="U64" s="3014"/>
      <c r="V64" s="3014"/>
      <c r="W64" s="3014"/>
      <c r="X64" s="3014"/>
      <c r="Y64" s="3014"/>
      <c r="Z64" s="3014"/>
      <c r="AA64" s="3014"/>
      <c r="AB64" s="3014"/>
      <c r="AC64" s="3014"/>
    </row>
    <row r="65" spans="1:29" s="652" customFormat="1" ht="14.4" thickBot="1">
      <c r="A65" s="653" t="s">
        <v>2610</v>
      </c>
      <c r="B65" s="228" t="e">
        <f t="shared" si="17"/>
        <v>#DIV/0!</v>
      </c>
      <c r="C65" s="180">
        <f t="shared" si="16"/>
        <v>0</v>
      </c>
      <c r="D65" s="1080">
        <v>0.25</v>
      </c>
      <c r="E65" s="227">
        <f>'数据-汇总表'!E15</f>
        <v>0</v>
      </c>
      <c r="F65" s="1021" t="e">
        <f t="shared" si="15"/>
        <v>#DIV/0!</v>
      </c>
      <c r="G65" s="2180" t="s">
        <v>2604</v>
      </c>
      <c r="H65" s="1032">
        <f>项目基本情况!C37</f>
        <v>0</v>
      </c>
      <c r="I65" s="1028">
        <f>SUMIF(修正!A45:A56,H65,修正!H45:H56)</f>
        <v>0</v>
      </c>
      <c r="J65" s="1031"/>
      <c r="K65" s="2957"/>
      <c r="L65" s="3014"/>
      <c r="M65" s="3014"/>
      <c r="N65" s="3014"/>
      <c r="O65" s="3014"/>
      <c r="P65" s="3014"/>
      <c r="Q65" s="3014"/>
      <c r="R65" s="3014"/>
      <c r="S65" s="3014"/>
      <c r="T65" s="3014"/>
      <c r="U65" s="3014"/>
      <c r="V65" s="3014"/>
      <c r="W65" s="3014"/>
      <c r="X65" s="3014"/>
      <c r="Y65" s="3014"/>
      <c r="Z65" s="3014"/>
      <c r="AA65" s="3014"/>
      <c r="AB65" s="3014"/>
      <c r="AC65" s="3014"/>
    </row>
    <row r="66" spans="1:29" s="652" customFormat="1" thickBot="1">
      <c r="A66" s="655" t="s">
        <v>2611</v>
      </c>
      <c r="B66" s="656" t="s">
        <v>28</v>
      </c>
      <c r="C66" s="656" t="s">
        <v>29</v>
      </c>
      <c r="D66" s="656" t="s">
        <v>997</v>
      </c>
      <c r="E66" s="656">
        <f>IF(B46="楼面地价",SUM(E56:E65),'数据-汇总表'!D3)</f>
        <v>8640.14</v>
      </c>
      <c r="F66" s="657" t="e">
        <f>IF(B46="楼面地价",SUM(F56:F65),ROUND(C48*E66/10000,0))</f>
        <v>#DIV/0!</v>
      </c>
      <c r="G66" s="730"/>
      <c r="H66" s="730"/>
      <c r="I66" s="730"/>
      <c r="J66" s="730"/>
      <c r="K66" s="3015"/>
      <c r="L66" s="3014"/>
      <c r="M66" s="3014"/>
      <c r="N66" s="3014"/>
      <c r="O66" s="3014"/>
      <c r="P66" s="3014"/>
      <c r="Q66" s="3014"/>
      <c r="R66" s="3014"/>
      <c r="S66" s="3014"/>
      <c r="T66" s="3014"/>
      <c r="U66" s="3014"/>
      <c r="V66" s="3014"/>
      <c r="W66" s="3014"/>
      <c r="X66" s="3014"/>
      <c r="Y66" s="3014"/>
      <c r="Z66" s="3014"/>
      <c r="AA66" s="3014"/>
      <c r="AB66" s="3014"/>
      <c r="AC66" s="3014"/>
    </row>
    <row r="67" spans="1:29">
      <c r="A67" s="703"/>
      <c r="B67" s="705"/>
      <c r="C67" s="706"/>
      <c r="D67" s="703"/>
      <c r="E67" s="703"/>
      <c r="F67" s="703"/>
      <c r="G67" s="703"/>
      <c r="H67" s="703"/>
      <c r="I67" s="703"/>
      <c r="J67" s="1062"/>
      <c r="K67" s="1023"/>
      <c r="L67" s="1024"/>
      <c r="M67" s="1062"/>
      <c r="N67" s="1062"/>
      <c r="O67" s="1062"/>
      <c r="P67" s="2957"/>
      <c r="Q67" s="2957"/>
      <c r="R67" s="2957"/>
      <c r="S67" s="2957"/>
      <c r="T67" s="2957"/>
      <c r="U67" s="2957"/>
      <c r="V67" s="2957"/>
      <c r="W67" s="2957"/>
      <c r="X67" s="2957"/>
      <c r="Y67" s="2957"/>
      <c r="Z67" s="2957"/>
      <c r="AA67" s="2957"/>
      <c r="AB67" s="2957"/>
      <c r="AC67" s="2957"/>
    </row>
    <row r="68" spans="1:29">
      <c r="A68" s="703"/>
      <c r="B68" s="705"/>
      <c r="C68" s="705" t="str">
        <f>YEAR(C7)&amp;"-"&amp;MONTH(C7)&amp;"-1"</f>
        <v>2020-8-1</v>
      </c>
      <c r="D68" s="705">
        <f>EDATE(C68,-3)</f>
        <v>43952</v>
      </c>
      <c r="E68" s="705">
        <f>EDATE(D68,-3)</f>
        <v>43862</v>
      </c>
      <c r="F68" s="705">
        <f t="shared" ref="F68:O68" si="18">EDATE(E68,-3)</f>
        <v>43770</v>
      </c>
      <c r="G68" s="705">
        <f t="shared" si="18"/>
        <v>43678</v>
      </c>
      <c r="H68" s="705">
        <f t="shared" si="18"/>
        <v>43586</v>
      </c>
      <c r="I68" s="705">
        <f t="shared" si="18"/>
        <v>43497</v>
      </c>
      <c r="J68" s="705">
        <f t="shared" si="18"/>
        <v>43405</v>
      </c>
      <c r="K68" s="705">
        <f t="shared" si="18"/>
        <v>43313</v>
      </c>
      <c r="L68" s="705">
        <f t="shared" si="18"/>
        <v>43221</v>
      </c>
      <c r="M68" s="705">
        <f t="shared" si="18"/>
        <v>43132</v>
      </c>
      <c r="N68" s="705">
        <f t="shared" si="18"/>
        <v>43040</v>
      </c>
      <c r="O68" s="705">
        <f t="shared" si="18"/>
        <v>42948</v>
      </c>
      <c r="P68" s="2957"/>
      <c r="Q68" s="2957"/>
      <c r="R68" s="2957"/>
      <c r="S68" s="2957"/>
      <c r="T68" s="2957"/>
      <c r="U68" s="2957"/>
      <c r="V68" s="2957"/>
      <c r="W68" s="2957"/>
      <c r="X68" s="2957"/>
      <c r="Y68" s="2957"/>
      <c r="Z68" s="2957"/>
      <c r="AA68" s="2957"/>
      <c r="AB68" s="2957"/>
      <c r="AC68" s="2957"/>
    </row>
    <row r="69" spans="1:29" ht="22.2" thickBot="1">
      <c r="A69" s="707" t="s">
        <v>2504</v>
      </c>
      <c r="B69" s="703"/>
      <c r="C69" s="708"/>
      <c r="D69" s="708"/>
      <c r="E69" s="708"/>
      <c r="F69" s="709"/>
      <c r="G69" s="709"/>
      <c r="H69" s="708"/>
      <c r="I69" s="708"/>
      <c r="J69" s="1075"/>
      <c r="K69" s="1076"/>
      <c r="L69" s="1077"/>
      <c r="M69" s="1075"/>
      <c r="N69" s="3001"/>
      <c r="O69" s="3001"/>
      <c r="P69" s="3001"/>
      <c r="Q69" s="2971"/>
      <c r="R69" s="2957"/>
      <c r="S69" s="2957"/>
      <c r="T69" s="2957"/>
      <c r="U69" s="2957"/>
      <c r="V69" s="2957"/>
      <c r="W69" s="2957"/>
      <c r="X69" s="2957"/>
      <c r="Y69" s="2957"/>
      <c r="Z69" s="2957"/>
      <c r="AA69" s="2957"/>
      <c r="AB69" s="2957"/>
      <c r="AC69" s="2957"/>
    </row>
    <row r="70" spans="1:29" s="469" customFormat="1" ht="14.4">
      <c r="A70" s="2181" t="s">
        <v>2612</v>
      </c>
      <c r="B70" s="1273"/>
      <c r="C70" s="1348" t="str">
        <f>YEAR(C68)&amp;"-"&amp;ROUNDUP(MONTH(C68)/3,0)</f>
        <v>2020-3</v>
      </c>
      <c r="D70" s="1348" t="str">
        <f>YEAR(D68)&amp;"-"&amp;ROUNDUP(MONTH(D68)/3,0)</f>
        <v>2020-2</v>
      </c>
      <c r="E70" s="1348" t="str">
        <f t="shared" ref="E70:O70" si="19">YEAR(E68)&amp;"-"&amp;ROUNDUP(MONTH(E68)/3,0)</f>
        <v>2020-1</v>
      </c>
      <c r="F70" s="1348" t="str">
        <f t="shared" si="19"/>
        <v>2019-4</v>
      </c>
      <c r="G70" s="1348" t="str">
        <f t="shared" si="19"/>
        <v>2019-3</v>
      </c>
      <c r="H70" s="1348" t="str">
        <f t="shared" si="19"/>
        <v>2019-2</v>
      </c>
      <c r="I70" s="1348" t="str">
        <f t="shared" si="19"/>
        <v>2019-1</v>
      </c>
      <c r="J70" s="1348" t="str">
        <f t="shared" si="19"/>
        <v>2018-4</v>
      </c>
      <c r="K70" s="1348" t="str">
        <f t="shared" si="19"/>
        <v>2018-3</v>
      </c>
      <c r="L70" s="1348" t="str">
        <f t="shared" si="19"/>
        <v>2018-2</v>
      </c>
      <c r="M70" s="1348" t="str">
        <f t="shared" si="19"/>
        <v>2018-1</v>
      </c>
      <c r="N70" s="1348" t="str">
        <f t="shared" si="19"/>
        <v>2017-4</v>
      </c>
      <c r="O70" s="1348" t="str">
        <f t="shared" si="19"/>
        <v>2017-3</v>
      </c>
      <c r="P70" s="3008"/>
      <c r="Q70" s="2973"/>
      <c r="R70" s="2973"/>
      <c r="S70" s="2973"/>
      <c r="T70" s="2973"/>
      <c r="U70" s="2973"/>
      <c r="V70" s="2973"/>
      <c r="W70" s="2973"/>
      <c r="X70" s="2973"/>
      <c r="Y70" s="2973"/>
      <c r="Z70" s="2973"/>
      <c r="AA70" s="2973"/>
      <c r="AB70" s="2973"/>
      <c r="AC70" s="2973"/>
    </row>
    <row r="71" spans="1:29" s="117" customFormat="1" ht="30" customHeight="1">
      <c r="A71" s="2182" t="s">
        <v>2613</v>
      </c>
      <c r="B71" s="298" t="str">
        <f>"北京市平均增长率"&amp;TEXT(SUMIF(基准地价修正!N21:N25,A71,基准地价修正!P21:P25),"0.00%")</f>
        <v>北京市平均增长率1.97%</v>
      </c>
      <c r="C71" s="564">
        <v>100</v>
      </c>
      <c r="D71" s="556"/>
      <c r="E71" s="556"/>
      <c r="F71" s="556"/>
      <c r="G71" s="556"/>
      <c r="H71" s="556"/>
      <c r="I71" s="556"/>
      <c r="J71" s="556"/>
      <c r="K71" s="556"/>
      <c r="L71" s="556"/>
      <c r="M71" s="1344"/>
      <c r="N71" s="556"/>
      <c r="O71" s="1345"/>
      <c r="P71" s="2971"/>
      <c r="Q71" s="2889"/>
      <c r="R71" s="2889"/>
      <c r="S71" s="2889"/>
      <c r="T71" s="2889"/>
      <c r="U71" s="2889"/>
      <c r="V71" s="2889"/>
      <c r="W71" s="2889"/>
      <c r="X71" s="2889"/>
      <c r="Y71" s="2889"/>
      <c r="Z71" s="2889"/>
      <c r="AA71" s="2889"/>
      <c r="AB71" s="2889"/>
      <c r="AC71" s="2889"/>
    </row>
    <row r="72" spans="1:29" s="117" customFormat="1" ht="15" thickBot="1">
      <c r="A72" s="476" t="s">
        <v>2415</v>
      </c>
      <c r="B72" s="477"/>
      <c r="C72" s="478"/>
      <c r="D72" s="479"/>
      <c r="E72" s="479"/>
      <c r="F72" s="479"/>
      <c r="G72" s="479"/>
      <c r="H72" s="479"/>
      <c r="I72" s="479"/>
      <c r="J72" s="479"/>
      <c r="K72" s="479"/>
      <c r="L72" s="479"/>
      <c r="M72" s="480"/>
      <c r="N72" s="479"/>
      <c r="O72" s="1078"/>
      <c r="P72" s="2971"/>
      <c r="Q72" s="2971"/>
      <c r="R72" s="2889"/>
      <c r="S72" s="2889"/>
      <c r="T72" s="2889"/>
      <c r="U72" s="2889"/>
      <c r="V72" s="2889"/>
      <c r="W72" s="2889"/>
      <c r="X72" s="2889"/>
      <c r="Y72" s="2889"/>
      <c r="Z72" s="2889"/>
      <c r="AA72" s="2889"/>
      <c r="AB72" s="2889"/>
      <c r="AC72" s="2889"/>
    </row>
    <row r="73" spans="1:29" s="117" customFormat="1" ht="14.4">
      <c r="A73" s="482" t="s">
        <v>2380</v>
      </c>
      <c r="B73" s="471"/>
      <c r="C73" s="483" t="s">
        <v>2482</v>
      </c>
      <c r="D73" s="484"/>
      <c r="E73" s="484"/>
      <c r="F73" s="484"/>
      <c r="G73" s="484"/>
      <c r="H73" s="484"/>
      <c r="I73" s="484"/>
      <c r="J73" s="484"/>
      <c r="K73" s="484"/>
      <c r="L73" s="485"/>
      <c r="M73" s="486"/>
      <c r="N73" s="2984"/>
      <c r="O73" s="2984"/>
      <c r="P73" s="3009"/>
      <c r="Q73" s="2971"/>
      <c r="R73" s="2889"/>
      <c r="S73" s="2889"/>
      <c r="T73" s="2889"/>
      <c r="U73" s="2889"/>
      <c r="V73" s="2889"/>
      <c r="W73" s="2889"/>
      <c r="X73" s="2889"/>
      <c r="Y73" s="2889"/>
      <c r="Z73" s="2889"/>
      <c r="AA73" s="2889"/>
      <c r="AB73" s="2889"/>
      <c r="AC73" s="2889"/>
    </row>
    <row r="74" spans="1:29" s="117" customFormat="1" ht="14.4" thickBot="1">
      <c r="A74" s="482"/>
      <c r="B74" s="471"/>
      <c r="C74" s="599">
        <v>100</v>
      </c>
      <c r="D74" s="473"/>
      <c r="E74" s="473"/>
      <c r="F74" s="473"/>
      <c r="G74" s="473"/>
      <c r="H74" s="473"/>
      <c r="I74" s="473"/>
      <c r="J74" s="473"/>
      <c r="K74" s="473"/>
      <c r="L74" s="473"/>
      <c r="M74" s="475"/>
      <c r="N74" s="2984"/>
      <c r="O74" s="2984"/>
      <c r="P74" s="2971"/>
      <c r="Q74" s="2971"/>
      <c r="R74" s="2889"/>
      <c r="S74" s="2889"/>
      <c r="T74" s="2889"/>
      <c r="U74" s="2889"/>
      <c r="V74" s="2889"/>
      <c r="W74" s="2889"/>
      <c r="X74" s="2889"/>
      <c r="Y74" s="2889"/>
      <c r="Z74" s="2889"/>
      <c r="AA74" s="2889"/>
      <c r="AB74" s="2889"/>
      <c r="AC74" s="2889"/>
    </row>
    <row r="75" spans="1:29" ht="14.4">
      <c r="A75" s="488" t="s">
        <v>2418</v>
      </c>
      <c r="B75" s="489" t="s">
        <v>2384</v>
      </c>
      <c r="C75" s="491"/>
      <c r="D75" s="491"/>
      <c r="E75" s="491"/>
      <c r="F75" s="491"/>
      <c r="G75" s="491"/>
      <c r="H75" s="491"/>
      <c r="I75" s="491"/>
      <c r="J75" s="491"/>
      <c r="K75" s="492"/>
      <c r="L75" s="493"/>
      <c r="M75" s="494"/>
      <c r="N75" s="2985"/>
      <c r="O75" s="2985"/>
      <c r="P75" s="3010"/>
      <c r="Q75" s="2971"/>
      <c r="R75" s="2957"/>
      <c r="S75" s="2957"/>
      <c r="T75" s="2957"/>
      <c r="U75" s="2957"/>
      <c r="V75" s="2957"/>
      <c r="W75" s="2957"/>
      <c r="X75" s="2957"/>
      <c r="Y75" s="2957"/>
      <c r="Z75" s="2957"/>
      <c r="AA75" s="2957"/>
      <c r="AB75" s="2957"/>
      <c r="AC75" s="2957"/>
    </row>
    <row r="76" spans="1:29" ht="14.4" thickBot="1">
      <c r="A76" s="495"/>
      <c r="B76" s="496"/>
      <c r="C76" s="497"/>
      <c r="D76" s="497"/>
      <c r="E76" s="497"/>
      <c r="F76" s="497"/>
      <c r="G76" s="497"/>
      <c r="H76" s="497"/>
      <c r="I76" s="497"/>
      <c r="J76" s="497"/>
      <c r="K76" s="497"/>
      <c r="L76" s="497"/>
      <c r="M76" s="498"/>
      <c r="N76" s="2986"/>
      <c r="O76" s="2986"/>
      <c r="P76" s="3010"/>
      <c r="Q76" s="2971"/>
      <c r="R76" s="2957"/>
      <c r="S76" s="2957"/>
      <c r="T76" s="2957"/>
      <c r="U76" s="2957"/>
      <c r="V76" s="2957"/>
      <c r="W76" s="2957"/>
      <c r="X76" s="2957"/>
      <c r="Y76" s="2957"/>
      <c r="Z76" s="2957"/>
      <c r="AA76" s="2957"/>
      <c r="AB76" s="2957"/>
      <c r="AC76" s="2957"/>
    </row>
    <row r="77" spans="1:29" ht="29.4" thickTop="1">
      <c r="A77" s="495"/>
      <c r="B77" s="499" t="s">
        <v>2387</v>
      </c>
      <c r="C77" s="500"/>
      <c r="D77" s="500"/>
      <c r="E77" s="500"/>
      <c r="F77" s="500"/>
      <c r="G77" s="500"/>
      <c r="H77" s="500"/>
      <c r="I77" s="500"/>
      <c r="J77" s="500"/>
      <c r="K77" s="501"/>
      <c r="L77" s="502"/>
      <c r="M77" s="503"/>
      <c r="N77" s="2985"/>
      <c r="O77" s="2985"/>
      <c r="P77" s="3010"/>
      <c r="Q77" s="2971"/>
      <c r="R77" s="2957"/>
      <c r="S77" s="2957"/>
      <c r="T77" s="2957"/>
      <c r="U77" s="2957"/>
      <c r="V77" s="2957"/>
      <c r="W77" s="2957"/>
      <c r="X77" s="2957"/>
      <c r="Y77" s="2957"/>
      <c r="Z77" s="2957"/>
      <c r="AA77" s="2957"/>
      <c r="AB77" s="2957"/>
      <c r="AC77" s="2957"/>
    </row>
    <row r="78" spans="1:29" ht="14.4" thickBot="1">
      <c r="A78" s="495"/>
      <c r="B78" s="504"/>
      <c r="C78" s="505"/>
      <c r="D78" s="505"/>
      <c r="E78" s="505"/>
      <c r="F78" s="505"/>
      <c r="G78" s="505"/>
      <c r="H78" s="505"/>
      <c r="I78" s="505"/>
      <c r="J78" s="505"/>
      <c r="K78" s="505"/>
      <c r="L78" s="505"/>
      <c r="M78" s="506"/>
      <c r="N78" s="2986"/>
      <c r="O78" s="2986"/>
      <c r="P78" s="3010"/>
      <c r="Q78" s="2971"/>
      <c r="R78" s="2957"/>
      <c r="S78" s="2957"/>
      <c r="T78" s="2957"/>
      <c r="U78" s="2957"/>
      <c r="V78" s="2957"/>
      <c r="W78" s="2957"/>
      <c r="X78" s="2957"/>
      <c r="Y78" s="2957"/>
      <c r="Z78" s="2957"/>
      <c r="AA78" s="2957"/>
      <c r="AB78" s="2957"/>
      <c r="AC78" s="2957"/>
    </row>
    <row r="79" spans="1:29" ht="15" thickTop="1">
      <c r="A79" s="495"/>
      <c r="B79" s="507" t="s">
        <v>2388</v>
      </c>
      <c r="C79" s="508" t="str">
        <f>C80&amp;"（含）"&amp;"-"&amp;D80</f>
        <v>（含）-</v>
      </c>
      <c r="D79" s="508" t="str">
        <f t="shared" ref="D79:L79" si="20">D80&amp;"（含）"&amp;"-"&amp;E80</f>
        <v>（含）-</v>
      </c>
      <c r="E79" s="508" t="str">
        <f t="shared" si="20"/>
        <v>（含）-</v>
      </c>
      <c r="F79" s="508" t="str">
        <f t="shared" si="20"/>
        <v>（含）-</v>
      </c>
      <c r="G79" s="508" t="str">
        <f t="shared" si="20"/>
        <v>（含）-</v>
      </c>
      <c r="H79" s="508" t="str">
        <f t="shared" si="20"/>
        <v>（含）-</v>
      </c>
      <c r="I79" s="508" t="str">
        <f t="shared" si="20"/>
        <v>（含）-</v>
      </c>
      <c r="J79" s="508" t="str">
        <f t="shared" si="20"/>
        <v>（含）-</v>
      </c>
      <c r="K79" s="508" t="str">
        <f t="shared" si="20"/>
        <v>（含）-</v>
      </c>
      <c r="L79" s="508" t="str">
        <f t="shared" si="20"/>
        <v>（含）-</v>
      </c>
      <c r="M79" s="411" t="str">
        <f>M80&amp;"（含）"&amp;"-"&amp;P80</f>
        <v>（含）-</v>
      </c>
      <c r="N79" s="2986"/>
      <c r="O79" s="2986"/>
      <c r="P79" s="3010"/>
      <c r="Q79" s="2971"/>
      <c r="R79" s="2957"/>
      <c r="S79" s="2957"/>
      <c r="T79" s="2957"/>
      <c r="U79" s="2957"/>
      <c r="V79" s="2957"/>
      <c r="W79" s="2957"/>
      <c r="X79" s="2957"/>
      <c r="Y79" s="2957"/>
      <c r="Z79" s="2957"/>
      <c r="AA79" s="2957"/>
      <c r="AB79" s="2957"/>
      <c r="AC79" s="2957"/>
    </row>
    <row r="80" spans="1:29">
      <c r="A80" s="495"/>
      <c r="B80" s="509"/>
      <c r="C80" s="510"/>
      <c r="D80" s="510"/>
      <c r="E80" s="510"/>
      <c r="F80" s="510"/>
      <c r="G80" s="510"/>
      <c r="H80" s="510"/>
      <c r="I80" s="510"/>
      <c r="J80" s="510"/>
      <c r="K80" s="511"/>
      <c r="L80" s="512"/>
      <c r="M80" s="513"/>
      <c r="N80" s="2985"/>
      <c r="O80" s="2985"/>
      <c r="P80" s="3010"/>
      <c r="Q80" s="2971"/>
      <c r="R80" s="2957"/>
      <c r="S80" s="2957"/>
      <c r="T80" s="2957"/>
      <c r="U80" s="2957"/>
      <c r="V80" s="2957"/>
      <c r="W80" s="2957"/>
      <c r="X80" s="2957"/>
      <c r="Y80" s="2957"/>
      <c r="Z80" s="2957"/>
      <c r="AA80" s="2957"/>
      <c r="AB80" s="2957"/>
      <c r="AC80" s="2957"/>
    </row>
    <row r="81" spans="1:29" ht="14.4" thickBot="1">
      <c r="A81" s="495"/>
      <c r="B81" s="496"/>
      <c r="C81" s="505">
        <v>100</v>
      </c>
      <c r="D81" s="505">
        <f t="shared" ref="D81:M81" si="21">IF($B$46="单位面积地价",C81+$K11,C81-$K11)</f>
        <v>100</v>
      </c>
      <c r="E81" s="505">
        <f t="shared" si="21"/>
        <v>100</v>
      </c>
      <c r="F81" s="505">
        <f t="shared" si="21"/>
        <v>100</v>
      </c>
      <c r="G81" s="505">
        <f t="shared" si="21"/>
        <v>100</v>
      </c>
      <c r="H81" s="505">
        <f t="shared" si="21"/>
        <v>100</v>
      </c>
      <c r="I81" s="505">
        <f t="shared" si="21"/>
        <v>100</v>
      </c>
      <c r="J81" s="505">
        <f t="shared" si="21"/>
        <v>100</v>
      </c>
      <c r="K81" s="505">
        <f t="shared" si="21"/>
        <v>100</v>
      </c>
      <c r="L81" s="505">
        <f t="shared" si="21"/>
        <v>100</v>
      </c>
      <c r="M81" s="505">
        <f t="shared" si="21"/>
        <v>100</v>
      </c>
      <c r="N81" s="2986"/>
      <c r="O81" s="2986"/>
      <c r="P81" s="3010"/>
      <c r="Q81" s="2971"/>
      <c r="R81" s="2957"/>
      <c r="S81" s="2957"/>
      <c r="T81" s="2957"/>
      <c r="U81" s="2957"/>
      <c r="V81" s="2957"/>
      <c r="W81" s="2957"/>
      <c r="X81" s="2957"/>
      <c r="Y81" s="2957"/>
      <c r="Z81" s="2957"/>
      <c r="AA81" s="2957"/>
      <c r="AB81" s="2957"/>
      <c r="AC81" s="2957"/>
    </row>
    <row r="82" spans="1:29" s="434" customFormat="1" ht="14.4" thickTop="1">
      <c r="A82" s="514"/>
      <c r="B82" s="499" t="str">
        <f>B12</f>
        <v>配建</v>
      </c>
      <c r="C82" s="515"/>
      <c r="D82" s="515"/>
      <c r="E82" s="515"/>
      <c r="F82" s="515"/>
      <c r="G82" s="515"/>
      <c r="H82" s="516"/>
      <c r="I82" s="516"/>
      <c r="J82" s="516"/>
      <c r="K82" s="516"/>
      <c r="L82" s="517"/>
      <c r="M82" s="518"/>
      <c r="N82" s="2987"/>
      <c r="O82" s="2987"/>
      <c r="P82" s="3011"/>
      <c r="Q82" s="2978"/>
      <c r="R82" s="2979"/>
      <c r="S82" s="2979"/>
      <c r="T82" s="2979"/>
      <c r="U82" s="2979"/>
      <c r="V82" s="2979"/>
      <c r="W82" s="2979"/>
      <c r="X82" s="2979"/>
      <c r="Y82" s="2979"/>
      <c r="Z82" s="2979"/>
      <c r="AA82" s="2979"/>
      <c r="AB82" s="2979"/>
      <c r="AC82" s="2979"/>
    </row>
    <row r="83" spans="1:29" s="434" customFormat="1" ht="14.4" thickBot="1">
      <c r="A83" s="514"/>
      <c r="B83" s="504"/>
      <c r="C83" s="521"/>
      <c r="D83" s="497"/>
      <c r="E83" s="497"/>
      <c r="F83" s="497"/>
      <c r="G83" s="497"/>
      <c r="H83" s="497"/>
      <c r="I83" s="497"/>
      <c r="J83" s="497"/>
      <c r="K83" s="497"/>
      <c r="L83" s="497"/>
      <c r="M83" s="498"/>
      <c r="N83" s="2986"/>
      <c r="O83" s="2986"/>
      <c r="P83" s="3011"/>
      <c r="Q83" s="2978"/>
      <c r="R83" s="2979"/>
      <c r="S83" s="2979"/>
      <c r="T83" s="2979"/>
      <c r="U83" s="2979"/>
      <c r="V83" s="2979"/>
      <c r="W83" s="2979"/>
      <c r="X83" s="2979"/>
      <c r="Y83" s="2979"/>
      <c r="Z83" s="2979"/>
      <c r="AA83" s="2979"/>
      <c r="AB83" s="2979"/>
      <c r="AC83" s="2979"/>
    </row>
    <row r="84" spans="1:29" s="434" customFormat="1" ht="14.4" thickTop="1">
      <c r="A84" s="514"/>
      <c r="B84" s="499">
        <f>B13</f>
        <v>111</v>
      </c>
      <c r="C84" s="515"/>
      <c r="D84" s="515"/>
      <c r="E84" s="515"/>
      <c r="F84" s="515"/>
      <c r="G84" s="515"/>
      <c r="H84" s="516"/>
      <c r="I84" s="516"/>
      <c r="J84" s="516"/>
      <c r="K84" s="516"/>
      <c r="L84" s="517"/>
      <c r="M84" s="518"/>
      <c r="N84" s="2987"/>
      <c r="O84" s="2987"/>
      <c r="P84" s="2955"/>
      <c r="Q84" s="2981"/>
      <c r="R84" s="2979"/>
      <c r="S84" s="2979"/>
      <c r="T84" s="2979"/>
      <c r="U84" s="2979"/>
      <c r="V84" s="2979"/>
      <c r="W84" s="2979"/>
      <c r="X84" s="2979"/>
      <c r="Y84" s="2979"/>
      <c r="Z84" s="2979"/>
      <c r="AA84" s="2979"/>
      <c r="AB84" s="2979"/>
      <c r="AC84" s="2979"/>
    </row>
    <row r="85" spans="1:29" s="434" customFormat="1" ht="14.4" thickBot="1">
      <c r="A85" s="514"/>
      <c r="B85" s="504"/>
      <c r="C85" s="521"/>
      <c r="D85" s="521"/>
      <c r="E85" s="521"/>
      <c r="F85" s="521"/>
      <c r="G85" s="521"/>
      <c r="H85" s="523"/>
      <c r="I85" s="523"/>
      <c r="J85" s="523"/>
      <c r="K85" s="523"/>
      <c r="L85" s="523"/>
      <c r="M85" s="524"/>
      <c r="N85" s="2987"/>
      <c r="O85" s="2987"/>
      <c r="P85" s="3011"/>
      <c r="Q85" s="2978"/>
      <c r="R85" s="2979"/>
      <c r="S85" s="2979"/>
      <c r="T85" s="2979"/>
      <c r="U85" s="2979"/>
      <c r="V85" s="2979"/>
      <c r="W85" s="2979"/>
      <c r="X85" s="2979"/>
      <c r="Y85" s="2979"/>
      <c r="Z85" s="2979"/>
      <c r="AA85" s="2979"/>
      <c r="AB85" s="2979"/>
      <c r="AC85" s="2979"/>
    </row>
    <row r="86" spans="1:29" s="434" customFormat="1" ht="14.4" thickTop="1">
      <c r="A86" s="514"/>
      <c r="B86" s="507">
        <f>B14</f>
        <v>111</v>
      </c>
      <c r="C86" s="484"/>
      <c r="D86" s="484"/>
      <c r="E86" s="484"/>
      <c r="F86" s="484"/>
      <c r="G86" s="484"/>
      <c r="H86" s="525"/>
      <c r="I86" s="525"/>
      <c r="J86" s="525"/>
      <c r="K86" s="525"/>
      <c r="L86" s="526"/>
      <c r="M86" s="527"/>
      <c r="N86" s="2987"/>
      <c r="O86" s="2987"/>
      <c r="P86" s="3016"/>
      <c r="Q86" s="2978"/>
      <c r="R86" s="2979"/>
      <c r="S86" s="2979"/>
      <c r="T86" s="2979"/>
      <c r="U86" s="2979"/>
      <c r="V86" s="2979"/>
      <c r="W86" s="2979"/>
      <c r="X86" s="2979"/>
      <c r="Y86" s="2979"/>
      <c r="Z86" s="2979"/>
      <c r="AA86" s="2979"/>
      <c r="AB86" s="2979"/>
      <c r="AC86" s="2979"/>
    </row>
    <row r="87" spans="1:29" s="434" customFormat="1" ht="14.4" thickBot="1">
      <c r="A87" s="529"/>
      <c r="B87" s="530"/>
      <c r="C87" s="531"/>
      <c r="D87" s="531"/>
      <c r="E87" s="531"/>
      <c r="F87" s="531"/>
      <c r="G87" s="531"/>
      <c r="H87" s="532"/>
      <c r="I87" s="532"/>
      <c r="J87" s="532"/>
      <c r="K87" s="532"/>
      <c r="L87" s="532"/>
      <c r="M87" s="533"/>
      <c r="N87" s="2987"/>
      <c r="O87" s="2987"/>
      <c r="P87" s="3011"/>
      <c r="Q87" s="2978"/>
      <c r="R87" s="2979"/>
      <c r="S87" s="2979"/>
      <c r="T87" s="2979"/>
      <c r="U87" s="2979"/>
      <c r="V87" s="2979"/>
      <c r="W87" s="2979"/>
      <c r="X87" s="2979"/>
      <c r="Y87" s="2979"/>
      <c r="Z87" s="2979"/>
      <c r="AA87" s="2979"/>
      <c r="AB87" s="2979"/>
      <c r="AC87" s="2979"/>
    </row>
    <row r="88" spans="1:29" ht="14.4">
      <c r="A88" s="488" t="s">
        <v>2389</v>
      </c>
      <c r="B88" s="489" t="s">
        <v>2426</v>
      </c>
      <c r="C88" s="534" t="s">
        <v>2427</v>
      </c>
      <c r="D88" s="534" t="s">
        <v>2428</v>
      </c>
      <c r="E88" s="534" t="s">
        <v>2429</v>
      </c>
      <c r="F88" s="534" t="s">
        <v>2430</v>
      </c>
      <c r="G88" s="534" t="s">
        <v>2431</v>
      </c>
      <c r="H88" s="490"/>
      <c r="I88" s="490"/>
      <c r="J88" s="490"/>
      <c r="K88" s="535"/>
      <c r="L88" s="536"/>
      <c r="M88" s="537"/>
      <c r="N88" s="2985"/>
      <c r="O88" s="2985"/>
      <c r="P88" s="3012"/>
      <c r="Q88" s="2971"/>
      <c r="R88" s="2957"/>
      <c r="S88" s="2957"/>
      <c r="T88" s="2957"/>
      <c r="U88" s="2957"/>
      <c r="V88" s="2957"/>
      <c r="W88" s="2957"/>
      <c r="X88" s="2957"/>
      <c r="Y88" s="2957"/>
      <c r="Z88" s="2957"/>
      <c r="AA88" s="2957"/>
      <c r="AB88" s="2957"/>
      <c r="AC88" s="2957"/>
    </row>
    <row r="89" spans="1:29" ht="14.4" thickBot="1">
      <c r="A89" s="495"/>
      <c r="B89" s="504"/>
      <c r="C89" s="505">
        <v>100</v>
      </c>
      <c r="D89" s="505">
        <f>C89-$K15</f>
        <v>100</v>
      </c>
      <c r="E89" s="505">
        <f>D89-$K15</f>
        <v>100</v>
      </c>
      <c r="F89" s="505">
        <f>E89-$K15</f>
        <v>100</v>
      </c>
      <c r="G89" s="505">
        <f>F89-$K15</f>
        <v>100</v>
      </c>
      <c r="H89" s="505"/>
      <c r="I89" s="505"/>
      <c r="J89" s="505"/>
      <c r="K89" s="505"/>
      <c r="L89" s="505"/>
      <c r="M89" s="506"/>
      <c r="N89" s="2986"/>
      <c r="O89" s="2986"/>
      <c r="P89" s="3010"/>
      <c r="Q89" s="2971"/>
      <c r="R89" s="2957"/>
      <c r="S89" s="2957"/>
      <c r="T89" s="2957"/>
      <c r="U89" s="2957"/>
      <c r="V89" s="2957"/>
      <c r="W89" s="2957"/>
      <c r="X89" s="2957"/>
      <c r="Y89" s="2957"/>
      <c r="Z89" s="2957"/>
      <c r="AA89" s="2957"/>
      <c r="AB89" s="2957"/>
      <c r="AC89" s="2957"/>
    </row>
    <row r="90" spans="1:29" ht="15" thickTop="1">
      <c r="A90" s="495"/>
      <c r="B90" s="499" t="s">
        <v>2614</v>
      </c>
      <c r="C90" s="539" t="s">
        <v>2427</v>
      </c>
      <c r="D90" s="539" t="s">
        <v>2428</v>
      </c>
      <c r="E90" s="539" t="s">
        <v>2429</v>
      </c>
      <c r="F90" s="539" t="s">
        <v>2430</v>
      </c>
      <c r="G90" s="539" t="s">
        <v>2431</v>
      </c>
      <c r="H90" s="500"/>
      <c r="I90" s="500"/>
      <c r="J90" s="500"/>
      <c r="K90" s="501"/>
      <c r="L90" s="502"/>
      <c r="M90" s="503"/>
      <c r="N90" s="2985"/>
      <c r="O90" s="2985"/>
      <c r="P90" s="3010"/>
      <c r="Q90" s="2971"/>
      <c r="R90" s="2957"/>
      <c r="S90" s="2957"/>
      <c r="T90" s="2957"/>
      <c r="U90" s="2957"/>
      <c r="V90" s="2957"/>
      <c r="W90" s="2957"/>
      <c r="X90" s="2957"/>
      <c r="Y90" s="2957"/>
      <c r="Z90" s="2957"/>
      <c r="AA90" s="2957"/>
      <c r="AB90" s="2957"/>
      <c r="AC90" s="2957"/>
    </row>
    <row r="91" spans="1:29" ht="14.4" thickBot="1">
      <c r="A91" s="495"/>
      <c r="B91" s="504"/>
      <c r="C91" s="505">
        <v>100</v>
      </c>
      <c r="D91" s="505">
        <f>C91-$K17</f>
        <v>100</v>
      </c>
      <c r="E91" s="505">
        <f>D91-$K17</f>
        <v>100</v>
      </c>
      <c r="F91" s="505">
        <f>E91-$K17</f>
        <v>100</v>
      </c>
      <c r="G91" s="505">
        <f>F91-$K17</f>
        <v>100</v>
      </c>
      <c r="H91" s="505"/>
      <c r="I91" s="505"/>
      <c r="J91" s="505"/>
      <c r="K91" s="505"/>
      <c r="L91" s="505"/>
      <c r="M91" s="506"/>
      <c r="N91" s="2986"/>
      <c r="O91" s="2986"/>
      <c r="P91" s="3010"/>
      <c r="Q91" s="2971"/>
      <c r="R91" s="2957"/>
      <c r="S91" s="2957"/>
      <c r="T91" s="2957"/>
      <c r="U91" s="2957"/>
      <c r="V91" s="2957"/>
      <c r="W91" s="2957"/>
      <c r="X91" s="2957"/>
      <c r="Y91" s="2957"/>
      <c r="Z91" s="2957"/>
      <c r="AA91" s="2957"/>
      <c r="AB91" s="2957"/>
      <c r="AC91" s="2957"/>
    </row>
    <row r="92" spans="1:29" ht="15" thickTop="1">
      <c r="A92" s="495"/>
      <c r="B92" s="499" t="s">
        <v>2527</v>
      </c>
      <c r="C92" s="539" t="s">
        <v>2427</v>
      </c>
      <c r="D92" s="539" t="s">
        <v>2428</v>
      </c>
      <c r="E92" s="539" t="s">
        <v>2429</v>
      </c>
      <c r="F92" s="539" t="s">
        <v>2430</v>
      </c>
      <c r="G92" s="539" t="s">
        <v>2431</v>
      </c>
      <c r="H92" s="500"/>
      <c r="I92" s="500"/>
      <c r="J92" s="500"/>
      <c r="K92" s="501"/>
      <c r="L92" s="502"/>
      <c r="M92" s="503"/>
      <c r="N92" s="2985"/>
      <c r="O92" s="2985"/>
      <c r="P92" s="3010"/>
      <c r="Q92" s="2971"/>
      <c r="R92" s="2957"/>
      <c r="S92" s="2957"/>
      <c r="T92" s="2957"/>
      <c r="U92" s="2957"/>
      <c r="V92" s="2957"/>
      <c r="W92" s="2957"/>
      <c r="X92" s="2957"/>
      <c r="Y92" s="2957"/>
      <c r="Z92" s="2957"/>
      <c r="AA92" s="2957"/>
      <c r="AB92" s="2957"/>
      <c r="AC92" s="2957"/>
    </row>
    <row r="93" spans="1:29" ht="14.4" thickBot="1">
      <c r="A93" s="495"/>
      <c r="B93" s="504"/>
      <c r="C93" s="505">
        <v>100</v>
      </c>
      <c r="D93" s="505">
        <f>C93-$K19</f>
        <v>100</v>
      </c>
      <c r="E93" s="505">
        <f>D93-$K19</f>
        <v>100</v>
      </c>
      <c r="F93" s="505">
        <f>E93-$K19</f>
        <v>100</v>
      </c>
      <c r="G93" s="505">
        <f>F93-$K19</f>
        <v>100</v>
      </c>
      <c r="H93" s="505"/>
      <c r="I93" s="505"/>
      <c r="J93" s="505"/>
      <c r="K93" s="505"/>
      <c r="L93" s="505"/>
      <c r="M93" s="506"/>
      <c r="N93" s="2986"/>
      <c r="O93" s="2986"/>
      <c r="P93" s="3010"/>
      <c r="Q93" s="2971"/>
      <c r="R93" s="2957"/>
      <c r="S93" s="2957"/>
      <c r="T93" s="2957"/>
      <c r="U93" s="2957"/>
      <c r="V93" s="2957"/>
      <c r="W93" s="2957"/>
      <c r="X93" s="2957"/>
      <c r="Y93" s="2957"/>
      <c r="Z93" s="2957"/>
      <c r="AA93" s="2957"/>
      <c r="AB93" s="2957"/>
      <c r="AC93" s="2957"/>
    </row>
    <row r="94" spans="1:29" ht="15" thickTop="1">
      <c r="A94" s="495"/>
      <c r="B94" s="499" t="s">
        <v>2432</v>
      </c>
      <c r="C94" s="539" t="s">
        <v>2427</v>
      </c>
      <c r="D94" s="539" t="s">
        <v>2428</v>
      </c>
      <c r="E94" s="539" t="s">
        <v>2429</v>
      </c>
      <c r="F94" s="539" t="s">
        <v>2430</v>
      </c>
      <c r="G94" s="539" t="s">
        <v>2431</v>
      </c>
      <c r="H94" s="500"/>
      <c r="I94" s="500"/>
      <c r="J94" s="500"/>
      <c r="K94" s="501"/>
      <c r="L94" s="502"/>
      <c r="M94" s="503"/>
      <c r="N94" s="2985"/>
      <c r="O94" s="2985"/>
      <c r="P94" s="3010"/>
      <c r="Q94" s="2971"/>
      <c r="R94" s="2957"/>
      <c r="S94" s="2957"/>
      <c r="T94" s="2957"/>
      <c r="U94" s="2957"/>
      <c r="V94" s="2957"/>
      <c r="W94" s="2957"/>
      <c r="X94" s="2957"/>
      <c r="Y94" s="2957"/>
      <c r="Z94" s="2957"/>
      <c r="AA94" s="2957"/>
      <c r="AB94" s="2957"/>
      <c r="AC94" s="2957"/>
    </row>
    <row r="95" spans="1:29" ht="14.4" thickBot="1">
      <c r="A95" s="495"/>
      <c r="B95" s="504"/>
      <c r="C95" s="505">
        <v>100</v>
      </c>
      <c r="D95" s="505">
        <f>C95-$K21</f>
        <v>100</v>
      </c>
      <c r="E95" s="505">
        <f>D95-$K21</f>
        <v>100</v>
      </c>
      <c r="F95" s="505">
        <f>E95-$K21</f>
        <v>100</v>
      </c>
      <c r="G95" s="505">
        <f>F95-$K21</f>
        <v>100</v>
      </c>
      <c r="H95" s="505"/>
      <c r="I95" s="505"/>
      <c r="J95" s="505"/>
      <c r="K95" s="505"/>
      <c r="L95" s="505"/>
      <c r="M95" s="506"/>
      <c r="N95" s="2986"/>
      <c r="O95" s="2986"/>
      <c r="P95" s="3010"/>
      <c r="Q95" s="2971"/>
      <c r="R95" s="2957"/>
      <c r="S95" s="2957"/>
      <c r="T95" s="2957"/>
      <c r="U95" s="2957"/>
      <c r="V95" s="2957"/>
      <c r="W95" s="2957"/>
      <c r="X95" s="2957"/>
      <c r="Y95" s="2957"/>
      <c r="Z95" s="2957"/>
      <c r="AA95" s="2957"/>
      <c r="AB95" s="2957"/>
      <c r="AC95" s="2957"/>
    </row>
    <row r="96" spans="1:29" s="117" customFormat="1" ht="29.4" thickTop="1">
      <c r="A96" s="540"/>
      <c r="B96" s="499" t="s">
        <v>2615</v>
      </c>
      <c r="C96" s="539" t="s">
        <v>2427</v>
      </c>
      <c r="D96" s="539" t="s">
        <v>2428</v>
      </c>
      <c r="E96" s="539" t="s">
        <v>2429</v>
      </c>
      <c r="F96" s="539" t="s">
        <v>2430</v>
      </c>
      <c r="G96" s="539" t="s">
        <v>2431</v>
      </c>
      <c r="H96" s="539"/>
      <c r="I96" s="539"/>
      <c r="J96" s="539"/>
      <c r="K96" s="539"/>
      <c r="L96" s="658"/>
      <c r="M96" s="582"/>
      <c r="N96" s="2984"/>
      <c r="O96" s="2984"/>
      <c r="P96" s="3010"/>
      <c r="Q96" s="2971"/>
      <c r="R96" s="2889"/>
      <c r="S96" s="2889"/>
      <c r="T96" s="2889"/>
      <c r="U96" s="2889"/>
      <c r="V96" s="2889"/>
      <c r="W96" s="2889"/>
      <c r="X96" s="2889"/>
      <c r="Y96" s="2889"/>
      <c r="Z96" s="2889"/>
      <c r="AA96" s="2889"/>
      <c r="AB96" s="2889"/>
      <c r="AC96" s="2889"/>
    </row>
    <row r="97" spans="1:29" s="117" customFormat="1" ht="14.4" thickBot="1">
      <c r="A97" s="540"/>
      <c r="B97" s="504"/>
      <c r="C97" s="543">
        <v>100</v>
      </c>
      <c r="D97" s="505">
        <f>C97-$K23</f>
        <v>100</v>
      </c>
      <c r="E97" s="505">
        <f>D97-$K23</f>
        <v>100</v>
      </c>
      <c r="F97" s="505">
        <f>E97-$K23</f>
        <v>100</v>
      </c>
      <c r="G97" s="505">
        <f>F97-$K23</f>
        <v>100</v>
      </c>
      <c r="H97" s="505"/>
      <c r="I97" s="505"/>
      <c r="J97" s="505"/>
      <c r="K97" s="505"/>
      <c r="L97" s="505"/>
      <c r="M97" s="506"/>
      <c r="N97" s="2986"/>
      <c r="O97" s="2986"/>
      <c r="P97" s="3010"/>
      <c r="Q97" s="2971"/>
      <c r="R97" s="2889"/>
      <c r="S97" s="2889"/>
      <c r="T97" s="2889"/>
      <c r="U97" s="2889"/>
      <c r="V97" s="2889"/>
      <c r="W97" s="2889"/>
      <c r="X97" s="2889"/>
      <c r="Y97" s="2889"/>
      <c r="Z97" s="2889"/>
      <c r="AA97" s="2889"/>
      <c r="AB97" s="2889"/>
      <c r="AC97" s="2889"/>
    </row>
    <row r="98" spans="1:29" s="117" customFormat="1" ht="29.4" thickTop="1">
      <c r="A98" s="540"/>
      <c r="B98" s="499" t="s">
        <v>2616</v>
      </c>
      <c r="C98" s="534" t="s">
        <v>2427</v>
      </c>
      <c r="D98" s="534" t="s">
        <v>2428</v>
      </c>
      <c r="E98" s="534" t="s">
        <v>2429</v>
      </c>
      <c r="F98" s="534" t="s">
        <v>2430</v>
      </c>
      <c r="G98" s="534" t="s">
        <v>2431</v>
      </c>
      <c r="H98" s="539"/>
      <c r="I98" s="539"/>
      <c r="J98" s="539"/>
      <c r="K98" s="539"/>
      <c r="L98" s="539"/>
      <c r="M98" s="582"/>
      <c r="N98" s="2984"/>
      <c r="O98" s="2984"/>
      <c r="P98" s="3010"/>
      <c r="Q98" s="2971"/>
      <c r="R98" s="2889"/>
      <c r="S98" s="2889"/>
      <c r="T98" s="2889"/>
      <c r="U98" s="2889"/>
      <c r="V98" s="2889"/>
      <c r="W98" s="2889"/>
      <c r="X98" s="2889"/>
      <c r="Y98" s="2889"/>
      <c r="Z98" s="2889"/>
      <c r="AA98" s="2889"/>
      <c r="AB98" s="2889"/>
      <c r="AC98" s="2889"/>
    </row>
    <row r="99" spans="1:29" s="117" customFormat="1" ht="14.4" thickBot="1">
      <c r="A99" s="540"/>
      <c r="B99" s="504"/>
      <c r="C99" s="505">
        <v>100</v>
      </c>
      <c r="D99" s="505">
        <f>C99-$K25</f>
        <v>100</v>
      </c>
      <c r="E99" s="505">
        <f>D99-$K25</f>
        <v>100</v>
      </c>
      <c r="F99" s="505">
        <f>E99-$K25</f>
        <v>100</v>
      </c>
      <c r="G99" s="505">
        <f>F99-$K25</f>
        <v>100</v>
      </c>
      <c r="H99" s="505"/>
      <c r="I99" s="505"/>
      <c r="J99" s="505"/>
      <c r="K99" s="505"/>
      <c r="L99" s="505"/>
      <c r="M99" s="506"/>
      <c r="N99" s="2986"/>
      <c r="O99" s="2986"/>
      <c r="P99" s="3010"/>
      <c r="Q99" s="2971"/>
      <c r="R99" s="2889"/>
      <c r="S99" s="2889"/>
      <c r="T99" s="2889"/>
      <c r="U99" s="2889"/>
      <c r="V99" s="2889"/>
      <c r="W99" s="2889"/>
      <c r="X99" s="2889"/>
      <c r="Y99" s="2889"/>
      <c r="Z99" s="2889"/>
      <c r="AA99" s="2889"/>
      <c r="AB99" s="2889"/>
      <c r="AC99" s="2889"/>
    </row>
    <row r="100" spans="1:29" s="434" customFormat="1" ht="15" thickTop="1">
      <c r="A100" s="514"/>
      <c r="B100" s="499" t="s">
        <v>2484</v>
      </c>
      <c r="C100" s="534" t="s">
        <v>2427</v>
      </c>
      <c r="D100" s="534" t="s">
        <v>2428</v>
      </c>
      <c r="E100" s="534" t="s">
        <v>2429</v>
      </c>
      <c r="F100" s="534" t="s">
        <v>2430</v>
      </c>
      <c r="G100" s="534" t="s">
        <v>2431</v>
      </c>
      <c r="H100" s="561"/>
      <c r="I100" s="561"/>
      <c r="J100" s="561"/>
      <c r="K100" s="561"/>
      <c r="L100" s="562"/>
      <c r="M100" s="563"/>
      <c r="N100" s="2987"/>
      <c r="O100" s="2987"/>
      <c r="P100" s="3011"/>
      <c r="Q100" s="2978"/>
      <c r="R100" s="2979"/>
      <c r="S100" s="2979"/>
      <c r="T100" s="2979"/>
      <c r="U100" s="2979"/>
      <c r="V100" s="2979"/>
      <c r="W100" s="2979"/>
      <c r="X100" s="2979"/>
      <c r="Y100" s="2979"/>
      <c r="Z100" s="2979"/>
      <c r="AA100" s="2979"/>
      <c r="AB100" s="2979"/>
      <c r="AC100" s="2979"/>
    </row>
    <row r="101" spans="1:29" s="434" customFormat="1" ht="14.4" thickBot="1">
      <c r="A101" s="514"/>
      <c r="B101" s="504"/>
      <c r="C101" s="505">
        <v>100</v>
      </c>
      <c r="D101" s="505">
        <f>C101-$K27</f>
        <v>100</v>
      </c>
      <c r="E101" s="505">
        <f>D101-$K27</f>
        <v>100</v>
      </c>
      <c r="F101" s="505">
        <f>E101-$K27</f>
        <v>100</v>
      </c>
      <c r="G101" s="505">
        <f>F101-$K27</f>
        <v>100</v>
      </c>
      <c r="H101" s="568"/>
      <c r="I101" s="568"/>
      <c r="J101" s="568"/>
      <c r="K101" s="568"/>
      <c r="L101" s="568"/>
      <c r="M101" s="569"/>
      <c r="N101" s="2987"/>
      <c r="O101" s="2987"/>
      <c r="P101" s="3011"/>
      <c r="Q101" s="2978"/>
      <c r="R101" s="2979"/>
      <c r="S101" s="2979"/>
      <c r="T101" s="2979"/>
      <c r="U101" s="2979"/>
      <c r="V101" s="2979"/>
      <c r="W101" s="2979"/>
      <c r="X101" s="2979"/>
      <c r="Y101" s="2979"/>
      <c r="Z101" s="2979"/>
      <c r="AA101" s="2979"/>
      <c r="AB101" s="2979"/>
      <c r="AC101" s="2979"/>
    </row>
    <row r="102" spans="1:29" s="434" customFormat="1" ht="15" thickTop="1">
      <c r="A102" s="514"/>
      <c r="B102" s="507" t="s">
        <v>2485</v>
      </c>
      <c r="C102" s="620" t="s">
        <v>2505</v>
      </c>
      <c r="D102" s="620" t="s">
        <v>2506</v>
      </c>
      <c r="E102" s="620" t="s">
        <v>2507</v>
      </c>
      <c r="F102" s="620" t="s">
        <v>2508</v>
      </c>
      <c r="G102" s="620" t="s">
        <v>2509</v>
      </c>
      <c r="H102" s="561"/>
      <c r="I102" s="561"/>
      <c r="J102" s="561"/>
      <c r="K102" s="561"/>
      <c r="L102" s="561"/>
      <c r="M102" s="1298"/>
      <c r="N102" s="2987"/>
      <c r="O102" s="2987"/>
      <c r="P102" s="3011"/>
      <c r="Q102" s="2978"/>
      <c r="R102" s="2979"/>
      <c r="S102" s="2979"/>
      <c r="T102" s="2979"/>
      <c r="U102" s="2979"/>
      <c r="V102" s="2979"/>
      <c r="W102" s="2979"/>
      <c r="X102" s="2979"/>
      <c r="Y102" s="2979"/>
      <c r="Z102" s="2979"/>
      <c r="AA102" s="2979"/>
      <c r="AB102" s="2979"/>
      <c r="AC102" s="2979"/>
    </row>
    <row r="103" spans="1:29" s="434" customFormat="1" ht="14.4" thickBot="1">
      <c r="A103" s="514"/>
      <c r="B103" s="507"/>
      <c r="C103" s="505">
        <v>100</v>
      </c>
      <c r="D103" s="505">
        <f>C103-$K29</f>
        <v>100</v>
      </c>
      <c r="E103" s="505">
        <f>D103-$K29</f>
        <v>100</v>
      </c>
      <c r="F103" s="505">
        <f>E103-$K29</f>
        <v>100</v>
      </c>
      <c r="G103" s="505">
        <f>F103-$K29</f>
        <v>100</v>
      </c>
      <c r="H103" s="509"/>
      <c r="I103" s="509"/>
      <c r="J103" s="509"/>
      <c r="K103" s="509"/>
      <c r="L103" s="509"/>
      <c r="M103" s="1298"/>
      <c r="N103" s="2987"/>
      <c r="O103" s="2987"/>
      <c r="P103" s="3011"/>
      <c r="Q103" s="2978"/>
      <c r="R103" s="2979"/>
      <c r="S103" s="2979"/>
      <c r="T103" s="2979"/>
      <c r="U103" s="2979"/>
      <c r="V103" s="2979"/>
      <c r="W103" s="2979"/>
      <c r="X103" s="2979"/>
      <c r="Y103" s="2979"/>
      <c r="Z103" s="2979"/>
      <c r="AA103" s="2979"/>
      <c r="AB103" s="2979"/>
      <c r="AC103" s="2979"/>
    </row>
    <row r="104" spans="1:29" ht="15" thickTop="1">
      <c r="A104" s="495"/>
      <c r="B104" s="499" t="str">
        <f>B31</f>
        <v>临街状况</v>
      </c>
      <c r="C104" s="500" t="s">
        <v>2617</v>
      </c>
      <c r="D104" s="500" t="s">
        <v>2618</v>
      </c>
      <c r="E104" s="500" t="s">
        <v>2619</v>
      </c>
      <c r="F104" s="500" t="s">
        <v>2620</v>
      </c>
      <c r="G104" s="500"/>
      <c r="H104" s="500"/>
      <c r="I104" s="500"/>
      <c r="J104" s="500"/>
      <c r="K104" s="501"/>
      <c r="L104" s="502"/>
      <c r="M104" s="503"/>
      <c r="N104" s="2985"/>
      <c r="O104" s="2985"/>
      <c r="P104" s="3010"/>
      <c r="Q104" s="2971"/>
      <c r="R104" s="2957"/>
      <c r="S104" s="2957"/>
      <c r="T104" s="2957"/>
      <c r="U104" s="2957"/>
      <c r="V104" s="2957"/>
      <c r="W104" s="2957"/>
      <c r="X104" s="2957"/>
      <c r="Y104" s="2957"/>
      <c r="Z104" s="2957"/>
      <c r="AA104" s="2957"/>
      <c r="AB104" s="2957"/>
      <c r="AC104" s="2957"/>
    </row>
    <row r="105" spans="1:29" ht="14.4" thickBot="1">
      <c r="A105" s="495"/>
      <c r="B105" s="504"/>
      <c r="C105" s="505">
        <v>100</v>
      </c>
      <c r="D105" s="505">
        <f>C105-$K31</f>
        <v>100</v>
      </c>
      <c r="E105" s="505">
        <f t="shared" ref="E105:M105" si="22">D105-$K31</f>
        <v>100</v>
      </c>
      <c r="F105" s="505">
        <f t="shared" si="22"/>
        <v>100</v>
      </c>
      <c r="G105" s="505">
        <f t="shared" si="22"/>
        <v>100</v>
      </c>
      <c r="H105" s="505">
        <f t="shared" si="22"/>
        <v>100</v>
      </c>
      <c r="I105" s="505">
        <f t="shared" si="22"/>
        <v>100</v>
      </c>
      <c r="J105" s="505">
        <f t="shared" si="22"/>
        <v>100</v>
      </c>
      <c r="K105" s="505">
        <f t="shared" si="22"/>
        <v>100</v>
      </c>
      <c r="L105" s="505">
        <f t="shared" si="22"/>
        <v>100</v>
      </c>
      <c r="M105" s="505">
        <f t="shared" si="22"/>
        <v>100</v>
      </c>
      <c r="N105" s="2986"/>
      <c r="O105" s="2986"/>
      <c r="P105" s="3010"/>
      <c r="Q105" s="2971"/>
      <c r="R105" s="2957"/>
      <c r="S105" s="2957"/>
      <c r="T105" s="2957"/>
      <c r="U105" s="2957"/>
      <c r="V105" s="2957"/>
      <c r="W105" s="2957"/>
      <c r="X105" s="2957"/>
      <c r="Y105" s="2957"/>
      <c r="Z105" s="2957"/>
      <c r="AA105" s="2957"/>
      <c r="AB105" s="2957"/>
      <c r="AC105" s="2957"/>
    </row>
    <row r="106" spans="1:29" ht="29.4" thickTop="1">
      <c r="A106" s="495"/>
      <c r="B106" s="499" t="s">
        <v>2521</v>
      </c>
      <c r="C106" s="515"/>
      <c r="D106" s="515"/>
      <c r="E106" s="515"/>
      <c r="F106" s="515"/>
      <c r="G106" s="515"/>
      <c r="H106" s="544"/>
      <c r="I106" s="544"/>
      <c r="J106" s="544"/>
      <c r="K106" s="545"/>
      <c r="L106" s="546"/>
      <c r="M106" s="547"/>
      <c r="N106" s="2985"/>
      <c r="O106" s="2985"/>
      <c r="P106" s="3010"/>
      <c r="Q106" s="2971"/>
      <c r="R106" s="2957"/>
      <c r="S106" s="2957"/>
      <c r="T106" s="2957"/>
      <c r="U106" s="2957"/>
      <c r="V106" s="2957"/>
      <c r="W106" s="2957"/>
      <c r="X106" s="2957"/>
      <c r="Y106" s="2957"/>
      <c r="Z106" s="2957"/>
      <c r="AA106" s="2957"/>
      <c r="AB106" s="2957"/>
      <c r="AC106" s="2957"/>
    </row>
    <row r="107" spans="1:29" ht="14.4" thickBot="1">
      <c r="A107" s="495"/>
      <c r="B107" s="504"/>
      <c r="C107" s="505">
        <v>100</v>
      </c>
      <c r="D107" s="505">
        <f>C107-$K32</f>
        <v>100</v>
      </c>
      <c r="E107" s="505">
        <f t="shared" ref="E107:M107" si="23">D107-$K32</f>
        <v>100</v>
      </c>
      <c r="F107" s="505">
        <f t="shared" si="23"/>
        <v>100</v>
      </c>
      <c r="G107" s="505">
        <f t="shared" si="23"/>
        <v>100</v>
      </c>
      <c r="H107" s="505">
        <f t="shared" si="23"/>
        <v>100</v>
      </c>
      <c r="I107" s="505">
        <f t="shared" si="23"/>
        <v>100</v>
      </c>
      <c r="J107" s="505">
        <f t="shared" si="23"/>
        <v>100</v>
      </c>
      <c r="K107" s="505">
        <f t="shared" si="23"/>
        <v>100</v>
      </c>
      <c r="L107" s="505">
        <f t="shared" si="23"/>
        <v>100</v>
      </c>
      <c r="M107" s="505">
        <f t="shared" si="23"/>
        <v>100</v>
      </c>
      <c r="N107" s="2986"/>
      <c r="O107" s="2986"/>
      <c r="P107" s="3010"/>
      <c r="Q107" s="2971"/>
      <c r="R107" s="2957"/>
      <c r="S107" s="2957"/>
      <c r="T107" s="2957"/>
      <c r="U107" s="2957"/>
      <c r="V107" s="2957"/>
      <c r="W107" s="2957"/>
      <c r="X107" s="2957"/>
      <c r="Y107" s="2957"/>
      <c r="Z107" s="2957"/>
      <c r="AA107" s="2957"/>
      <c r="AB107" s="2957"/>
      <c r="AC107" s="2957"/>
    </row>
    <row r="108" spans="1:29" ht="15" thickTop="1">
      <c r="A108" s="495"/>
      <c r="B108" s="499" t="s">
        <v>2580</v>
      </c>
      <c r="C108" s="544"/>
      <c r="D108" s="544"/>
      <c r="E108" s="544"/>
      <c r="F108" s="544"/>
      <c r="G108" s="544"/>
      <c r="H108" s="544"/>
      <c r="I108" s="544"/>
      <c r="J108" s="544"/>
      <c r="K108" s="545"/>
      <c r="L108" s="546"/>
      <c r="M108" s="547"/>
      <c r="N108" s="2985"/>
      <c r="O108" s="2985"/>
      <c r="P108" s="3010"/>
      <c r="Q108" s="2971"/>
      <c r="R108" s="2957"/>
      <c r="S108" s="2957"/>
      <c r="T108" s="2957"/>
      <c r="U108" s="2957"/>
      <c r="V108" s="2957"/>
      <c r="W108" s="2957"/>
      <c r="X108" s="2957"/>
      <c r="Y108" s="2957"/>
      <c r="Z108" s="2957"/>
      <c r="AA108" s="2957"/>
      <c r="AB108" s="2957"/>
      <c r="AC108" s="2957"/>
    </row>
    <row r="109" spans="1:29" ht="14.4" thickBot="1">
      <c r="A109" s="495"/>
      <c r="B109" s="504"/>
      <c r="C109" s="505">
        <v>100</v>
      </c>
      <c r="D109" s="505">
        <f>C109-$K34</f>
        <v>100</v>
      </c>
      <c r="E109" s="505">
        <f t="shared" ref="E109:M109" si="24">D109-$K34</f>
        <v>100</v>
      </c>
      <c r="F109" s="505">
        <f t="shared" si="24"/>
        <v>100</v>
      </c>
      <c r="G109" s="505">
        <f t="shared" si="24"/>
        <v>100</v>
      </c>
      <c r="H109" s="505">
        <f t="shared" si="24"/>
        <v>100</v>
      </c>
      <c r="I109" s="505">
        <f t="shared" si="24"/>
        <v>100</v>
      </c>
      <c r="J109" s="505">
        <f t="shared" si="24"/>
        <v>100</v>
      </c>
      <c r="K109" s="505">
        <f t="shared" si="24"/>
        <v>100</v>
      </c>
      <c r="L109" s="505">
        <f t="shared" si="24"/>
        <v>100</v>
      </c>
      <c r="M109" s="505">
        <f t="shared" si="24"/>
        <v>100</v>
      </c>
      <c r="N109" s="2986"/>
      <c r="O109" s="2986"/>
      <c r="P109" s="3010"/>
      <c r="Q109" s="2971"/>
      <c r="R109" s="2957"/>
      <c r="S109" s="2957"/>
      <c r="T109" s="2957"/>
      <c r="U109" s="2957"/>
      <c r="V109" s="2957"/>
      <c r="W109" s="2957"/>
      <c r="X109" s="2957"/>
      <c r="Y109" s="2957"/>
      <c r="Z109" s="2957"/>
      <c r="AA109" s="2957"/>
      <c r="AB109" s="2957"/>
      <c r="AC109" s="2957"/>
    </row>
    <row r="110" spans="1:29" ht="14.4" thickTop="1">
      <c r="A110" s="495"/>
      <c r="B110" s="507">
        <f>B35</f>
        <v>111</v>
      </c>
      <c r="C110" s="515"/>
      <c r="D110" s="515"/>
      <c r="E110" s="515"/>
      <c r="F110" s="515"/>
      <c r="G110" s="548"/>
      <c r="H110" s="548"/>
      <c r="I110" s="548"/>
      <c r="J110" s="548"/>
      <c r="K110" s="549"/>
      <c r="L110" s="550"/>
      <c r="M110" s="551"/>
      <c r="N110" s="2985"/>
      <c r="O110" s="2985"/>
      <c r="P110" s="3010"/>
      <c r="Q110" s="2971"/>
      <c r="R110" s="2957"/>
      <c r="S110" s="2957"/>
      <c r="T110" s="2957"/>
      <c r="U110" s="2957"/>
      <c r="V110" s="2957"/>
      <c r="W110" s="2957"/>
      <c r="X110" s="2957"/>
      <c r="Y110" s="2957"/>
      <c r="Z110" s="2957"/>
      <c r="AA110" s="2957"/>
      <c r="AB110" s="2957"/>
      <c r="AC110" s="2957"/>
    </row>
    <row r="111" spans="1:29" ht="14.4" thickBot="1">
      <c r="A111" s="495"/>
      <c r="B111" s="530"/>
      <c r="C111" s="521"/>
      <c r="D111" s="521"/>
      <c r="E111" s="521"/>
      <c r="F111" s="521"/>
      <c r="G111" s="552"/>
      <c r="H111" s="552"/>
      <c r="I111" s="552"/>
      <c r="J111" s="552"/>
      <c r="K111" s="552"/>
      <c r="L111" s="552"/>
      <c r="M111" s="553"/>
      <c r="N111" s="2986"/>
      <c r="O111" s="2986"/>
      <c r="P111" s="3010"/>
      <c r="Q111" s="2971"/>
      <c r="R111" s="2957"/>
      <c r="S111" s="2957"/>
      <c r="T111" s="2957"/>
      <c r="U111" s="2957"/>
      <c r="V111" s="2957"/>
      <c r="W111" s="2957"/>
      <c r="X111" s="2957"/>
      <c r="Y111" s="2957"/>
      <c r="Z111" s="2957"/>
      <c r="AA111" s="2957"/>
      <c r="AB111" s="2957"/>
      <c r="AC111" s="2957"/>
    </row>
    <row r="112" spans="1:29" ht="14.4" thickTop="1">
      <c r="A112" s="635"/>
      <c r="B112" s="499">
        <f>B36</f>
        <v>111</v>
      </c>
      <c r="C112" s="484"/>
      <c r="D112" s="484"/>
      <c r="E112" s="484"/>
      <c r="F112" s="484"/>
      <c r="G112" s="544"/>
      <c r="H112" s="544"/>
      <c r="I112" s="544"/>
      <c r="J112" s="544"/>
      <c r="K112" s="545"/>
      <c r="L112" s="546"/>
      <c r="M112" s="547"/>
      <c r="N112" s="2985"/>
      <c r="O112" s="2985"/>
      <c r="P112" s="3010"/>
      <c r="Q112" s="2971"/>
      <c r="R112" s="2957"/>
      <c r="S112" s="2957"/>
      <c r="T112" s="2957"/>
      <c r="U112" s="2957"/>
      <c r="V112" s="2957"/>
      <c r="W112" s="2957"/>
      <c r="X112" s="2957"/>
      <c r="Y112" s="2957"/>
      <c r="Z112" s="2957"/>
      <c r="AA112" s="2957"/>
      <c r="AB112" s="2957"/>
      <c r="AC112" s="2957"/>
    </row>
    <row r="113" spans="1:29" ht="14.4" thickBot="1">
      <c r="A113" s="495"/>
      <c r="B113" s="504"/>
      <c r="C113" s="531"/>
      <c r="D113" s="531"/>
      <c r="E113" s="531"/>
      <c r="F113" s="531"/>
      <c r="G113" s="497"/>
      <c r="H113" s="497"/>
      <c r="I113" s="497"/>
      <c r="J113" s="497"/>
      <c r="K113" s="497"/>
      <c r="L113" s="497"/>
      <c r="M113" s="498"/>
      <c r="N113" s="2986"/>
      <c r="O113" s="2986"/>
      <c r="P113" s="3010"/>
      <c r="Q113" s="2971"/>
      <c r="R113" s="2957"/>
      <c r="S113" s="2957"/>
      <c r="T113" s="2957"/>
      <c r="U113" s="2957"/>
      <c r="V113" s="2957"/>
      <c r="W113" s="2957"/>
      <c r="X113" s="2957"/>
      <c r="Y113" s="2957"/>
      <c r="Z113" s="2957"/>
      <c r="AA113" s="2957"/>
      <c r="AB113" s="2957"/>
      <c r="AC113" s="2957"/>
    </row>
    <row r="114" spans="1:29" s="434" customFormat="1" ht="14.4" thickTop="1">
      <c r="A114" s="554"/>
      <c r="B114" s="555">
        <f>B37</f>
        <v>111</v>
      </c>
      <c r="C114" s="556"/>
      <c r="D114" s="556"/>
      <c r="E114" s="556"/>
      <c r="F114" s="556"/>
      <c r="G114" s="556"/>
      <c r="H114" s="556"/>
      <c r="I114" s="556"/>
      <c r="J114" s="557"/>
      <c r="K114" s="557"/>
      <c r="L114" s="558"/>
      <c r="M114" s="559"/>
      <c r="N114" s="2987"/>
      <c r="O114" s="2987"/>
      <c r="P114" s="3011"/>
      <c r="Q114" s="2978"/>
      <c r="R114" s="2979"/>
      <c r="S114" s="2979"/>
      <c r="T114" s="2979"/>
      <c r="U114" s="2979"/>
      <c r="V114" s="2979"/>
      <c r="W114" s="2979"/>
      <c r="X114" s="2979"/>
      <c r="Y114" s="2979"/>
      <c r="Z114" s="2979"/>
      <c r="AA114" s="2979"/>
      <c r="AB114" s="2979"/>
      <c r="AC114" s="2979"/>
    </row>
    <row r="115" spans="1:29" s="434" customFormat="1" ht="14.4" thickBot="1">
      <c r="A115" s="514"/>
      <c r="B115" s="507"/>
      <c r="C115" s="473"/>
      <c r="D115" s="637"/>
      <c r="E115" s="637"/>
      <c r="F115" s="637"/>
      <c r="G115" s="637"/>
      <c r="H115" s="637"/>
      <c r="I115" s="637"/>
      <c r="J115" s="637"/>
      <c r="K115" s="637"/>
      <c r="L115" s="637"/>
      <c r="M115" s="659"/>
      <c r="N115" s="2986"/>
      <c r="O115" s="2986"/>
      <c r="P115" s="3011"/>
      <c r="Q115" s="2978"/>
      <c r="R115" s="2979"/>
      <c r="S115" s="2979"/>
      <c r="T115" s="2979"/>
      <c r="U115" s="2979"/>
      <c r="V115" s="2979"/>
      <c r="W115" s="2979"/>
      <c r="X115" s="2979"/>
      <c r="Y115" s="2979"/>
      <c r="Z115" s="2979"/>
      <c r="AA115" s="2979"/>
      <c r="AB115" s="2979"/>
      <c r="AC115" s="2979"/>
    </row>
    <row r="116" spans="1:29" ht="14.4">
      <c r="A116" s="488" t="s">
        <v>2393</v>
      </c>
      <c r="B116" s="489" t="s">
        <v>2621</v>
      </c>
      <c r="C116" s="490" t="str">
        <f>C117&amp;"(含)"&amp;"-"&amp;D117</f>
        <v>(含)-</v>
      </c>
      <c r="D116" s="490" t="str">
        <f t="shared" ref="D116:M116" si="25">D117&amp;"(含)"&amp;"-"&amp;E117</f>
        <v>(含)-</v>
      </c>
      <c r="E116" s="490" t="str">
        <f t="shared" si="25"/>
        <v>(含)-</v>
      </c>
      <c r="F116" s="490" t="str">
        <f t="shared" si="25"/>
        <v>(含)-</v>
      </c>
      <c r="G116" s="490" t="str">
        <f t="shared" si="25"/>
        <v>(含)-</v>
      </c>
      <c r="H116" s="490" t="str">
        <f t="shared" si="25"/>
        <v>(含)-</v>
      </c>
      <c r="I116" s="490" t="str">
        <f t="shared" si="25"/>
        <v>(含)-</v>
      </c>
      <c r="J116" s="490" t="str">
        <f t="shared" si="25"/>
        <v>(含)-</v>
      </c>
      <c r="K116" s="490" t="str">
        <f t="shared" si="25"/>
        <v>(含)-</v>
      </c>
      <c r="L116" s="490" t="str">
        <f t="shared" si="25"/>
        <v>(含)-</v>
      </c>
      <c r="M116" s="490" t="str">
        <f t="shared" si="25"/>
        <v>(含)-</v>
      </c>
      <c r="N116" s="2985"/>
      <c r="O116" s="2985"/>
      <c r="P116" s="3010"/>
      <c r="Q116" s="2971"/>
      <c r="R116" s="2957"/>
      <c r="S116" s="2957"/>
      <c r="T116" s="2957"/>
      <c r="U116" s="2957"/>
      <c r="V116" s="2957"/>
      <c r="W116" s="2957"/>
      <c r="X116" s="2957"/>
      <c r="Y116" s="2957"/>
      <c r="Z116" s="2957"/>
      <c r="AA116" s="2957"/>
      <c r="AB116" s="2957"/>
      <c r="AC116" s="2957"/>
    </row>
    <row r="117" spans="1:29">
      <c r="A117" s="495"/>
      <c r="B117" s="507"/>
      <c r="C117" s="556"/>
      <c r="D117" s="556"/>
      <c r="E117" s="556"/>
      <c r="F117" s="556"/>
      <c r="G117" s="556"/>
      <c r="H117" s="556"/>
      <c r="I117" s="556"/>
      <c r="J117" s="557"/>
      <c r="K117" s="557"/>
      <c r="L117" s="558"/>
      <c r="M117" s="559"/>
      <c r="N117" s="2985"/>
      <c r="O117" s="2985"/>
      <c r="P117" s="3010"/>
      <c r="Q117" s="2971"/>
      <c r="R117" s="2957"/>
      <c r="S117" s="2957"/>
      <c r="T117" s="2957"/>
      <c r="U117" s="2957"/>
      <c r="V117" s="2957"/>
      <c r="W117" s="2957"/>
      <c r="X117" s="2957"/>
      <c r="Y117" s="2957"/>
      <c r="Z117" s="2957"/>
      <c r="AA117" s="2957"/>
      <c r="AB117" s="2957"/>
      <c r="AC117" s="2957"/>
    </row>
    <row r="118" spans="1:29" ht="14.4" thickBot="1">
      <c r="A118" s="495"/>
      <c r="B118" s="504"/>
      <c r="C118" s="531"/>
      <c r="D118" s="552"/>
      <c r="E118" s="552"/>
      <c r="F118" s="552"/>
      <c r="G118" s="552"/>
      <c r="H118" s="552"/>
      <c r="I118" s="552"/>
      <c r="J118" s="552"/>
      <c r="K118" s="552"/>
      <c r="L118" s="552"/>
      <c r="M118" s="553"/>
      <c r="N118" s="2986"/>
      <c r="O118" s="2986"/>
      <c r="P118" s="3010"/>
      <c r="Q118" s="2971"/>
      <c r="R118" s="2957"/>
      <c r="S118" s="2957"/>
      <c r="T118" s="2957"/>
      <c r="U118" s="2957"/>
      <c r="V118" s="2957"/>
      <c r="W118" s="2957"/>
      <c r="X118" s="2957"/>
      <c r="Y118" s="2957"/>
      <c r="Z118" s="2957"/>
      <c r="AA118" s="2957"/>
      <c r="AB118" s="2957"/>
      <c r="AC118" s="2957"/>
    </row>
    <row r="119" spans="1:29" ht="15" thickTop="1">
      <c r="A119" s="560"/>
      <c r="B119" s="499" t="s">
        <v>2622</v>
      </c>
      <c r="C119" s="544"/>
      <c r="D119" s="544"/>
      <c r="E119" s="544"/>
      <c r="F119" s="544"/>
      <c r="G119" s="544"/>
      <c r="H119" s="544"/>
      <c r="I119" s="544"/>
      <c r="J119" s="544"/>
      <c r="K119" s="545"/>
      <c r="L119" s="546"/>
      <c r="M119" s="547"/>
      <c r="N119" s="2985"/>
      <c r="O119" s="2985"/>
      <c r="P119" s="3010"/>
      <c r="Q119" s="2971"/>
      <c r="R119" s="2957"/>
      <c r="S119" s="2957"/>
      <c r="T119" s="2957"/>
      <c r="U119" s="2957"/>
      <c r="V119" s="2957"/>
      <c r="W119" s="2957"/>
      <c r="X119" s="2957"/>
      <c r="Y119" s="2957"/>
      <c r="Z119" s="2957"/>
      <c r="AA119" s="2957"/>
      <c r="AB119" s="2957"/>
      <c r="AC119" s="2957"/>
    </row>
    <row r="120" spans="1:29" ht="14.4" thickBot="1">
      <c r="A120" s="495"/>
      <c r="B120" s="504"/>
      <c r="C120" s="505">
        <v>100</v>
      </c>
      <c r="D120" s="505">
        <f t="shared" ref="D120:M120" si="26">C120-$K39</f>
        <v>100</v>
      </c>
      <c r="E120" s="505">
        <f t="shared" si="26"/>
        <v>100</v>
      </c>
      <c r="F120" s="505">
        <f t="shared" si="26"/>
        <v>100</v>
      </c>
      <c r="G120" s="505">
        <f t="shared" si="26"/>
        <v>100</v>
      </c>
      <c r="H120" s="505">
        <f t="shared" si="26"/>
        <v>100</v>
      </c>
      <c r="I120" s="505">
        <f t="shared" si="26"/>
        <v>100</v>
      </c>
      <c r="J120" s="505">
        <f t="shared" si="26"/>
        <v>100</v>
      </c>
      <c r="K120" s="505">
        <f t="shared" si="26"/>
        <v>100</v>
      </c>
      <c r="L120" s="505">
        <f t="shared" si="26"/>
        <v>100</v>
      </c>
      <c r="M120" s="506">
        <f t="shared" si="26"/>
        <v>100</v>
      </c>
      <c r="N120" s="2986"/>
      <c r="O120" s="2986"/>
      <c r="P120" s="3010"/>
      <c r="Q120" s="2971"/>
      <c r="R120" s="2957"/>
      <c r="S120" s="2957"/>
      <c r="T120" s="2957"/>
      <c r="U120" s="2957"/>
      <c r="V120" s="2957"/>
      <c r="W120" s="2957"/>
      <c r="X120" s="2957"/>
      <c r="Y120" s="2957"/>
      <c r="Z120" s="2957"/>
      <c r="AA120" s="2957"/>
      <c r="AB120" s="2957"/>
      <c r="AC120" s="2957"/>
    </row>
    <row r="121" spans="1:29" ht="15" thickTop="1">
      <c r="A121" s="560"/>
      <c r="B121" s="499" t="s">
        <v>2623</v>
      </c>
      <c r="C121" s="515"/>
      <c r="D121" s="515"/>
      <c r="E121" s="515"/>
      <c r="F121" s="544"/>
      <c r="G121" s="544"/>
      <c r="H121" s="544"/>
      <c r="I121" s="544"/>
      <c r="J121" s="544"/>
      <c r="K121" s="545"/>
      <c r="L121" s="546"/>
      <c r="M121" s="547"/>
      <c r="N121" s="2985"/>
      <c r="O121" s="2985"/>
      <c r="P121" s="3010"/>
      <c r="Q121" s="2971"/>
      <c r="R121" s="2957"/>
      <c r="S121" s="2957"/>
      <c r="T121" s="2957"/>
      <c r="U121" s="2957"/>
      <c r="V121" s="2957"/>
      <c r="W121" s="2957"/>
      <c r="X121" s="2957"/>
      <c r="Y121" s="2957"/>
      <c r="Z121" s="2957"/>
      <c r="AA121" s="2957"/>
      <c r="AB121" s="2957"/>
      <c r="AC121" s="2957"/>
    </row>
    <row r="122" spans="1:29" ht="14.4" thickBot="1">
      <c r="A122" s="495"/>
      <c r="B122" s="504"/>
      <c r="C122" s="505">
        <v>100</v>
      </c>
      <c r="D122" s="505">
        <f t="shared" ref="D122:M122" si="27">C122-$K40</f>
        <v>100</v>
      </c>
      <c r="E122" s="505">
        <f t="shared" si="27"/>
        <v>100</v>
      </c>
      <c r="F122" s="505">
        <f t="shared" si="27"/>
        <v>100</v>
      </c>
      <c r="G122" s="505">
        <f t="shared" si="27"/>
        <v>100</v>
      </c>
      <c r="H122" s="505">
        <f t="shared" si="27"/>
        <v>100</v>
      </c>
      <c r="I122" s="505">
        <f t="shared" si="27"/>
        <v>100</v>
      </c>
      <c r="J122" s="505">
        <f t="shared" si="27"/>
        <v>100</v>
      </c>
      <c r="K122" s="505">
        <f t="shared" si="27"/>
        <v>100</v>
      </c>
      <c r="L122" s="505">
        <f t="shared" si="27"/>
        <v>100</v>
      </c>
      <c r="M122" s="506">
        <f t="shared" si="27"/>
        <v>100</v>
      </c>
      <c r="N122" s="2986"/>
      <c r="O122" s="2986"/>
      <c r="P122" s="3010"/>
      <c r="Q122" s="2971"/>
      <c r="R122" s="2957"/>
      <c r="S122" s="2957"/>
      <c r="T122" s="2957"/>
      <c r="U122" s="2957"/>
      <c r="V122" s="2957"/>
      <c r="W122" s="2957"/>
      <c r="X122" s="2957"/>
      <c r="Y122" s="2957"/>
      <c r="Z122" s="2957"/>
      <c r="AA122" s="2957"/>
      <c r="AB122" s="2957"/>
      <c r="AC122" s="2957"/>
    </row>
    <row r="123" spans="1:29" s="434" customFormat="1" ht="15" thickTop="1">
      <c r="A123" s="554"/>
      <c r="B123" s="499" t="s">
        <v>2624</v>
      </c>
      <c r="C123" s="515"/>
      <c r="D123" s="515"/>
      <c r="E123" s="515"/>
      <c r="F123" s="515"/>
      <c r="G123" s="515"/>
      <c r="H123" s="544"/>
      <c r="I123" s="544"/>
      <c r="J123" s="544"/>
      <c r="K123" s="545"/>
      <c r="L123" s="546"/>
      <c r="M123" s="547"/>
      <c r="N123" s="2987"/>
      <c r="O123" s="2987"/>
      <c r="P123" s="3011"/>
      <c r="Q123" s="2978"/>
      <c r="R123" s="2979"/>
      <c r="S123" s="2979"/>
      <c r="T123" s="2979"/>
      <c r="U123" s="2979"/>
      <c r="V123" s="2979"/>
      <c r="W123" s="2979"/>
      <c r="X123" s="2979"/>
      <c r="Y123" s="2979"/>
      <c r="Z123" s="2979"/>
      <c r="AA123" s="2979"/>
      <c r="AB123" s="2979"/>
      <c r="AC123" s="2979"/>
    </row>
    <row r="124" spans="1:29" s="434" customFormat="1" ht="14.4" thickBot="1">
      <c r="A124" s="514"/>
      <c r="B124" s="504"/>
      <c r="C124" s="505">
        <v>100</v>
      </c>
      <c r="D124" s="505">
        <f>C124-$K41</f>
        <v>100</v>
      </c>
      <c r="E124" s="505">
        <f t="shared" ref="E124:M124" si="28">D124-$K41</f>
        <v>100</v>
      </c>
      <c r="F124" s="505">
        <f t="shared" si="28"/>
        <v>100</v>
      </c>
      <c r="G124" s="505">
        <f t="shared" si="28"/>
        <v>100</v>
      </c>
      <c r="H124" s="505">
        <f t="shared" si="28"/>
        <v>100</v>
      </c>
      <c r="I124" s="505">
        <f t="shared" si="28"/>
        <v>100</v>
      </c>
      <c r="J124" s="505">
        <f t="shared" si="28"/>
        <v>100</v>
      </c>
      <c r="K124" s="505">
        <f t="shared" si="28"/>
        <v>100</v>
      </c>
      <c r="L124" s="505">
        <f t="shared" si="28"/>
        <v>100</v>
      </c>
      <c r="M124" s="506">
        <f t="shared" si="28"/>
        <v>100</v>
      </c>
      <c r="N124" s="2987"/>
      <c r="O124" s="2987"/>
      <c r="P124" s="3011"/>
      <c r="Q124" s="2978"/>
      <c r="R124" s="2979"/>
      <c r="S124" s="2979"/>
      <c r="T124" s="2979"/>
      <c r="U124" s="2979"/>
      <c r="V124" s="2979"/>
      <c r="W124" s="2979"/>
      <c r="X124" s="2979"/>
      <c r="Y124" s="2979"/>
      <c r="Z124" s="2979"/>
      <c r="AA124" s="2979"/>
      <c r="AB124" s="2979"/>
      <c r="AC124" s="2979"/>
    </row>
    <row r="125" spans="1:29" ht="15" thickTop="1">
      <c r="A125" s="560"/>
      <c r="B125" s="499" t="s">
        <v>2625</v>
      </c>
      <c r="C125" s="515"/>
      <c r="D125" s="515"/>
      <c r="E125" s="544"/>
      <c r="F125" s="544"/>
      <c r="G125" s="544"/>
      <c r="H125" s="544"/>
      <c r="I125" s="544"/>
      <c r="J125" s="544"/>
      <c r="K125" s="545"/>
      <c r="L125" s="546"/>
      <c r="M125" s="547"/>
      <c r="N125" s="2985"/>
      <c r="O125" s="2985"/>
      <c r="P125" s="3010"/>
      <c r="Q125" s="2971"/>
      <c r="R125" s="2957"/>
      <c r="S125" s="2957"/>
      <c r="T125" s="2957"/>
      <c r="U125" s="2957"/>
      <c r="V125" s="2957"/>
      <c r="W125" s="2957"/>
      <c r="X125" s="2957"/>
      <c r="Y125" s="2957"/>
      <c r="Z125" s="2957"/>
      <c r="AA125" s="2957"/>
      <c r="AB125" s="2957"/>
      <c r="AC125" s="2957"/>
    </row>
    <row r="126" spans="1:29" ht="14.4" thickBot="1">
      <c r="A126" s="495"/>
      <c r="B126" s="504"/>
      <c r="C126" s="505">
        <v>100</v>
      </c>
      <c r="D126" s="505">
        <f t="shared" ref="D126:M126" si="29">C126-$K42</f>
        <v>100</v>
      </c>
      <c r="E126" s="505">
        <f t="shared" si="29"/>
        <v>100</v>
      </c>
      <c r="F126" s="505">
        <f t="shared" si="29"/>
        <v>100</v>
      </c>
      <c r="G126" s="505">
        <f t="shared" si="29"/>
        <v>100</v>
      </c>
      <c r="H126" s="505">
        <f t="shared" si="29"/>
        <v>100</v>
      </c>
      <c r="I126" s="505">
        <f t="shared" si="29"/>
        <v>100</v>
      </c>
      <c r="J126" s="505">
        <f t="shared" si="29"/>
        <v>100</v>
      </c>
      <c r="K126" s="505">
        <f t="shared" si="29"/>
        <v>100</v>
      </c>
      <c r="L126" s="505">
        <f t="shared" si="29"/>
        <v>100</v>
      </c>
      <c r="M126" s="506">
        <f t="shared" si="29"/>
        <v>100</v>
      </c>
      <c r="N126" s="2986"/>
      <c r="O126" s="2986"/>
      <c r="P126" s="3010"/>
      <c r="Q126" s="2971"/>
      <c r="R126" s="2957"/>
      <c r="S126" s="2957"/>
      <c r="T126" s="2957"/>
      <c r="U126" s="2957"/>
      <c r="V126" s="2957"/>
      <c r="W126" s="2957"/>
      <c r="X126" s="2957"/>
      <c r="Y126" s="2957"/>
      <c r="Z126" s="2957"/>
      <c r="AA126" s="2957"/>
      <c r="AB126" s="2957"/>
      <c r="AC126" s="2957"/>
    </row>
    <row r="127" spans="1:29" ht="14.4" thickTop="1">
      <c r="A127" s="560"/>
      <c r="B127" s="499">
        <f>B43</f>
        <v>111</v>
      </c>
      <c r="C127" s="515"/>
      <c r="D127" s="515"/>
      <c r="E127" s="515"/>
      <c r="F127" s="515"/>
      <c r="G127" s="515"/>
      <c r="H127" s="544"/>
      <c r="I127" s="544"/>
      <c r="J127" s="544"/>
      <c r="K127" s="545"/>
      <c r="L127" s="546"/>
      <c r="M127" s="547"/>
      <c r="N127" s="2985"/>
      <c r="O127" s="2985"/>
      <c r="P127" s="3010"/>
      <c r="Q127" s="2971"/>
      <c r="R127" s="2957"/>
      <c r="S127" s="2957"/>
      <c r="T127" s="2957"/>
      <c r="U127" s="2957"/>
      <c r="V127" s="2957"/>
      <c r="W127" s="2957"/>
      <c r="X127" s="2957"/>
      <c r="Y127" s="2957"/>
      <c r="Z127" s="2957"/>
      <c r="AA127" s="2957"/>
      <c r="AB127" s="2957"/>
      <c r="AC127" s="2957"/>
    </row>
    <row r="128" spans="1:29" ht="14.4" thickBot="1">
      <c r="A128" s="495"/>
      <c r="B128" s="504"/>
      <c r="C128" s="521"/>
      <c r="D128" s="521"/>
      <c r="E128" s="521"/>
      <c r="F128" s="521"/>
      <c r="G128" s="497"/>
      <c r="H128" s="497"/>
      <c r="I128" s="497"/>
      <c r="J128" s="497"/>
      <c r="K128" s="497"/>
      <c r="L128" s="497"/>
      <c r="M128" s="498"/>
      <c r="N128" s="2986"/>
      <c r="O128" s="2986"/>
      <c r="P128" s="3010"/>
      <c r="Q128" s="2971"/>
      <c r="R128" s="2957"/>
      <c r="S128" s="2957"/>
      <c r="T128" s="2957"/>
      <c r="U128" s="2957"/>
      <c r="V128" s="2957"/>
      <c r="W128" s="2957"/>
      <c r="X128" s="2957"/>
      <c r="Y128" s="2957"/>
      <c r="Z128" s="2957"/>
      <c r="AA128" s="2957"/>
      <c r="AB128" s="2957"/>
      <c r="AC128" s="2957"/>
    </row>
    <row r="129" spans="1:29" ht="14.4" thickTop="1">
      <c r="A129" s="560"/>
      <c r="B129" s="499">
        <f>B44</f>
        <v>111</v>
      </c>
      <c r="C129" s="484"/>
      <c r="D129" s="484"/>
      <c r="E129" s="484"/>
      <c r="F129" s="484"/>
      <c r="G129" s="544"/>
      <c r="H129" s="544"/>
      <c r="I129" s="544"/>
      <c r="J129" s="544"/>
      <c r="K129" s="545"/>
      <c r="L129" s="546"/>
      <c r="M129" s="547"/>
      <c r="N129" s="2985"/>
      <c r="O129" s="2985"/>
      <c r="P129" s="3010"/>
      <c r="Q129" s="2971"/>
      <c r="R129" s="2957"/>
      <c r="S129" s="2957"/>
      <c r="T129" s="2957"/>
      <c r="U129" s="2957"/>
      <c r="V129" s="2957"/>
      <c r="W129" s="2957"/>
      <c r="X129" s="2957"/>
      <c r="Y129" s="2957"/>
      <c r="Z129" s="2957"/>
      <c r="AA129" s="2957"/>
      <c r="AB129" s="2957"/>
      <c r="AC129" s="2957"/>
    </row>
    <row r="130" spans="1:29" ht="14.4" thickBot="1">
      <c r="A130" s="495"/>
      <c r="B130" s="504"/>
      <c r="C130" s="531"/>
      <c r="D130" s="531"/>
      <c r="E130" s="531"/>
      <c r="F130" s="531"/>
      <c r="G130" s="497"/>
      <c r="H130" s="497"/>
      <c r="I130" s="497"/>
      <c r="J130" s="497"/>
      <c r="K130" s="497"/>
      <c r="L130" s="497"/>
      <c r="M130" s="498"/>
      <c r="N130" s="2986"/>
      <c r="O130" s="2986"/>
      <c r="P130" s="3010"/>
      <c r="Q130" s="2971"/>
      <c r="R130" s="2957"/>
      <c r="S130" s="2957"/>
      <c r="T130" s="2957"/>
      <c r="U130" s="2957"/>
      <c r="V130" s="2957"/>
      <c r="W130" s="2957"/>
      <c r="X130" s="2957"/>
      <c r="Y130" s="2957"/>
      <c r="Z130" s="2957"/>
      <c r="AA130" s="2957"/>
      <c r="AB130" s="2957"/>
      <c r="AC130" s="2957"/>
    </row>
    <row r="131" spans="1:29" s="434" customFormat="1" ht="14.4" thickTop="1">
      <c r="A131" s="554"/>
      <c r="B131" s="499">
        <f>B45</f>
        <v>111</v>
      </c>
      <c r="C131" s="484"/>
      <c r="D131" s="484"/>
      <c r="E131" s="484"/>
      <c r="F131" s="484"/>
      <c r="G131" s="516"/>
      <c r="H131" s="516"/>
      <c r="I131" s="516"/>
      <c r="J131" s="516"/>
      <c r="K131" s="516"/>
      <c r="L131" s="517"/>
      <c r="M131" s="518"/>
      <c r="N131" s="2987"/>
      <c r="O131" s="2987"/>
      <c r="P131" s="3011"/>
      <c r="Q131" s="2978"/>
      <c r="R131" s="2979"/>
      <c r="S131" s="2979"/>
      <c r="T131" s="2979"/>
      <c r="U131" s="2979"/>
      <c r="V131" s="2979"/>
      <c r="W131" s="2979"/>
      <c r="X131" s="2979"/>
      <c r="Y131" s="2979"/>
      <c r="Z131" s="2979"/>
      <c r="AA131" s="2979"/>
      <c r="AB131" s="2979"/>
      <c r="AC131" s="2979"/>
    </row>
    <row r="132" spans="1:29" s="434" customFormat="1" ht="14.4" thickBot="1">
      <c r="A132" s="529"/>
      <c r="B132" s="660"/>
      <c r="C132" s="531"/>
      <c r="D132" s="531"/>
      <c r="E132" s="531"/>
      <c r="F132" s="531"/>
      <c r="G132" s="552"/>
      <c r="H132" s="552"/>
      <c r="I132" s="552"/>
      <c r="J132" s="552"/>
      <c r="K132" s="552"/>
      <c r="L132" s="552"/>
      <c r="M132" s="553"/>
      <c r="N132" s="2987"/>
      <c r="O132" s="2987"/>
      <c r="P132" s="3011"/>
      <c r="Q132" s="2978"/>
      <c r="R132" s="2979"/>
      <c r="S132" s="2979"/>
      <c r="T132" s="2979"/>
      <c r="U132" s="2979"/>
      <c r="V132" s="2979"/>
      <c r="W132" s="2979"/>
      <c r="X132" s="2979"/>
      <c r="Y132" s="2979"/>
      <c r="Z132" s="2979"/>
      <c r="AA132" s="2979"/>
      <c r="AB132" s="2979"/>
      <c r="AC132" s="297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7" stopIfTrue="1" operator="containsText" text="超过">
      <formula>NOT(ISERROR(SEARCH("超过",F51)))</formula>
    </cfRule>
  </conditionalFormatting>
  <conditionalFormatting sqref="J53">
    <cfRule type="containsText" dxfId="32" priority="16" stopIfTrue="1" operator="containsText" text="超过">
      <formula>NOT(ISERROR(SEARCH("超过",J53)))</formula>
    </cfRule>
  </conditionalFormatting>
  <conditionalFormatting sqref="H53">
    <cfRule type="containsText" dxfId="31" priority="15" stopIfTrue="1" operator="containsText" text="超过">
      <formula>NOT(ISERROR(SEARCH("超过",H53)))</formula>
    </cfRule>
  </conditionalFormatting>
  <conditionalFormatting sqref="F53">
    <cfRule type="containsText" dxfId="30" priority="14" stopIfTrue="1" operator="containsText" text="超过">
      <formula>NOT(ISERROR(SEARCH("超过",F53)))</formula>
    </cfRule>
  </conditionalFormatting>
  <conditionalFormatting sqref="F52 H52 J52">
    <cfRule type="containsText" dxfId="29" priority="13" stopIfTrue="1" operator="containsText" text="超过">
      <formula>NOT(ISERROR(SEARCH("超过",F52)))</formula>
    </cfRule>
  </conditionalFormatting>
  <conditionalFormatting sqref="E51">
    <cfRule type="expression" dxfId="28" priority="12" stopIfTrue="1">
      <formula>$F$51="超过30%"</formula>
    </cfRule>
  </conditionalFormatting>
  <conditionalFormatting sqref="G53">
    <cfRule type="expression" dxfId="27" priority="11" stopIfTrue="1">
      <formula>$H$53="超过30%"</formula>
    </cfRule>
  </conditionalFormatting>
  <conditionalFormatting sqref="E52">
    <cfRule type="expression" dxfId="26" priority="10" stopIfTrue="1">
      <formula>$F$52="超过20%"</formula>
    </cfRule>
  </conditionalFormatting>
  <conditionalFormatting sqref="E53">
    <cfRule type="expression" dxfId="25" priority="9" stopIfTrue="1">
      <formula>$F$53="超过30%"</formula>
    </cfRule>
  </conditionalFormatting>
  <conditionalFormatting sqref="G51">
    <cfRule type="expression" dxfId="24" priority="8" stopIfTrue="1">
      <formula>$H$53+$H$51="超过30%"</formula>
    </cfRule>
  </conditionalFormatting>
  <conditionalFormatting sqref="G52">
    <cfRule type="expression" dxfId="23" priority="7" stopIfTrue="1">
      <formula>$H$52="超过20%"</formula>
    </cfRule>
  </conditionalFormatting>
  <conditionalFormatting sqref="I51">
    <cfRule type="expression" dxfId="22" priority="6" stopIfTrue="1">
      <formula>$J$51="超过30%"</formula>
    </cfRule>
  </conditionalFormatting>
  <conditionalFormatting sqref="I52">
    <cfRule type="expression" dxfId="21" priority="5" stopIfTrue="1">
      <formula>$J$52="超过20%"</formula>
    </cfRule>
  </conditionalFormatting>
  <conditionalFormatting sqref="I53">
    <cfRule type="expression" dxfId="20" priority="4" stopIfTrue="1">
      <formula>$J$53="超过30%"</formula>
    </cfRule>
  </conditionalFormatting>
  <conditionalFormatting sqref="F47">
    <cfRule type="expression" dxfId="19" priority="3">
      <formula>$D$47="简单平均"</formula>
    </cfRule>
  </conditionalFormatting>
  <conditionalFormatting sqref="H47">
    <cfRule type="expression" dxfId="18" priority="2">
      <formula>$D$47="简单平均"</formula>
    </cfRule>
  </conditionalFormatting>
  <conditionalFormatting sqref="J47">
    <cfRule type="expression" dxfId="17"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9" customWidth="1"/>
    <col min="2" max="9" width="8.21875" style="821" customWidth="1"/>
    <col min="10" max="13" width="8.21875" style="759"/>
    <col min="14" max="14" width="10" style="759" customWidth="1"/>
    <col min="15" max="16" width="8.21875" style="759"/>
    <col min="17" max="17" width="34.109375" style="759" customWidth="1"/>
    <col min="18" max="18" width="8.21875" style="759" customWidth="1"/>
    <col min="19" max="19" width="8.21875" style="759"/>
    <col min="20" max="20" width="11.6640625" style="759" customWidth="1"/>
    <col min="21" max="16384" width="8.21875" style="759"/>
  </cols>
  <sheetData>
    <row r="1" spans="1:13" ht="19.5" customHeight="1" thickBot="1">
      <c r="A1" s="799" t="s">
        <v>546</v>
      </c>
      <c r="B1" s="774" t="s">
        <v>157</v>
      </c>
      <c r="C1" s="774" t="s">
        <v>158</v>
      </c>
      <c r="D1" s="774" t="s">
        <v>159</v>
      </c>
      <c r="E1" s="774" t="s">
        <v>160</v>
      </c>
      <c r="F1" s="774" t="s">
        <v>161</v>
      </c>
      <c r="G1" s="774" t="s">
        <v>162</v>
      </c>
      <c r="H1" s="774" t="s">
        <v>163</v>
      </c>
      <c r="I1" s="774" t="s">
        <v>164</v>
      </c>
      <c r="J1" s="774" t="s">
        <v>165</v>
      </c>
      <c r="K1" s="774" t="s">
        <v>166</v>
      </c>
      <c r="L1" s="774" t="s">
        <v>167</v>
      </c>
      <c r="M1" s="775" t="s">
        <v>168</v>
      </c>
    </row>
    <row r="2" spans="1:13" ht="19.5" customHeight="1">
      <c r="A2" s="800" t="s">
        <v>183</v>
      </c>
      <c r="B2" s="801">
        <v>3.5</v>
      </c>
      <c r="C2" s="801">
        <v>3.5</v>
      </c>
      <c r="D2" s="802">
        <v>2.5</v>
      </c>
      <c r="E2" s="802">
        <v>2.5</v>
      </c>
      <c r="F2" s="802">
        <v>2.5</v>
      </c>
      <c r="G2" s="802">
        <v>2.5</v>
      </c>
      <c r="H2" s="802">
        <v>2.5</v>
      </c>
      <c r="I2" s="801">
        <v>2</v>
      </c>
      <c r="J2" s="801">
        <v>2</v>
      </c>
      <c r="K2" s="801">
        <v>2</v>
      </c>
      <c r="L2" s="801">
        <v>2</v>
      </c>
      <c r="M2" s="803">
        <v>2</v>
      </c>
    </row>
    <row r="3" spans="1:13" ht="19.5" customHeight="1">
      <c r="A3" s="804" t="s">
        <v>184</v>
      </c>
      <c r="B3" s="805">
        <v>3.5</v>
      </c>
      <c r="C3" s="805">
        <v>3.5</v>
      </c>
      <c r="D3" s="806">
        <v>2.5</v>
      </c>
      <c r="E3" s="806">
        <v>2.5</v>
      </c>
      <c r="F3" s="806">
        <v>2.5</v>
      </c>
      <c r="G3" s="806">
        <v>2.5</v>
      </c>
      <c r="H3" s="806">
        <v>2.5</v>
      </c>
      <c r="I3" s="805">
        <v>2</v>
      </c>
      <c r="J3" s="805">
        <v>2</v>
      </c>
      <c r="K3" s="805">
        <v>2</v>
      </c>
      <c r="L3" s="805">
        <v>2</v>
      </c>
      <c r="M3" s="807">
        <v>2</v>
      </c>
    </row>
    <row r="4" spans="1:13" ht="19.5" customHeight="1">
      <c r="A4" s="804" t="s">
        <v>752</v>
      </c>
      <c r="B4" s="806">
        <v>2.5</v>
      </c>
      <c r="C4" s="806">
        <v>2.5</v>
      </c>
      <c r="D4" s="806">
        <v>2.5</v>
      </c>
      <c r="E4" s="806">
        <v>2.5</v>
      </c>
      <c r="F4" s="806">
        <v>2.5</v>
      </c>
      <c r="G4" s="806">
        <v>2.5</v>
      </c>
      <c r="H4" s="806">
        <v>2.5</v>
      </c>
      <c r="I4" s="805">
        <v>1.5</v>
      </c>
      <c r="J4" s="805">
        <v>1.5</v>
      </c>
      <c r="K4" s="805">
        <v>1.5</v>
      </c>
      <c r="L4" s="805">
        <v>1.5</v>
      </c>
      <c r="M4" s="807">
        <v>1.5</v>
      </c>
    </row>
    <row r="5" spans="1:13" ht="19.5" customHeight="1" thickBot="1">
      <c r="A5" s="808" t="s">
        <v>186</v>
      </c>
      <c r="B5" s="809">
        <v>1.5</v>
      </c>
      <c r="C5" s="809">
        <v>1.5</v>
      </c>
      <c r="D5" s="809">
        <v>1.5</v>
      </c>
      <c r="E5" s="809">
        <v>1.5</v>
      </c>
      <c r="F5" s="809">
        <v>1.5</v>
      </c>
      <c r="G5" s="810">
        <v>1.2</v>
      </c>
      <c r="H5" s="810">
        <v>1.2</v>
      </c>
      <c r="I5" s="810">
        <v>1</v>
      </c>
      <c r="J5" s="810">
        <v>1</v>
      </c>
      <c r="K5" s="810">
        <v>1</v>
      </c>
      <c r="L5" s="810">
        <v>1</v>
      </c>
      <c r="M5" s="811">
        <v>1</v>
      </c>
    </row>
    <row r="6" spans="1:13" ht="19.5" customHeight="1">
      <c r="A6" s="812" t="s">
        <v>547</v>
      </c>
      <c r="B6" s="813">
        <v>80</v>
      </c>
      <c r="C6" s="813">
        <v>80</v>
      </c>
      <c r="D6" s="813">
        <v>65</v>
      </c>
      <c r="E6" s="813">
        <v>65</v>
      </c>
      <c r="F6" s="813">
        <v>65</v>
      </c>
      <c r="G6" s="813">
        <v>65</v>
      </c>
      <c r="H6" s="813">
        <v>65</v>
      </c>
      <c r="I6" s="813">
        <v>50</v>
      </c>
      <c r="J6" s="813">
        <v>50</v>
      </c>
      <c r="K6" s="813">
        <v>50</v>
      </c>
      <c r="L6" s="813">
        <v>50</v>
      </c>
      <c r="M6" s="814">
        <v>50</v>
      </c>
    </row>
    <row r="7" spans="1:13" ht="19.5" customHeight="1">
      <c r="A7" s="760" t="s">
        <v>548</v>
      </c>
      <c r="B7" s="761">
        <v>70</v>
      </c>
      <c r="C7" s="761">
        <v>70</v>
      </c>
      <c r="D7" s="761">
        <v>55</v>
      </c>
      <c r="E7" s="761">
        <v>55</v>
      </c>
      <c r="F7" s="761">
        <v>55</v>
      </c>
      <c r="G7" s="761">
        <v>55</v>
      </c>
      <c r="H7" s="761">
        <v>55</v>
      </c>
      <c r="I7" s="761">
        <v>40</v>
      </c>
      <c r="J7" s="761">
        <v>40</v>
      </c>
      <c r="K7" s="761">
        <v>40</v>
      </c>
      <c r="L7" s="761">
        <v>40</v>
      </c>
      <c r="M7" s="815">
        <v>40</v>
      </c>
    </row>
    <row r="8" spans="1:13" ht="19.5" customHeight="1">
      <c r="A8" s="760" t="s">
        <v>549</v>
      </c>
      <c r="B8" s="761">
        <v>20</v>
      </c>
      <c r="C8" s="761">
        <v>20</v>
      </c>
      <c r="D8" s="761">
        <v>15</v>
      </c>
      <c r="E8" s="761">
        <v>15</v>
      </c>
      <c r="F8" s="761">
        <v>15</v>
      </c>
      <c r="G8" s="761">
        <v>15</v>
      </c>
      <c r="H8" s="761">
        <v>15</v>
      </c>
      <c r="I8" s="761">
        <v>10</v>
      </c>
      <c r="J8" s="761">
        <v>10</v>
      </c>
      <c r="K8" s="761">
        <v>10</v>
      </c>
      <c r="L8" s="761">
        <v>10</v>
      </c>
      <c r="M8" s="815">
        <v>10</v>
      </c>
    </row>
    <row r="9" spans="1:13" ht="19.5" customHeight="1">
      <c r="A9" s="760" t="s">
        <v>550</v>
      </c>
      <c r="B9" s="761">
        <v>30</v>
      </c>
      <c r="C9" s="761">
        <v>30</v>
      </c>
      <c r="D9" s="761">
        <v>25</v>
      </c>
      <c r="E9" s="761">
        <v>25</v>
      </c>
      <c r="F9" s="761">
        <v>25</v>
      </c>
      <c r="G9" s="761">
        <v>25</v>
      </c>
      <c r="H9" s="761">
        <v>25</v>
      </c>
      <c r="I9" s="761">
        <v>20</v>
      </c>
      <c r="J9" s="761">
        <v>20</v>
      </c>
      <c r="K9" s="761">
        <v>20</v>
      </c>
      <c r="L9" s="761">
        <v>20</v>
      </c>
      <c r="M9" s="815">
        <v>20</v>
      </c>
    </row>
    <row r="10" spans="1:13" ht="19.5" customHeight="1">
      <c r="A10" s="760" t="s">
        <v>551</v>
      </c>
      <c r="B10" s="761">
        <v>45</v>
      </c>
      <c r="C10" s="761">
        <v>45</v>
      </c>
      <c r="D10" s="761">
        <v>35</v>
      </c>
      <c r="E10" s="761">
        <v>35</v>
      </c>
      <c r="F10" s="761">
        <v>35</v>
      </c>
      <c r="G10" s="761">
        <v>35</v>
      </c>
      <c r="H10" s="761">
        <v>35</v>
      </c>
      <c r="I10" s="761">
        <v>25</v>
      </c>
      <c r="J10" s="761">
        <v>25</v>
      </c>
      <c r="K10" s="761">
        <v>25</v>
      </c>
      <c r="L10" s="761">
        <v>25</v>
      </c>
      <c r="M10" s="815">
        <v>25</v>
      </c>
    </row>
    <row r="11" spans="1:13" ht="19.5" customHeight="1">
      <c r="A11" s="760" t="s">
        <v>552</v>
      </c>
      <c r="B11" s="761">
        <v>60</v>
      </c>
      <c r="C11" s="761">
        <v>60</v>
      </c>
      <c r="D11" s="761">
        <v>50</v>
      </c>
      <c r="E11" s="761">
        <v>50</v>
      </c>
      <c r="F11" s="761">
        <v>50</v>
      </c>
      <c r="G11" s="761">
        <v>50</v>
      </c>
      <c r="H11" s="761">
        <v>50</v>
      </c>
      <c r="I11" s="761">
        <v>40</v>
      </c>
      <c r="J11" s="761">
        <v>40</v>
      </c>
      <c r="K11" s="761">
        <v>40</v>
      </c>
      <c r="L11" s="761">
        <v>40</v>
      </c>
      <c r="M11" s="815">
        <v>40</v>
      </c>
    </row>
    <row r="12" spans="1:13" ht="19.5" customHeight="1">
      <c r="A12" s="760" t="s">
        <v>553</v>
      </c>
      <c r="B12" s="761">
        <v>50</v>
      </c>
      <c r="C12" s="761">
        <v>50</v>
      </c>
      <c r="D12" s="761">
        <v>40</v>
      </c>
      <c r="E12" s="761">
        <v>40</v>
      </c>
      <c r="F12" s="761">
        <v>40</v>
      </c>
      <c r="G12" s="761">
        <v>40</v>
      </c>
      <c r="H12" s="761">
        <v>40</v>
      </c>
      <c r="I12" s="761">
        <v>30</v>
      </c>
      <c r="J12" s="761">
        <v>30</v>
      </c>
      <c r="K12" s="761">
        <v>30</v>
      </c>
      <c r="L12" s="761">
        <v>30</v>
      </c>
      <c r="M12" s="815">
        <v>30</v>
      </c>
    </row>
    <row r="13" spans="1:13" ht="19.5" customHeight="1">
      <c r="A13" s="816" t="s">
        <v>554</v>
      </c>
      <c r="B13" s="766">
        <v>20</v>
      </c>
      <c r="C13" s="766">
        <v>20</v>
      </c>
      <c r="D13" s="766">
        <v>15</v>
      </c>
      <c r="E13" s="766">
        <v>15</v>
      </c>
      <c r="F13" s="766">
        <v>15</v>
      </c>
      <c r="G13" s="766">
        <v>15</v>
      </c>
      <c r="H13" s="766">
        <v>15</v>
      </c>
      <c r="I13" s="766">
        <v>10</v>
      </c>
      <c r="J13" s="766">
        <v>10</v>
      </c>
      <c r="K13" s="766">
        <v>10</v>
      </c>
      <c r="L13" s="766">
        <v>10</v>
      </c>
      <c r="M13" s="817">
        <v>10</v>
      </c>
    </row>
    <row r="14" spans="1:13" ht="19.5" customHeight="1">
      <c r="A14" s="761" t="s">
        <v>555</v>
      </c>
      <c r="B14" s="818">
        <v>0</v>
      </c>
      <c r="C14" s="818">
        <v>0</v>
      </c>
      <c r="D14" s="818">
        <v>0</v>
      </c>
      <c r="E14" s="818">
        <v>0</v>
      </c>
      <c r="F14" s="818">
        <v>0</v>
      </c>
      <c r="G14" s="818">
        <v>0</v>
      </c>
      <c r="H14" s="818">
        <v>0</v>
      </c>
      <c r="I14" s="818">
        <v>0</v>
      </c>
      <c r="J14" s="818">
        <v>0</v>
      </c>
      <c r="K14" s="818">
        <v>0</v>
      </c>
      <c r="L14" s="818">
        <v>0</v>
      </c>
      <c r="M14" s="818">
        <v>0</v>
      </c>
    </row>
    <row r="15" spans="1:13" ht="19.5" customHeight="1">
      <c r="A15" s="761" t="s">
        <v>2874</v>
      </c>
      <c r="B15" s="818">
        <f>SUM(B6:B13)</f>
        <v>375</v>
      </c>
      <c r="C15" s="818">
        <f t="shared" ref="C15:H15" si="0">SUM(C6:C13)</f>
        <v>375</v>
      </c>
      <c r="D15" s="818">
        <f t="shared" si="0"/>
        <v>300</v>
      </c>
      <c r="E15" s="818">
        <f t="shared" si="0"/>
        <v>300</v>
      </c>
      <c r="F15" s="818">
        <f t="shared" si="0"/>
        <v>300</v>
      </c>
      <c r="G15" s="818">
        <f t="shared" si="0"/>
        <v>300</v>
      </c>
      <c r="H15" s="818">
        <f t="shared" si="0"/>
        <v>300</v>
      </c>
      <c r="I15" s="818">
        <f>SUM(I6:I10,I13)</f>
        <v>155</v>
      </c>
      <c r="J15" s="818">
        <f t="shared" ref="J15:M15" si="1">SUM(J6:J10,J13)</f>
        <v>155</v>
      </c>
      <c r="K15" s="818">
        <f t="shared" si="1"/>
        <v>155</v>
      </c>
      <c r="L15" s="818">
        <f t="shared" si="1"/>
        <v>155</v>
      </c>
      <c r="M15" s="818">
        <f t="shared" si="1"/>
        <v>155</v>
      </c>
    </row>
    <row r="16" spans="1:13" ht="19.5" customHeight="1">
      <c r="A16" s="819" t="s">
        <v>556</v>
      </c>
      <c r="B16" s="819"/>
      <c r="C16" s="820"/>
      <c r="D16" s="820"/>
      <c r="E16" s="819"/>
      <c r="F16" s="820"/>
      <c r="G16" s="820"/>
    </row>
    <row r="17" spans="1:9" ht="19.5" customHeight="1">
      <c r="A17" s="761" t="s">
        <v>557</v>
      </c>
      <c r="B17" s="822" t="s">
        <v>558</v>
      </c>
      <c r="C17" s="876" t="s">
        <v>758</v>
      </c>
      <c r="D17" s="823"/>
      <c r="E17" s="761" t="s">
        <v>559</v>
      </c>
      <c r="F17" s="824"/>
      <c r="G17" s="824"/>
    </row>
    <row r="18" spans="1:9" s="830" customFormat="1" ht="19.5" customHeight="1">
      <c r="A18" s="3429" t="s">
        <v>183</v>
      </c>
      <c r="B18" s="825" t="s">
        <v>560</v>
      </c>
      <c r="C18" s="826" t="s">
        <v>561</v>
      </c>
      <c r="D18" s="827"/>
      <c r="E18" s="825">
        <v>1</v>
      </c>
      <c r="F18" s="828" t="s">
        <v>562</v>
      </c>
      <c r="G18" s="829"/>
      <c r="H18" s="821"/>
      <c r="I18" s="821"/>
    </row>
    <row r="19" spans="1:9" s="830" customFormat="1" ht="19.5" customHeight="1">
      <c r="A19" s="3429"/>
      <c r="B19" s="3429" t="s">
        <v>563</v>
      </c>
      <c r="C19" s="826" t="s">
        <v>564</v>
      </c>
      <c r="D19" s="827"/>
      <c r="E19" s="825">
        <v>0.9</v>
      </c>
      <c r="F19" s="828" t="s">
        <v>565</v>
      </c>
      <c r="G19" s="829"/>
      <c r="H19" s="821"/>
      <c r="I19" s="821"/>
    </row>
    <row r="20" spans="1:9" s="830" customFormat="1" ht="19.5" customHeight="1">
      <c r="A20" s="3429"/>
      <c r="B20" s="3429"/>
      <c r="C20" s="826" t="s">
        <v>566</v>
      </c>
      <c r="D20" s="827"/>
      <c r="E20" s="825">
        <v>1.1000000000000001</v>
      </c>
      <c r="F20" s="828" t="s">
        <v>567</v>
      </c>
      <c r="G20" s="829"/>
      <c r="H20" s="821"/>
      <c r="I20" s="821"/>
    </row>
    <row r="21" spans="1:9" s="830" customFormat="1" ht="19.5" customHeight="1">
      <c r="A21" s="3429"/>
      <c r="B21" s="3429"/>
      <c r="C21" s="826" t="s">
        <v>568</v>
      </c>
      <c r="D21" s="827"/>
      <c r="E21" s="825">
        <v>0.8</v>
      </c>
      <c r="F21" s="828" t="s">
        <v>569</v>
      </c>
      <c r="G21" s="829"/>
      <c r="H21" s="821"/>
      <c r="I21" s="821"/>
    </row>
    <row r="22" spans="1:9" s="830" customFormat="1" ht="19.5" customHeight="1">
      <c r="A22" s="3429"/>
      <c r="B22" s="3429"/>
      <c r="C22" s="826" t="s">
        <v>570</v>
      </c>
      <c r="D22" s="827"/>
      <c r="E22" s="825">
        <v>0.5</v>
      </c>
      <c r="F22" s="828"/>
      <c r="G22" s="829"/>
      <c r="H22" s="821"/>
      <c r="I22" s="821"/>
    </row>
    <row r="23" spans="1:9" s="830" customFormat="1" ht="19.5" customHeight="1">
      <c r="A23" s="3429" t="s">
        <v>184</v>
      </c>
      <c r="B23" s="825" t="s">
        <v>560</v>
      </c>
      <c r="C23" s="826" t="s">
        <v>571</v>
      </c>
      <c r="D23" s="827"/>
      <c r="E23" s="825">
        <v>1</v>
      </c>
      <c r="F23" s="828" t="s">
        <v>572</v>
      </c>
      <c r="G23" s="829"/>
      <c r="H23" s="821"/>
      <c r="I23" s="821"/>
    </row>
    <row r="24" spans="1:9" s="830" customFormat="1" ht="19.5" customHeight="1">
      <c r="A24" s="3429"/>
      <c r="B24" s="3429" t="s">
        <v>563</v>
      </c>
      <c r="C24" s="826" t="s">
        <v>573</v>
      </c>
      <c r="D24" s="827"/>
      <c r="E24" s="825">
        <v>0.5</v>
      </c>
      <c r="F24" s="828"/>
      <c r="G24" s="829"/>
      <c r="H24" s="821"/>
      <c r="I24" s="821"/>
    </row>
    <row r="25" spans="1:9" s="830" customFormat="1" ht="19.5" customHeight="1">
      <c r="A25" s="3429"/>
      <c r="B25" s="3429"/>
      <c r="C25" s="826" t="s">
        <v>574</v>
      </c>
      <c r="D25" s="827"/>
      <c r="E25" s="825">
        <v>1.1000000000000001</v>
      </c>
      <c r="F25" s="828"/>
      <c r="G25" s="829"/>
      <c r="H25" s="821"/>
      <c r="I25" s="821"/>
    </row>
    <row r="26" spans="1:9" s="830" customFormat="1" ht="19.5" customHeight="1">
      <c r="A26" s="3429"/>
      <c r="B26" s="3429"/>
      <c r="C26" s="826" t="s">
        <v>575</v>
      </c>
      <c r="D26" s="827"/>
      <c r="E26" s="825">
        <v>1.1000000000000001</v>
      </c>
      <c r="F26" s="828"/>
      <c r="G26" s="829"/>
      <c r="H26" s="821"/>
      <c r="I26" s="821"/>
    </row>
    <row r="27" spans="1:9" s="830" customFormat="1" ht="19.5" customHeight="1">
      <c r="A27" s="3429"/>
      <c r="B27" s="3429"/>
      <c r="C27" s="826" t="s">
        <v>576</v>
      </c>
      <c r="D27" s="827"/>
      <c r="E27" s="825">
        <v>0.9</v>
      </c>
      <c r="F27" s="828" t="s">
        <v>577</v>
      </c>
      <c r="G27" s="829"/>
      <c r="H27" s="821"/>
      <c r="I27" s="821"/>
    </row>
    <row r="28" spans="1:9" s="830" customFormat="1" ht="19.5" customHeight="1">
      <c r="A28" s="3429"/>
      <c r="B28" s="3429"/>
      <c r="C28" s="826" t="s">
        <v>578</v>
      </c>
      <c r="D28" s="827"/>
      <c r="E28" s="825">
        <v>0.9</v>
      </c>
      <c r="F28" s="828" t="s">
        <v>579</v>
      </c>
      <c r="G28" s="829"/>
      <c r="H28" s="821"/>
      <c r="I28" s="821"/>
    </row>
    <row r="29" spans="1:9" s="830" customFormat="1" ht="19.5" customHeight="1">
      <c r="A29" s="3429"/>
      <c r="B29" s="3429"/>
      <c r="C29" s="826" t="s">
        <v>580</v>
      </c>
      <c r="D29" s="827"/>
      <c r="E29" s="825">
        <v>0.9</v>
      </c>
      <c r="F29" s="828" t="s">
        <v>581</v>
      </c>
      <c r="G29" s="829"/>
      <c r="H29" s="821"/>
      <c r="I29" s="821"/>
    </row>
    <row r="30" spans="1:9" s="830" customFormat="1" ht="19.5" customHeight="1">
      <c r="A30" s="3429"/>
      <c r="B30" s="3429"/>
      <c r="C30" s="826" t="s">
        <v>582</v>
      </c>
      <c r="D30" s="827"/>
      <c r="E30" s="825">
        <v>0.9</v>
      </c>
      <c r="F30" s="828" t="s">
        <v>583</v>
      </c>
      <c r="G30" s="829"/>
      <c r="H30" s="821"/>
      <c r="I30" s="821"/>
    </row>
    <row r="31" spans="1:9" s="830" customFormat="1" ht="19.5" customHeight="1">
      <c r="A31" s="3429"/>
      <c r="B31" s="3429"/>
      <c r="C31" s="826" t="s">
        <v>584</v>
      </c>
      <c r="D31" s="827"/>
      <c r="E31" s="825">
        <v>0.8</v>
      </c>
      <c r="F31" s="828" t="s">
        <v>585</v>
      </c>
      <c r="G31" s="829"/>
      <c r="H31" s="821"/>
      <c r="I31" s="821"/>
    </row>
    <row r="32" spans="1:9" s="830" customFormat="1" ht="19.5" customHeight="1">
      <c r="A32" s="3429"/>
      <c r="B32" s="3429"/>
      <c r="C32" s="826" t="s">
        <v>586</v>
      </c>
      <c r="D32" s="827"/>
      <c r="E32" s="825">
        <v>0.8</v>
      </c>
      <c r="F32" s="828" t="s">
        <v>587</v>
      </c>
      <c r="G32" s="829"/>
      <c r="H32" s="821"/>
      <c r="I32" s="821"/>
    </row>
    <row r="33" spans="1:9" s="830" customFormat="1" ht="19.5" customHeight="1">
      <c r="A33" s="3429" t="s">
        <v>185</v>
      </c>
      <c r="B33" s="825" t="s">
        <v>560</v>
      </c>
      <c r="C33" s="826" t="s">
        <v>588</v>
      </c>
      <c r="D33" s="827"/>
      <c r="E33" s="825">
        <v>1</v>
      </c>
      <c r="F33" s="828" t="s">
        <v>589</v>
      </c>
      <c r="G33" s="829"/>
      <c r="H33" s="821"/>
      <c r="I33" s="821"/>
    </row>
    <row r="34" spans="1:9" s="830" customFormat="1" ht="19.5" customHeight="1">
      <c r="A34" s="3429"/>
      <c r="B34" s="825" t="s">
        <v>563</v>
      </c>
      <c r="C34" s="826" t="s">
        <v>590</v>
      </c>
      <c r="D34" s="827"/>
      <c r="E34" s="825">
        <v>1.5</v>
      </c>
      <c r="F34" s="828" t="s">
        <v>591</v>
      </c>
      <c r="G34" s="829"/>
      <c r="H34" s="821"/>
      <c r="I34" s="821"/>
    </row>
    <row r="35" spans="1:9" s="830" customFormat="1" ht="19.5" customHeight="1">
      <c r="A35" s="3429" t="s">
        <v>186</v>
      </c>
      <c r="B35" s="825" t="s">
        <v>560</v>
      </c>
      <c r="C35" s="826" t="s">
        <v>592</v>
      </c>
      <c r="D35" s="827"/>
      <c r="E35" s="825">
        <v>1</v>
      </c>
      <c r="F35" s="828" t="s">
        <v>593</v>
      </c>
      <c r="G35" s="829"/>
      <c r="H35" s="821"/>
      <c r="I35" s="821"/>
    </row>
    <row r="36" spans="1:9" s="830" customFormat="1" ht="19.5" customHeight="1">
      <c r="A36" s="3429"/>
      <c r="B36" s="3429" t="s">
        <v>563</v>
      </c>
      <c r="C36" s="826" t="s">
        <v>594</v>
      </c>
      <c r="D36" s="827"/>
      <c r="E36" s="825">
        <v>1</v>
      </c>
      <c r="F36" s="828" t="s">
        <v>595</v>
      </c>
      <c r="G36" s="829"/>
      <c r="H36" s="821"/>
      <c r="I36" s="821"/>
    </row>
    <row r="37" spans="1:9" s="830" customFormat="1" ht="19.5" customHeight="1">
      <c r="A37" s="3429"/>
      <c r="B37" s="3429"/>
      <c r="C37" s="826" t="s">
        <v>596</v>
      </c>
      <c r="D37" s="827"/>
      <c r="E37" s="825">
        <v>1.5</v>
      </c>
      <c r="F37" s="828" t="s">
        <v>597</v>
      </c>
      <c r="G37" s="829"/>
      <c r="H37" s="821"/>
      <c r="I37" s="821"/>
    </row>
    <row r="38" spans="1:9" s="830" customFormat="1" ht="19.5" customHeight="1">
      <c r="A38" s="3429"/>
      <c r="B38" s="3429"/>
      <c r="C38" s="826" t="s">
        <v>598</v>
      </c>
      <c r="D38" s="827"/>
      <c r="E38" s="825">
        <v>1</v>
      </c>
      <c r="F38" s="828" t="s">
        <v>599</v>
      </c>
      <c r="G38" s="829"/>
      <c r="H38" s="821"/>
      <c r="I38" s="821"/>
    </row>
    <row r="39" spans="1:9" s="830" customFormat="1" ht="19.5" customHeight="1">
      <c r="A39" s="3429"/>
      <c r="B39" s="3429"/>
      <c r="C39" s="826" t="s">
        <v>600</v>
      </c>
      <c r="D39" s="827"/>
      <c r="E39" s="825">
        <v>1</v>
      </c>
      <c r="F39" s="828" t="s">
        <v>601</v>
      </c>
      <c r="G39" s="829"/>
      <c r="H39" s="821"/>
      <c r="I39" s="821"/>
    </row>
    <row r="40" spans="1:9" s="830" customFormat="1" ht="19.5" customHeight="1">
      <c r="A40" s="831" t="s">
        <v>602</v>
      </c>
      <c r="B40" s="831"/>
      <c r="C40" s="831"/>
      <c r="D40" s="831"/>
      <c r="E40" s="831"/>
      <c r="F40" s="832"/>
      <c r="G40" s="832"/>
      <c r="H40" s="821"/>
      <c r="I40" s="821"/>
    </row>
    <row r="42" spans="1:9" ht="19.5" customHeight="1">
      <c r="A42" s="833"/>
      <c r="B42" s="761" t="s">
        <v>603</v>
      </c>
      <c r="C42" s="761" t="s">
        <v>603</v>
      </c>
      <c r="D42" s="761" t="s">
        <v>603</v>
      </c>
      <c r="E42" s="766" t="s">
        <v>603</v>
      </c>
      <c r="F42" s="766" t="s">
        <v>603</v>
      </c>
      <c r="G42" s="766" t="s">
        <v>604</v>
      </c>
      <c r="H42" s="766" t="s">
        <v>603</v>
      </c>
    </row>
    <row r="43" spans="1:9" ht="19.5" customHeight="1">
      <c r="A43" s="834"/>
      <c r="B43" s="766" t="s">
        <v>183</v>
      </c>
      <c r="C43" s="766" t="s">
        <v>183</v>
      </c>
      <c r="D43" s="766" t="s">
        <v>183</v>
      </c>
      <c r="E43" s="766" t="s">
        <v>183</v>
      </c>
      <c r="F43" s="761" t="s">
        <v>184</v>
      </c>
      <c r="G43" s="761" t="s">
        <v>186</v>
      </c>
      <c r="H43" s="761" t="s">
        <v>605</v>
      </c>
    </row>
    <row r="44" spans="1:9" ht="19.5" customHeight="1">
      <c r="A44" s="835"/>
      <c r="B44" s="761">
        <v>1</v>
      </c>
      <c r="C44" s="761">
        <v>2</v>
      </c>
      <c r="D44" s="761">
        <v>3</v>
      </c>
      <c r="E44" s="766">
        <v>4</v>
      </c>
      <c r="F44" s="823" t="s">
        <v>606</v>
      </c>
      <c r="G44" s="823" t="s">
        <v>606</v>
      </c>
      <c r="H44" s="823" t="s">
        <v>606</v>
      </c>
    </row>
    <row r="45" spans="1:9" ht="19.5" customHeight="1">
      <c r="A45" s="836" t="s">
        <v>157</v>
      </c>
      <c r="B45" s="761">
        <v>0.8</v>
      </c>
      <c r="C45" s="761">
        <v>0.5</v>
      </c>
      <c r="D45" s="761">
        <v>0.36</v>
      </c>
      <c r="E45" s="761">
        <v>0.3</v>
      </c>
      <c r="F45" s="823">
        <v>0.3</v>
      </c>
      <c r="G45" s="761">
        <v>0.3</v>
      </c>
      <c r="H45" s="761">
        <v>0.25</v>
      </c>
    </row>
    <row r="46" spans="1:9" ht="19.5" customHeight="1">
      <c r="A46" s="836" t="s">
        <v>158</v>
      </c>
      <c r="B46" s="761">
        <v>0.8</v>
      </c>
      <c r="C46" s="761">
        <v>0.5</v>
      </c>
      <c r="D46" s="761">
        <v>0.36</v>
      </c>
      <c r="E46" s="761">
        <v>0.3</v>
      </c>
      <c r="F46" s="761">
        <v>0.3</v>
      </c>
      <c r="G46" s="761">
        <v>0.3</v>
      </c>
      <c r="H46" s="761">
        <v>0.25</v>
      </c>
    </row>
    <row r="47" spans="1:9" ht="19.5" customHeight="1">
      <c r="A47" s="836" t="s">
        <v>159</v>
      </c>
      <c r="B47" s="761">
        <v>0.7</v>
      </c>
      <c r="C47" s="761">
        <v>0.4</v>
      </c>
      <c r="D47" s="761">
        <v>0.28000000000000003</v>
      </c>
      <c r="E47" s="761">
        <v>0.25</v>
      </c>
      <c r="F47" s="761">
        <v>0.25</v>
      </c>
      <c r="G47" s="761">
        <v>0.25</v>
      </c>
      <c r="H47" s="761">
        <v>0.2</v>
      </c>
    </row>
    <row r="48" spans="1:9" ht="19.5" customHeight="1">
      <c r="A48" s="836" t="s">
        <v>160</v>
      </c>
      <c r="B48" s="761">
        <v>0.7</v>
      </c>
      <c r="C48" s="761">
        <v>0.4</v>
      </c>
      <c r="D48" s="761">
        <v>0.28000000000000003</v>
      </c>
      <c r="E48" s="761">
        <v>0.25</v>
      </c>
      <c r="F48" s="761">
        <v>0.25</v>
      </c>
      <c r="G48" s="761">
        <v>0.25</v>
      </c>
      <c r="H48" s="761">
        <v>0.2</v>
      </c>
    </row>
    <row r="49" spans="1:8" s="821" customFormat="1" ht="19.5" customHeight="1">
      <c r="A49" s="836" t="s">
        <v>161</v>
      </c>
      <c r="B49" s="761">
        <v>0.7</v>
      </c>
      <c r="C49" s="761">
        <v>0.4</v>
      </c>
      <c r="D49" s="761">
        <v>0.28000000000000003</v>
      </c>
      <c r="E49" s="761">
        <v>0.25</v>
      </c>
      <c r="F49" s="761">
        <v>0.25</v>
      </c>
      <c r="G49" s="761">
        <v>0.25</v>
      </c>
      <c r="H49" s="761">
        <v>0.2</v>
      </c>
    </row>
    <row r="50" spans="1:8" s="821" customFormat="1" ht="19.5" customHeight="1">
      <c r="A50" s="836" t="s">
        <v>162</v>
      </c>
      <c r="B50" s="761">
        <v>0.7</v>
      </c>
      <c r="C50" s="761">
        <v>0.4</v>
      </c>
      <c r="D50" s="761">
        <v>0.28000000000000003</v>
      </c>
      <c r="E50" s="761">
        <v>0.25</v>
      </c>
      <c r="F50" s="761">
        <v>0.25</v>
      </c>
      <c r="G50" s="761">
        <v>0.25</v>
      </c>
      <c r="H50" s="761">
        <v>0.2</v>
      </c>
    </row>
    <row r="51" spans="1:8" s="821" customFormat="1" ht="19.5" customHeight="1">
      <c r="A51" s="836" t="s">
        <v>163</v>
      </c>
      <c r="B51" s="761">
        <v>0.7</v>
      </c>
      <c r="C51" s="761">
        <v>0.4</v>
      </c>
      <c r="D51" s="761">
        <v>0.28000000000000003</v>
      </c>
      <c r="E51" s="761">
        <v>0.25</v>
      </c>
      <c r="F51" s="761">
        <v>0.25</v>
      </c>
      <c r="G51" s="761">
        <v>0.25</v>
      </c>
      <c r="H51" s="761">
        <v>0.2</v>
      </c>
    </row>
    <row r="52" spans="1:8" s="821" customFormat="1" ht="19.5" customHeight="1">
      <c r="A52" s="836" t="s">
        <v>164</v>
      </c>
      <c r="B52" s="761">
        <v>0.6</v>
      </c>
      <c r="C52" s="761">
        <v>0.3</v>
      </c>
      <c r="D52" s="761">
        <v>0.2</v>
      </c>
      <c r="E52" s="761">
        <v>0.2</v>
      </c>
      <c r="F52" s="761">
        <v>0.2</v>
      </c>
      <c r="G52" s="761">
        <v>0.2</v>
      </c>
      <c r="H52" s="761">
        <v>0.15</v>
      </c>
    </row>
    <row r="53" spans="1:8" s="821" customFormat="1" ht="19.5" customHeight="1">
      <c r="A53" s="836" t="s">
        <v>165</v>
      </c>
      <c r="B53" s="761">
        <v>0.6</v>
      </c>
      <c r="C53" s="761">
        <v>0.3</v>
      </c>
      <c r="D53" s="761">
        <v>0.2</v>
      </c>
      <c r="E53" s="761">
        <v>0.2</v>
      </c>
      <c r="F53" s="761">
        <v>0.2</v>
      </c>
      <c r="G53" s="761">
        <v>0.2</v>
      </c>
      <c r="H53" s="761">
        <v>0.15</v>
      </c>
    </row>
    <row r="54" spans="1:8" s="821" customFormat="1" ht="19.5" customHeight="1">
      <c r="A54" s="836" t="s">
        <v>166</v>
      </c>
      <c r="B54" s="761">
        <v>0.6</v>
      </c>
      <c r="C54" s="761">
        <v>0.3</v>
      </c>
      <c r="D54" s="761">
        <v>0.2</v>
      </c>
      <c r="E54" s="761">
        <v>0.2</v>
      </c>
      <c r="F54" s="761">
        <v>0.2</v>
      </c>
      <c r="G54" s="761">
        <v>0.2</v>
      </c>
      <c r="H54" s="761">
        <v>0.15</v>
      </c>
    </row>
    <row r="55" spans="1:8" s="821" customFormat="1" ht="19.5" customHeight="1">
      <c r="A55" s="836" t="s">
        <v>167</v>
      </c>
      <c r="B55" s="761">
        <v>0.6</v>
      </c>
      <c r="C55" s="761">
        <v>0.3</v>
      </c>
      <c r="D55" s="761">
        <v>0.2</v>
      </c>
      <c r="E55" s="761">
        <v>0.2</v>
      </c>
      <c r="F55" s="761">
        <v>0.2</v>
      </c>
      <c r="G55" s="761">
        <v>0.2</v>
      </c>
      <c r="H55" s="761">
        <v>0.15</v>
      </c>
    </row>
    <row r="56" spans="1:8" s="821" customFormat="1" ht="19.5" customHeight="1">
      <c r="A56" s="836" t="s">
        <v>168</v>
      </c>
      <c r="B56" s="761">
        <v>0.6</v>
      </c>
      <c r="C56" s="761">
        <v>0.3</v>
      </c>
      <c r="D56" s="761">
        <v>0.2</v>
      </c>
      <c r="E56" s="761">
        <v>0.2</v>
      </c>
      <c r="F56" s="761">
        <v>0.2</v>
      </c>
      <c r="G56" s="761">
        <v>0.2</v>
      </c>
      <c r="H56" s="761">
        <v>0.15</v>
      </c>
    </row>
    <row r="58" spans="1:8" s="821" customFormat="1" ht="19.5" customHeight="1">
      <c r="A58" s="837"/>
      <c r="B58" s="819"/>
      <c r="C58" s="819"/>
      <c r="D58" s="819" t="s">
        <v>607</v>
      </c>
      <c r="E58" s="819"/>
      <c r="F58" s="819"/>
    </row>
    <row r="59" spans="1:8" s="821" customFormat="1" ht="19.5" customHeight="1">
      <c r="A59" s="825" t="s">
        <v>608</v>
      </c>
      <c r="B59" s="825" t="s">
        <v>609</v>
      </c>
      <c r="C59" s="825" t="s">
        <v>610</v>
      </c>
      <c r="D59" s="825" t="s">
        <v>611</v>
      </c>
      <c r="E59" s="825" t="s">
        <v>612</v>
      </c>
      <c r="F59" s="825" t="s">
        <v>613</v>
      </c>
    </row>
    <row r="60" spans="1:8" ht="14.4">
      <c r="A60" s="882"/>
      <c r="B60" s="882"/>
      <c r="C60" s="882" t="s">
        <v>745</v>
      </c>
      <c r="D60" s="882"/>
      <c r="E60" s="838" t="s">
        <v>1</v>
      </c>
      <c r="F60" s="882" t="s">
        <v>1</v>
      </c>
    </row>
    <row r="61" spans="1:8" s="821" customFormat="1" ht="36">
      <c r="A61" s="825">
        <v>1</v>
      </c>
      <c r="B61" s="3429" t="s">
        <v>614</v>
      </c>
      <c r="C61" s="761" t="s">
        <v>615</v>
      </c>
      <c r="D61" s="761" t="s">
        <v>616</v>
      </c>
      <c r="E61" s="838">
        <v>0.5</v>
      </c>
      <c r="F61" s="825">
        <v>80</v>
      </c>
    </row>
    <row r="62" spans="1:8" s="821" customFormat="1" ht="36">
      <c r="A62" s="825">
        <v>2</v>
      </c>
      <c r="B62" s="3429"/>
      <c r="C62" s="761" t="s">
        <v>617</v>
      </c>
      <c r="D62" s="761" t="s">
        <v>618</v>
      </c>
      <c r="E62" s="838">
        <v>0.5</v>
      </c>
      <c r="F62" s="825">
        <v>80</v>
      </c>
    </row>
    <row r="63" spans="1:8" s="821" customFormat="1" ht="48">
      <c r="A63" s="825">
        <v>3</v>
      </c>
      <c r="B63" s="3429"/>
      <c r="C63" s="761" t="s">
        <v>619</v>
      </c>
      <c r="D63" s="761" t="s">
        <v>620</v>
      </c>
      <c r="E63" s="838">
        <v>0.5</v>
      </c>
      <c r="F63" s="825">
        <v>80</v>
      </c>
    </row>
    <row r="64" spans="1:8" s="821" customFormat="1" ht="48">
      <c r="A64" s="825">
        <v>4</v>
      </c>
      <c r="B64" s="3429"/>
      <c r="C64" s="761" t="s">
        <v>621</v>
      </c>
      <c r="D64" s="761" t="s">
        <v>622</v>
      </c>
      <c r="E64" s="838">
        <v>0.4</v>
      </c>
      <c r="F64" s="825">
        <v>60</v>
      </c>
    </row>
    <row r="65" spans="1:6" s="821" customFormat="1" ht="48">
      <c r="A65" s="825">
        <v>5</v>
      </c>
      <c r="B65" s="3429"/>
      <c r="C65" s="761" t="s">
        <v>623</v>
      </c>
      <c r="D65" s="761" t="s">
        <v>624</v>
      </c>
      <c r="E65" s="838">
        <v>0.2</v>
      </c>
      <c r="F65" s="825">
        <v>30</v>
      </c>
    </row>
    <row r="66" spans="1:6" s="821" customFormat="1" ht="48">
      <c r="A66" s="825">
        <v>6</v>
      </c>
      <c r="B66" s="3429"/>
      <c r="C66" s="761" t="s">
        <v>625</v>
      </c>
      <c r="D66" s="761" t="s">
        <v>626</v>
      </c>
      <c r="E66" s="838">
        <v>0.3</v>
      </c>
      <c r="F66" s="825">
        <v>50</v>
      </c>
    </row>
    <row r="67" spans="1:6" s="821" customFormat="1" ht="48">
      <c r="A67" s="825">
        <v>7</v>
      </c>
      <c r="B67" s="3429"/>
      <c r="C67" s="761" t="s">
        <v>627</v>
      </c>
      <c r="D67" s="761" t="s">
        <v>628</v>
      </c>
      <c r="E67" s="838">
        <v>0.2</v>
      </c>
      <c r="F67" s="825">
        <v>30</v>
      </c>
    </row>
    <row r="68" spans="1:6" s="821" customFormat="1" ht="48">
      <c r="A68" s="825">
        <v>8</v>
      </c>
      <c r="B68" s="3429"/>
      <c r="C68" s="761" t="s">
        <v>629</v>
      </c>
      <c r="D68" s="761" t="s">
        <v>630</v>
      </c>
      <c r="E68" s="838">
        <v>0.2</v>
      </c>
      <c r="F68" s="825">
        <v>30</v>
      </c>
    </row>
    <row r="69" spans="1:6" s="821" customFormat="1" ht="48">
      <c r="A69" s="825">
        <v>9</v>
      </c>
      <c r="B69" s="3429"/>
      <c r="C69" s="761" t="s">
        <v>631</v>
      </c>
      <c r="D69" s="761" t="s">
        <v>632</v>
      </c>
      <c r="E69" s="838">
        <v>0.2</v>
      </c>
      <c r="F69" s="825">
        <v>30</v>
      </c>
    </row>
    <row r="70" spans="1:6" s="821" customFormat="1" ht="60">
      <c r="A70" s="825">
        <v>10</v>
      </c>
      <c r="B70" s="3429"/>
      <c r="C70" s="761" t="s">
        <v>633</v>
      </c>
      <c r="D70" s="761" t="s">
        <v>634</v>
      </c>
      <c r="E70" s="838">
        <v>0.2</v>
      </c>
      <c r="F70" s="825">
        <v>30</v>
      </c>
    </row>
    <row r="71" spans="1:6" s="821" customFormat="1" ht="60">
      <c r="A71" s="825">
        <v>11</v>
      </c>
      <c r="B71" s="3429"/>
      <c r="C71" s="761" t="s">
        <v>635</v>
      </c>
      <c r="D71" s="761" t="s">
        <v>636</v>
      </c>
      <c r="E71" s="838">
        <v>0.2</v>
      </c>
      <c r="F71" s="825">
        <v>30</v>
      </c>
    </row>
    <row r="72" spans="1:6" s="821" customFormat="1" ht="36">
      <c r="A72" s="825">
        <v>12</v>
      </c>
      <c r="B72" s="3429"/>
      <c r="C72" s="761" t="s">
        <v>637</v>
      </c>
      <c r="D72" s="761" t="s">
        <v>638</v>
      </c>
      <c r="E72" s="838">
        <v>0.5</v>
      </c>
      <c r="F72" s="825">
        <v>80</v>
      </c>
    </row>
    <row r="73" spans="1:6" s="821" customFormat="1" ht="36">
      <c r="A73" s="825">
        <v>13</v>
      </c>
      <c r="B73" s="3429"/>
      <c r="C73" s="761" t="s">
        <v>639</v>
      </c>
      <c r="D73" s="761" t="s">
        <v>640</v>
      </c>
      <c r="E73" s="838">
        <v>0.4</v>
      </c>
      <c r="F73" s="825">
        <v>60</v>
      </c>
    </row>
    <row r="74" spans="1:6" s="821" customFormat="1" ht="36">
      <c r="A74" s="825">
        <v>14</v>
      </c>
      <c r="B74" s="3429"/>
      <c r="C74" s="761" t="s">
        <v>641</v>
      </c>
      <c r="D74" s="761" t="s">
        <v>642</v>
      </c>
      <c r="E74" s="838">
        <v>0.2</v>
      </c>
      <c r="F74" s="825">
        <v>30</v>
      </c>
    </row>
    <row r="75" spans="1:6" s="821" customFormat="1" ht="36">
      <c r="A75" s="825">
        <v>15</v>
      </c>
      <c r="B75" s="3429"/>
      <c r="C75" s="761" t="s">
        <v>643</v>
      </c>
      <c r="D75" s="761" t="s">
        <v>644</v>
      </c>
      <c r="E75" s="838">
        <v>0.2</v>
      </c>
      <c r="F75" s="825">
        <v>30</v>
      </c>
    </row>
    <row r="76" spans="1:6" s="821" customFormat="1" ht="36">
      <c r="A76" s="825">
        <v>16</v>
      </c>
      <c r="B76" s="3429" t="s">
        <v>645</v>
      </c>
      <c r="C76" s="761" t="s">
        <v>646</v>
      </c>
      <c r="D76" s="761" t="s">
        <v>647</v>
      </c>
      <c r="E76" s="838">
        <v>0.5</v>
      </c>
      <c r="F76" s="825">
        <v>80</v>
      </c>
    </row>
    <row r="77" spans="1:6" s="821" customFormat="1" ht="36">
      <c r="A77" s="825">
        <v>17</v>
      </c>
      <c r="B77" s="3429"/>
      <c r="C77" s="761" t="s">
        <v>648</v>
      </c>
      <c r="D77" s="761" t="s">
        <v>649</v>
      </c>
      <c r="E77" s="838">
        <v>0.5</v>
      </c>
      <c r="F77" s="825">
        <v>80</v>
      </c>
    </row>
    <row r="78" spans="1:6" s="821" customFormat="1" ht="36">
      <c r="A78" s="825">
        <v>18</v>
      </c>
      <c r="B78" s="3429"/>
      <c r="C78" s="761" t="s">
        <v>650</v>
      </c>
      <c r="D78" s="761" t="s">
        <v>651</v>
      </c>
      <c r="E78" s="838">
        <v>0.2</v>
      </c>
      <c r="F78" s="825">
        <v>30</v>
      </c>
    </row>
    <row r="79" spans="1:6" s="821" customFormat="1" ht="36">
      <c r="A79" s="825">
        <v>19</v>
      </c>
      <c r="B79" s="3429"/>
      <c r="C79" s="761" t="s">
        <v>652</v>
      </c>
      <c r="D79" s="761" t="s">
        <v>653</v>
      </c>
      <c r="E79" s="838">
        <v>0.5</v>
      </c>
      <c r="F79" s="825">
        <v>80</v>
      </c>
    </row>
    <row r="80" spans="1:6" s="821" customFormat="1" ht="36">
      <c r="A80" s="825">
        <v>20</v>
      </c>
      <c r="B80" s="3429"/>
      <c r="C80" s="761" t="s">
        <v>654</v>
      </c>
      <c r="D80" s="761" t="s">
        <v>655</v>
      </c>
      <c r="E80" s="838">
        <v>0.2</v>
      </c>
      <c r="F80" s="825">
        <v>30</v>
      </c>
    </row>
    <row r="81" spans="1:6" s="821" customFormat="1" ht="36">
      <c r="A81" s="825">
        <v>21</v>
      </c>
      <c r="B81" s="3429"/>
      <c r="C81" s="761" t="s">
        <v>656</v>
      </c>
      <c r="D81" s="761" t="s">
        <v>657</v>
      </c>
      <c r="E81" s="838">
        <v>0.2</v>
      </c>
      <c r="F81" s="825">
        <v>30</v>
      </c>
    </row>
    <row r="82" spans="1:6" s="821" customFormat="1" ht="60">
      <c r="A82" s="825">
        <v>22</v>
      </c>
      <c r="B82" s="3429"/>
      <c r="C82" s="761" t="s">
        <v>658</v>
      </c>
      <c r="D82" s="761" t="s">
        <v>659</v>
      </c>
      <c r="E82" s="838">
        <v>0.2</v>
      </c>
      <c r="F82" s="825">
        <v>30</v>
      </c>
    </row>
    <row r="83" spans="1:6" s="821" customFormat="1" ht="60">
      <c r="A83" s="825">
        <v>23</v>
      </c>
      <c r="B83" s="3429"/>
      <c r="C83" s="761" t="s">
        <v>660</v>
      </c>
      <c r="D83" s="761" t="s">
        <v>661</v>
      </c>
      <c r="E83" s="838">
        <v>0.2</v>
      </c>
      <c r="F83" s="825">
        <v>30</v>
      </c>
    </row>
    <row r="84" spans="1:6" s="821" customFormat="1" ht="48">
      <c r="A84" s="825">
        <v>24</v>
      </c>
      <c r="B84" s="3429"/>
      <c r="C84" s="761" t="s">
        <v>662</v>
      </c>
      <c r="D84" s="761" t="s">
        <v>663</v>
      </c>
      <c r="E84" s="838">
        <v>0.2</v>
      </c>
      <c r="F84" s="825">
        <v>30</v>
      </c>
    </row>
    <row r="85" spans="1:6" s="821" customFormat="1" ht="36">
      <c r="A85" s="825">
        <v>25</v>
      </c>
      <c r="B85" s="3429"/>
      <c r="C85" s="761" t="s">
        <v>664</v>
      </c>
      <c r="D85" s="761" t="s">
        <v>665</v>
      </c>
      <c r="E85" s="838">
        <v>0.5</v>
      </c>
      <c r="F85" s="825">
        <v>80</v>
      </c>
    </row>
    <row r="86" spans="1:6" s="821" customFormat="1" ht="36">
      <c r="A86" s="825">
        <v>26</v>
      </c>
      <c r="B86" s="3429"/>
      <c r="C86" s="761" t="s">
        <v>666</v>
      </c>
      <c r="D86" s="761" t="s">
        <v>667</v>
      </c>
      <c r="E86" s="838">
        <v>0.2</v>
      </c>
      <c r="F86" s="825">
        <v>30</v>
      </c>
    </row>
    <row r="87" spans="1:6" s="821" customFormat="1" ht="36">
      <c r="A87" s="825">
        <v>27</v>
      </c>
      <c r="B87" s="3429"/>
      <c r="C87" s="761" t="s">
        <v>668</v>
      </c>
      <c r="D87" s="761" t="s">
        <v>669</v>
      </c>
      <c r="E87" s="838">
        <v>0.2</v>
      </c>
      <c r="F87" s="825">
        <v>30</v>
      </c>
    </row>
    <row r="88" spans="1:6" s="821" customFormat="1" ht="36">
      <c r="A88" s="825">
        <v>28</v>
      </c>
      <c r="B88" s="3429"/>
      <c r="C88" s="761" t="s">
        <v>670</v>
      </c>
      <c r="D88" s="761" t="s">
        <v>671</v>
      </c>
      <c r="E88" s="838">
        <v>0.2</v>
      </c>
      <c r="F88" s="825">
        <v>30</v>
      </c>
    </row>
    <row r="89" spans="1:6" s="821" customFormat="1" ht="36">
      <c r="A89" s="825">
        <v>29</v>
      </c>
      <c r="B89" s="3429"/>
      <c r="C89" s="761" t="s">
        <v>672</v>
      </c>
      <c r="D89" s="761" t="s">
        <v>673</v>
      </c>
      <c r="E89" s="838">
        <v>0.2</v>
      </c>
      <c r="F89" s="825">
        <v>30</v>
      </c>
    </row>
    <row r="90" spans="1:6" s="821" customFormat="1" ht="36">
      <c r="A90" s="825">
        <v>30</v>
      </c>
      <c r="B90" s="3429"/>
      <c r="C90" s="761" t="s">
        <v>674</v>
      </c>
      <c r="D90" s="761" t="s">
        <v>675</v>
      </c>
      <c r="E90" s="838">
        <v>0.2</v>
      </c>
      <c r="F90" s="825">
        <v>30</v>
      </c>
    </row>
    <row r="91" spans="1:6" s="821" customFormat="1" ht="48">
      <c r="A91" s="825">
        <v>31</v>
      </c>
      <c r="B91" s="3429"/>
      <c r="C91" s="761" t="s">
        <v>676</v>
      </c>
      <c r="D91" s="761" t="s">
        <v>677</v>
      </c>
      <c r="E91" s="838">
        <v>0.2</v>
      </c>
      <c r="F91" s="825">
        <v>30</v>
      </c>
    </row>
    <row r="92" spans="1:6" s="821" customFormat="1" ht="36">
      <c r="A92" s="825">
        <v>32</v>
      </c>
      <c r="B92" s="3429" t="s">
        <v>678</v>
      </c>
      <c r="C92" s="825" t="s">
        <v>679</v>
      </c>
      <c r="D92" s="761" t="s">
        <v>680</v>
      </c>
      <c r="E92" s="838">
        <v>0.2</v>
      </c>
      <c r="F92" s="825">
        <v>30</v>
      </c>
    </row>
    <row r="93" spans="1:6" s="821" customFormat="1" ht="36">
      <c r="A93" s="825">
        <v>33</v>
      </c>
      <c r="B93" s="3429"/>
      <c r="C93" s="825" t="s">
        <v>681</v>
      </c>
      <c r="D93" s="761" t="s">
        <v>682</v>
      </c>
      <c r="E93" s="838">
        <v>0.2</v>
      </c>
      <c r="F93" s="825">
        <v>30</v>
      </c>
    </row>
    <row r="94" spans="1:6" s="821" customFormat="1" ht="60">
      <c r="A94" s="825">
        <v>34</v>
      </c>
      <c r="B94" s="3429"/>
      <c r="C94" s="825" t="s">
        <v>683</v>
      </c>
      <c r="D94" s="761" t="s">
        <v>684</v>
      </c>
      <c r="E94" s="838">
        <v>0.2</v>
      </c>
      <c r="F94" s="825">
        <v>30</v>
      </c>
    </row>
    <row r="95" spans="1:6" s="821" customFormat="1" ht="48">
      <c r="A95" s="825">
        <v>35</v>
      </c>
      <c r="B95" s="3429"/>
      <c r="C95" s="825" t="s">
        <v>685</v>
      </c>
      <c r="D95" s="761" t="s">
        <v>686</v>
      </c>
      <c r="E95" s="838">
        <v>0.2</v>
      </c>
      <c r="F95" s="825">
        <v>30</v>
      </c>
    </row>
    <row r="96" spans="1:6" s="821" customFormat="1" ht="72">
      <c r="A96" s="825">
        <v>36</v>
      </c>
      <c r="B96" s="3429"/>
      <c r="C96" s="761" t="s">
        <v>687</v>
      </c>
      <c r="D96" s="761" t="s">
        <v>688</v>
      </c>
      <c r="E96" s="838">
        <v>0.2</v>
      </c>
      <c r="F96" s="825">
        <v>30</v>
      </c>
    </row>
    <row r="97" spans="1:6" s="821" customFormat="1" ht="36">
      <c r="A97" s="825">
        <v>37</v>
      </c>
      <c r="B97" s="3429"/>
      <c r="C97" s="825" t="s">
        <v>689</v>
      </c>
      <c r="D97" s="761" t="s">
        <v>690</v>
      </c>
      <c r="E97" s="838">
        <v>0.2</v>
      </c>
      <c r="F97" s="825">
        <v>30</v>
      </c>
    </row>
    <row r="98" spans="1:6" s="821" customFormat="1" ht="36">
      <c r="A98" s="825">
        <v>38</v>
      </c>
      <c r="B98" s="3429"/>
      <c r="C98" s="825" t="s">
        <v>691</v>
      </c>
      <c r="D98" s="761" t="s">
        <v>692</v>
      </c>
      <c r="E98" s="838">
        <v>0.2</v>
      </c>
      <c r="F98" s="825">
        <v>30</v>
      </c>
    </row>
    <row r="99" spans="1:6" s="821" customFormat="1" ht="36">
      <c r="A99" s="825">
        <v>39</v>
      </c>
      <c r="B99" s="3429" t="s">
        <v>693</v>
      </c>
      <c r="C99" s="825" t="s">
        <v>694</v>
      </c>
      <c r="D99" s="761" t="s">
        <v>695</v>
      </c>
      <c r="E99" s="838">
        <v>0.3</v>
      </c>
      <c r="F99" s="825">
        <v>50</v>
      </c>
    </row>
    <row r="100" spans="1:6" s="821" customFormat="1" ht="36">
      <c r="A100" s="825">
        <v>40</v>
      </c>
      <c r="B100" s="3429"/>
      <c r="C100" s="825" t="s">
        <v>696</v>
      </c>
      <c r="D100" s="761" t="s">
        <v>697</v>
      </c>
      <c r="E100" s="838">
        <v>0.2</v>
      </c>
      <c r="F100" s="825">
        <v>30</v>
      </c>
    </row>
    <row r="101" spans="1:6" s="821" customFormat="1" ht="36">
      <c r="A101" s="825">
        <v>41</v>
      </c>
      <c r="B101" s="3429"/>
      <c r="C101" s="825" t="s">
        <v>698</v>
      </c>
      <c r="D101" s="761" t="s">
        <v>695</v>
      </c>
      <c r="E101" s="838">
        <v>0.2</v>
      </c>
      <c r="F101" s="825">
        <v>30</v>
      </c>
    </row>
    <row r="102" spans="1:6" s="821" customFormat="1" ht="72">
      <c r="A102" s="825">
        <v>42</v>
      </c>
      <c r="B102" s="825" t="s">
        <v>699</v>
      </c>
      <c r="C102" s="761" t="s">
        <v>700</v>
      </c>
      <c r="D102" s="761" t="s">
        <v>701</v>
      </c>
      <c r="E102" s="838">
        <v>0.2</v>
      </c>
      <c r="F102" s="825">
        <v>30</v>
      </c>
    </row>
    <row r="103" spans="1:6" s="821" customFormat="1" ht="36">
      <c r="A103" s="825">
        <v>43</v>
      </c>
      <c r="B103" s="825" t="s">
        <v>702</v>
      </c>
      <c r="C103" s="825" t="s">
        <v>703</v>
      </c>
      <c r="D103" s="761" t="s">
        <v>704</v>
      </c>
      <c r="E103" s="838">
        <v>0.2</v>
      </c>
      <c r="F103" s="825">
        <v>30</v>
      </c>
    </row>
    <row r="104" spans="1:6" s="821" customFormat="1" ht="36">
      <c r="A104" s="825">
        <v>44</v>
      </c>
      <c r="B104" s="825" t="s">
        <v>705</v>
      </c>
      <c r="C104" s="825" t="s">
        <v>706</v>
      </c>
      <c r="D104" s="761" t="s">
        <v>707</v>
      </c>
      <c r="E104" s="838">
        <v>0.2</v>
      </c>
      <c r="F104" s="825">
        <v>30</v>
      </c>
    </row>
    <row r="105" spans="1:6" s="821" customFormat="1" ht="48">
      <c r="A105" s="825">
        <v>45</v>
      </c>
      <c r="B105" s="3429" t="s">
        <v>708</v>
      </c>
      <c r="C105" s="825" t="s">
        <v>709</v>
      </c>
      <c r="D105" s="761" t="s">
        <v>710</v>
      </c>
      <c r="E105" s="838">
        <v>0.2</v>
      </c>
      <c r="F105" s="825">
        <v>30</v>
      </c>
    </row>
    <row r="106" spans="1:6" s="821" customFormat="1" ht="48">
      <c r="A106" s="825">
        <v>46</v>
      </c>
      <c r="B106" s="3429"/>
      <c r="C106" s="825" t="s">
        <v>711</v>
      </c>
      <c r="D106" s="761" t="s">
        <v>712</v>
      </c>
      <c r="E106" s="838">
        <v>0.2</v>
      </c>
      <c r="F106" s="825">
        <v>30</v>
      </c>
    </row>
    <row r="107" spans="1:6" s="821" customFormat="1" ht="36">
      <c r="A107" s="825">
        <v>47</v>
      </c>
      <c r="B107" s="3429" t="s">
        <v>713</v>
      </c>
      <c r="C107" s="825" t="s">
        <v>714</v>
      </c>
      <c r="D107" s="761" t="s">
        <v>715</v>
      </c>
      <c r="E107" s="838">
        <v>0.3</v>
      </c>
      <c r="F107" s="825">
        <v>50</v>
      </c>
    </row>
    <row r="108" spans="1:6" s="821" customFormat="1" ht="48">
      <c r="A108" s="825">
        <v>48</v>
      </c>
      <c r="B108" s="3429"/>
      <c r="C108" s="825" t="s">
        <v>716</v>
      </c>
      <c r="D108" s="761" t="s">
        <v>717</v>
      </c>
      <c r="E108" s="838">
        <v>0.2</v>
      </c>
      <c r="F108" s="825">
        <v>30</v>
      </c>
    </row>
    <row r="109" spans="1:6" s="821" customFormat="1" ht="36">
      <c r="A109" s="825">
        <v>49</v>
      </c>
      <c r="B109" s="825" t="s">
        <v>718</v>
      </c>
      <c r="C109" s="825" t="s">
        <v>719</v>
      </c>
      <c r="D109" s="761" t="s">
        <v>720</v>
      </c>
      <c r="E109" s="838">
        <v>0.2</v>
      </c>
      <c r="F109" s="825">
        <v>30</v>
      </c>
    </row>
    <row r="110" spans="1:6" s="821" customFormat="1" ht="48">
      <c r="A110" s="825">
        <v>50</v>
      </c>
      <c r="B110" s="825" t="s">
        <v>721</v>
      </c>
      <c r="C110" s="825" t="s">
        <v>722</v>
      </c>
      <c r="D110" s="761" t="s">
        <v>723</v>
      </c>
      <c r="E110" s="838">
        <v>0.2</v>
      </c>
      <c r="F110" s="825">
        <v>30</v>
      </c>
    </row>
    <row r="111" spans="1:6" s="821" customFormat="1" ht="48">
      <c r="A111" s="825">
        <v>51</v>
      </c>
      <c r="B111" s="3429" t="s">
        <v>724</v>
      </c>
      <c r="C111" s="825" t="s">
        <v>725</v>
      </c>
      <c r="D111" s="761" t="s">
        <v>726</v>
      </c>
      <c r="E111" s="838">
        <v>0.2</v>
      </c>
      <c r="F111" s="825">
        <v>30</v>
      </c>
    </row>
    <row r="112" spans="1:6" s="821" customFormat="1" ht="36">
      <c r="A112" s="825">
        <v>52</v>
      </c>
      <c r="B112" s="3429"/>
      <c r="C112" s="825" t="s">
        <v>727</v>
      </c>
      <c r="D112" s="761" t="s">
        <v>728</v>
      </c>
      <c r="E112" s="838">
        <v>0.2</v>
      </c>
      <c r="F112" s="825">
        <v>30</v>
      </c>
    </row>
    <row r="113" spans="1:6" s="821" customFormat="1" ht="36">
      <c r="A113" s="825">
        <v>53</v>
      </c>
      <c r="B113" s="3429"/>
      <c r="C113" s="825" t="s">
        <v>729</v>
      </c>
      <c r="D113" s="761" t="s">
        <v>730</v>
      </c>
      <c r="E113" s="838">
        <v>0.2</v>
      </c>
      <c r="F113" s="825">
        <v>30</v>
      </c>
    </row>
    <row r="114" spans="1:6" ht="48">
      <c r="A114" s="825">
        <v>54</v>
      </c>
      <c r="B114" s="825" t="s">
        <v>731</v>
      </c>
      <c r="C114" s="825" t="s">
        <v>732</v>
      </c>
      <c r="D114" s="761" t="s">
        <v>733</v>
      </c>
      <c r="E114" s="838">
        <v>0.2</v>
      </c>
      <c r="F114" s="825">
        <v>30</v>
      </c>
    </row>
    <row r="115" spans="1:6" ht="36">
      <c r="A115" s="825">
        <v>55</v>
      </c>
      <c r="B115" s="825" t="s">
        <v>734</v>
      </c>
      <c r="C115" s="825" t="s">
        <v>735</v>
      </c>
      <c r="D115" s="761" t="s">
        <v>736</v>
      </c>
      <c r="E115" s="838">
        <v>0.2</v>
      </c>
      <c r="F115" s="825">
        <v>30</v>
      </c>
    </row>
    <row r="116" spans="1:6" ht="36">
      <c r="A116" s="825">
        <v>56</v>
      </c>
      <c r="B116" s="3429" t="s">
        <v>737</v>
      </c>
      <c r="C116" s="825" t="s">
        <v>738</v>
      </c>
      <c r="D116" s="761" t="s">
        <v>739</v>
      </c>
      <c r="E116" s="838">
        <v>0.2</v>
      </c>
      <c r="F116" s="825">
        <v>30</v>
      </c>
    </row>
    <row r="117" spans="1:6" ht="36">
      <c r="A117" s="825">
        <v>57</v>
      </c>
      <c r="B117" s="3429"/>
      <c r="C117" s="825" t="s">
        <v>740</v>
      </c>
      <c r="D117" s="761" t="s">
        <v>741</v>
      </c>
      <c r="E117" s="838">
        <v>0.2</v>
      </c>
      <c r="F117" s="825">
        <v>30</v>
      </c>
    </row>
    <row r="118" spans="1:6" ht="36">
      <c r="A118" s="825">
        <v>58</v>
      </c>
      <c r="B118" s="825" t="s">
        <v>742</v>
      </c>
      <c r="C118" s="825" t="s">
        <v>743</v>
      </c>
      <c r="D118" s="761" t="s">
        <v>744</v>
      </c>
      <c r="E118" s="838">
        <v>0.2</v>
      </c>
      <c r="F118" s="825">
        <v>30</v>
      </c>
    </row>
    <row r="119" spans="1:6" ht="14.4">
      <c r="A119" s="825"/>
      <c r="B119" s="825"/>
      <c r="C119" s="825" t="s">
        <v>745</v>
      </c>
      <c r="D119" s="825"/>
      <c r="E119" s="838" t="s">
        <v>555</v>
      </c>
      <c r="F119" s="82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8"/>
    <col min="2" max="16384" width="9" style="841"/>
  </cols>
  <sheetData>
    <row r="1" spans="1:14" ht="15.6">
      <c r="A1" s="839" t="s">
        <v>747</v>
      </c>
      <c r="B1" s="840"/>
      <c r="C1" s="840"/>
      <c r="D1" s="840"/>
      <c r="E1" s="840"/>
      <c r="F1" s="840"/>
      <c r="G1" s="840"/>
      <c r="H1" s="840"/>
      <c r="I1" s="840"/>
      <c r="J1" s="840"/>
      <c r="K1" s="840"/>
      <c r="L1" s="840"/>
      <c r="M1" s="840"/>
      <c r="N1" s="840"/>
    </row>
    <row r="2" spans="1:14">
      <c r="A2" s="842" t="s">
        <v>746</v>
      </c>
      <c r="B2" s="843" t="s">
        <v>157</v>
      </c>
      <c r="C2" s="843" t="s">
        <v>158</v>
      </c>
      <c r="D2" s="843" t="s">
        <v>159</v>
      </c>
      <c r="E2" s="843" t="s">
        <v>160</v>
      </c>
      <c r="F2" s="843" t="s">
        <v>161</v>
      </c>
      <c r="G2" s="843" t="s">
        <v>162</v>
      </c>
      <c r="H2" s="844" t="s">
        <v>163</v>
      </c>
      <c r="I2" s="844" t="s">
        <v>164</v>
      </c>
      <c r="J2" s="845" t="s">
        <v>165</v>
      </c>
      <c r="K2" s="845" t="s">
        <v>166</v>
      </c>
      <c r="L2" s="845" t="s">
        <v>167</v>
      </c>
      <c r="M2" s="845" t="s">
        <v>168</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850"/>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850"/>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850"/>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5.6">
      <c r="A103" s="839" t="s">
        <v>748</v>
      </c>
      <c r="B103" s="840"/>
      <c r="C103" s="840"/>
      <c r="D103" s="840"/>
      <c r="E103" s="840"/>
      <c r="F103" s="840"/>
      <c r="G103" s="840"/>
      <c r="H103" s="840"/>
      <c r="I103" s="840"/>
      <c r="J103" s="840"/>
      <c r="K103" s="840"/>
      <c r="L103" s="840"/>
      <c r="M103" s="840"/>
      <c r="N103" s="840"/>
    </row>
    <row r="104" spans="1:14" ht="15.6">
      <c r="A104" s="842" t="s">
        <v>746</v>
      </c>
      <c r="B104" s="843" t="s">
        <v>157</v>
      </c>
      <c r="C104" s="843" t="s">
        <v>158</v>
      </c>
      <c r="D104" s="843" t="s">
        <v>159</v>
      </c>
      <c r="E104" s="843" t="s">
        <v>160</v>
      </c>
      <c r="F104" s="843" t="s">
        <v>161</v>
      </c>
      <c r="G104" s="843" t="s">
        <v>162</v>
      </c>
      <c r="H104" s="844" t="s">
        <v>163</v>
      </c>
      <c r="I104" s="844" t="s">
        <v>164</v>
      </c>
      <c r="J104" s="845" t="s">
        <v>165</v>
      </c>
      <c r="K104" s="845" t="s">
        <v>166</v>
      </c>
      <c r="L104" s="845" t="s">
        <v>167</v>
      </c>
      <c r="M104" s="845" t="s">
        <v>168</v>
      </c>
      <c r="N104" s="840">
        <f>SUMPRODUCT((A105:A204=ROUNDDOWN(基准地价修正!G3,1))*(B104:M104=基准地价修正!G2)*(B105:M204))</f>
        <v>2.5573999999999999</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5.6">
      <c r="A205" s="839" t="s">
        <v>749</v>
      </c>
      <c r="B205" s="840"/>
      <c r="C205" s="840"/>
      <c r="D205" s="840"/>
      <c r="E205" s="840"/>
      <c r="F205" s="840"/>
      <c r="G205" s="840"/>
      <c r="H205" s="840"/>
      <c r="I205" s="840"/>
      <c r="J205" s="840"/>
      <c r="K205" s="840"/>
      <c r="L205" s="840"/>
      <c r="M205" s="840"/>
    </row>
    <row r="206" spans="1:13">
      <c r="A206" s="842" t="s">
        <v>746</v>
      </c>
      <c r="B206" s="843" t="s">
        <v>157</v>
      </c>
      <c r="C206" s="843" t="s">
        <v>158</v>
      </c>
      <c r="D206" s="843" t="s">
        <v>159</v>
      </c>
      <c r="E206" s="843" t="s">
        <v>160</v>
      </c>
      <c r="F206" s="843" t="s">
        <v>161</v>
      </c>
      <c r="G206" s="843" t="s">
        <v>162</v>
      </c>
      <c r="H206" s="844" t="s">
        <v>163</v>
      </c>
      <c r="I206" s="844" t="s">
        <v>164</v>
      </c>
      <c r="J206" s="845" t="s">
        <v>165</v>
      </c>
      <c r="K206" s="845" t="s">
        <v>166</v>
      </c>
      <c r="L206" s="845" t="s">
        <v>167</v>
      </c>
      <c r="M206" s="845" t="s">
        <v>168</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5.6">
      <c r="A307" s="839" t="s">
        <v>750</v>
      </c>
      <c r="B307" s="840"/>
      <c r="C307" s="840"/>
      <c r="D307" s="840"/>
      <c r="E307" s="840"/>
      <c r="F307" s="840"/>
      <c r="G307" s="840"/>
      <c r="H307" s="840"/>
      <c r="I307" s="840"/>
      <c r="J307" s="840"/>
      <c r="K307" s="840"/>
      <c r="L307" s="840"/>
      <c r="M307" s="840"/>
    </row>
    <row r="308" spans="1:13">
      <c r="A308" s="842" t="s">
        <v>746</v>
      </c>
      <c r="B308" s="843" t="s">
        <v>157</v>
      </c>
      <c r="C308" s="843" t="s">
        <v>158</v>
      </c>
      <c r="D308" s="843" t="s">
        <v>159</v>
      </c>
      <c r="E308" s="843" t="s">
        <v>160</v>
      </c>
      <c r="F308" s="843" t="s">
        <v>161</v>
      </c>
      <c r="G308" s="843" t="s">
        <v>162</v>
      </c>
      <c r="H308" s="844" t="s">
        <v>163</v>
      </c>
      <c r="I308" s="844" t="s">
        <v>164</v>
      </c>
      <c r="J308" s="845" t="s">
        <v>165</v>
      </c>
      <c r="K308" s="845" t="s">
        <v>166</v>
      </c>
      <c r="L308" s="845" t="s">
        <v>167</v>
      </c>
      <c r="M308" s="845" t="s">
        <v>168</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7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68" customWidth="1"/>
    <col min="2" max="2" width="12.44140625" style="1668" customWidth="1"/>
    <col min="3" max="3" width="12.109375" style="1668" customWidth="1"/>
    <col min="4" max="4" width="14.109375" style="1668" customWidth="1"/>
    <col min="5" max="5" width="12.44140625" style="1668" customWidth="1"/>
    <col min="6" max="16384" width="9" style="1668"/>
  </cols>
  <sheetData>
    <row r="1" spans="1:16" ht="21.6">
      <c r="A1" s="2059" t="s">
        <v>2831</v>
      </c>
      <c r="B1" s="2369"/>
      <c r="C1" s="2369"/>
      <c r="D1" s="2369"/>
      <c r="E1" s="2369"/>
      <c r="F1" s="3027"/>
      <c r="G1" s="3027"/>
      <c r="H1" s="3027"/>
      <c r="I1" s="3027"/>
      <c r="J1" s="3027"/>
      <c r="K1" s="3027"/>
      <c r="L1" s="3027"/>
      <c r="M1" s="3027"/>
      <c r="N1" s="3027"/>
      <c r="O1" s="3027"/>
      <c r="P1" s="3027"/>
    </row>
    <row r="2" spans="1:16" ht="15.6">
      <c r="A2" s="2367" t="s">
        <v>2823</v>
      </c>
      <c r="B2" s="2829">
        <f ca="1">SUMIF(B6:B13,"&lt;&gt;#ref!",B6:B13)</f>
        <v>2927</v>
      </c>
      <c r="C2" s="2367" t="s">
        <v>2824</v>
      </c>
      <c r="D2" s="2367" t="s">
        <v>2825</v>
      </c>
      <c r="E2" s="2839">
        <f ca="1">SUMIF(E6:E13,"&lt;&gt;#ref!",E6:E13)</f>
        <v>8640.14</v>
      </c>
      <c r="F2" s="3027"/>
      <c r="G2" s="3027"/>
      <c r="H2" s="3027"/>
      <c r="I2" s="3027"/>
      <c r="J2" s="3027"/>
      <c r="K2" s="3027"/>
      <c r="L2" s="3027"/>
      <c r="M2" s="3027"/>
      <c r="N2" s="3027"/>
      <c r="O2" s="3027"/>
      <c r="P2" s="3027"/>
    </row>
    <row r="3" spans="1:16" ht="15.6">
      <c r="A3" s="2367" t="s">
        <v>2826</v>
      </c>
      <c r="B3" s="2829">
        <f ca="1">ROUND(B2*10000/E2,0)</f>
        <v>3388</v>
      </c>
      <c r="C3" s="2367" t="s">
        <v>2832</v>
      </c>
      <c r="D3" s="3027"/>
      <c r="E3" s="3027"/>
      <c r="F3" s="3027"/>
      <c r="G3" s="3027"/>
      <c r="H3" s="3027"/>
      <c r="I3" s="3027"/>
      <c r="J3" s="3027"/>
      <c r="K3" s="3027"/>
      <c r="L3" s="3027"/>
      <c r="M3" s="3027"/>
      <c r="N3" s="3027"/>
      <c r="O3" s="3027"/>
      <c r="P3" s="3027"/>
    </row>
    <row r="4" spans="1:16" ht="15.6">
      <c r="A4" s="3028"/>
      <c r="B4" s="3027"/>
      <c r="C4" s="3027"/>
      <c r="D4" s="3027"/>
      <c r="E4" s="3027"/>
      <c r="F4" s="3027"/>
      <c r="G4" s="3027"/>
      <c r="H4" s="3027"/>
      <c r="I4" s="3027"/>
      <c r="J4" s="3027"/>
      <c r="K4" s="3027"/>
      <c r="L4" s="3027"/>
      <c r="M4" s="3027"/>
      <c r="N4" s="3027"/>
      <c r="O4" s="3027"/>
      <c r="P4" s="3027"/>
    </row>
    <row r="5" spans="1:16" ht="31.2">
      <c r="A5" s="2835" t="s">
        <v>2827</v>
      </c>
      <c r="B5" s="2837" t="s">
        <v>2828</v>
      </c>
      <c r="C5" s="2368"/>
      <c r="D5" s="3027"/>
      <c r="E5" s="2838" t="s">
        <v>2829</v>
      </c>
      <c r="F5" s="3027"/>
      <c r="G5" s="3027"/>
      <c r="H5" s="3027"/>
      <c r="I5" s="3027"/>
      <c r="J5" s="3027"/>
      <c r="K5" s="3027"/>
      <c r="L5" s="3027"/>
      <c r="M5" s="3027"/>
      <c r="N5" s="3027"/>
      <c r="O5" s="3027"/>
      <c r="P5" s="3027"/>
    </row>
    <row r="6" spans="1:16" ht="15.6">
      <c r="A6" s="2836" t="s">
        <v>2830</v>
      </c>
      <c r="B6" s="2829">
        <f ca="1">SUMIF(INDIRECT("'"&amp;A6&amp;"'"&amp;"!A:A"),"总价",INDIRECT("'"&amp;A6&amp;"'"&amp;"!B:B"))</f>
        <v>2927</v>
      </c>
      <c r="C6" s="2367" t="s">
        <v>2824</v>
      </c>
      <c r="D6" s="3027"/>
      <c r="E6" s="2839">
        <f ca="1">SUMIF(INDIRECT("'"&amp;A6&amp;"'"&amp;"!C:C"),"建筑面积",INDIRECT("'"&amp;A6&amp;"'"&amp;"!D:D"))</f>
        <v>8640.14</v>
      </c>
      <c r="F6" s="3027"/>
      <c r="G6" s="3027"/>
      <c r="H6" s="3027"/>
      <c r="I6" s="3027"/>
      <c r="J6" s="3027"/>
      <c r="K6" s="3027"/>
      <c r="L6" s="3027"/>
      <c r="M6" s="3027"/>
      <c r="N6" s="3027"/>
      <c r="O6" s="3027"/>
      <c r="P6" s="3027"/>
    </row>
    <row r="7" spans="1:16" ht="15.6">
      <c r="A7" s="2836"/>
      <c r="B7" s="2829" t="e">
        <f ca="1">SUMIF(INDIRECT("'"&amp;A7&amp;"'"&amp;"!A:A"),"总价",INDIRECT("'"&amp;A7&amp;"'"&amp;"!B:B"))</f>
        <v>#REF!</v>
      </c>
      <c r="C7" s="2367" t="s">
        <v>2824</v>
      </c>
      <c r="D7" s="3027"/>
      <c r="E7" s="2839" t="e">
        <f t="shared" ref="E7:E13" ca="1" si="0">SUMIF(INDIRECT("'"&amp;A7&amp;"'"&amp;"!C:C"),"建筑面积",INDIRECT("'"&amp;A7&amp;"'"&amp;"!D:D"))</f>
        <v>#REF!</v>
      </c>
      <c r="F7" s="3027"/>
      <c r="G7" s="3027"/>
      <c r="H7" s="3027"/>
      <c r="I7" s="3027"/>
      <c r="J7" s="3027"/>
      <c r="K7" s="3027"/>
      <c r="L7" s="3027"/>
      <c r="M7" s="3027"/>
      <c r="N7" s="3027"/>
      <c r="O7" s="3027"/>
      <c r="P7" s="3027"/>
    </row>
    <row r="8" spans="1:16" ht="15.6">
      <c r="A8" s="2836"/>
      <c r="B8" s="2829" t="e">
        <f t="shared" ref="B8:B13" ca="1" si="1">SUMIF(INDIRECT("'"&amp;A8&amp;"'"&amp;"!A:A"),"总价",INDIRECT("'"&amp;A8&amp;"'"&amp;"!B:B"))</f>
        <v>#REF!</v>
      </c>
      <c r="C8" s="2367" t="s">
        <v>2824</v>
      </c>
      <c r="D8" s="3027"/>
      <c r="E8" s="2839" t="e">
        <f t="shared" ca="1" si="0"/>
        <v>#REF!</v>
      </c>
      <c r="F8" s="3027"/>
      <c r="G8" s="3027"/>
      <c r="H8" s="3027"/>
      <c r="I8" s="3027"/>
      <c r="J8" s="3027"/>
      <c r="K8" s="3027"/>
      <c r="L8" s="3027"/>
      <c r="M8" s="3027"/>
      <c r="N8" s="3027"/>
      <c r="O8" s="3027"/>
      <c r="P8" s="3027"/>
    </row>
    <row r="9" spans="1:16" ht="15.6">
      <c r="A9" s="2836"/>
      <c r="B9" s="2829" t="e">
        <f t="shared" ca="1" si="1"/>
        <v>#REF!</v>
      </c>
      <c r="C9" s="2367" t="s">
        <v>2824</v>
      </c>
      <c r="D9" s="3027"/>
      <c r="E9" s="2839" t="e">
        <f t="shared" ca="1" si="0"/>
        <v>#REF!</v>
      </c>
      <c r="F9" s="3027"/>
      <c r="G9" s="3027"/>
      <c r="H9" s="3027"/>
      <c r="I9" s="3027"/>
      <c r="J9" s="3027"/>
      <c r="K9" s="3027"/>
      <c r="L9" s="3027"/>
      <c r="M9" s="3027"/>
      <c r="N9" s="3027"/>
      <c r="O9" s="3027"/>
      <c r="P9" s="3027"/>
    </row>
    <row r="10" spans="1:16" ht="15.6">
      <c r="A10" s="2836"/>
      <c r="B10" s="2829" t="e">
        <f t="shared" ca="1" si="1"/>
        <v>#REF!</v>
      </c>
      <c r="C10" s="2367" t="s">
        <v>2824</v>
      </c>
      <c r="D10" s="3027"/>
      <c r="E10" s="2839" t="e">
        <f t="shared" ca="1" si="0"/>
        <v>#REF!</v>
      </c>
      <c r="F10" s="3027"/>
      <c r="G10" s="3027"/>
      <c r="H10" s="3027"/>
      <c r="I10" s="3027"/>
      <c r="J10" s="3027"/>
      <c r="K10" s="3027"/>
      <c r="L10" s="3027"/>
      <c r="M10" s="3027"/>
      <c r="N10" s="3027"/>
      <c r="O10" s="3027"/>
      <c r="P10" s="3027"/>
    </row>
    <row r="11" spans="1:16" ht="15.6">
      <c r="A11" s="2836"/>
      <c r="B11" s="2829" t="e">
        <f t="shared" ca="1" si="1"/>
        <v>#REF!</v>
      </c>
      <c r="C11" s="2367" t="s">
        <v>2824</v>
      </c>
      <c r="D11" s="3027"/>
      <c r="E11" s="2839" t="e">
        <f t="shared" ca="1" si="0"/>
        <v>#REF!</v>
      </c>
      <c r="F11" s="3027"/>
      <c r="G11" s="3027"/>
      <c r="H11" s="3027"/>
      <c r="I11" s="3027"/>
      <c r="J11" s="3027"/>
      <c r="K11" s="3027"/>
      <c r="L11" s="3027"/>
      <c r="M11" s="3027"/>
      <c r="N11" s="3027"/>
      <c r="O11" s="3027"/>
      <c r="P11" s="3027"/>
    </row>
    <row r="12" spans="1:16" ht="15.6">
      <c r="A12" s="2836"/>
      <c r="B12" s="2829" t="e">
        <f t="shared" ca="1" si="1"/>
        <v>#REF!</v>
      </c>
      <c r="C12" s="2367" t="s">
        <v>2824</v>
      </c>
      <c r="D12" s="3027"/>
      <c r="E12" s="2839" t="e">
        <f t="shared" ca="1" si="0"/>
        <v>#REF!</v>
      </c>
      <c r="F12" s="3027"/>
      <c r="G12" s="3027"/>
      <c r="H12" s="3027"/>
      <c r="I12" s="3027"/>
      <c r="J12" s="3027"/>
      <c r="K12" s="3027"/>
      <c r="L12" s="3027"/>
      <c r="M12" s="3027"/>
      <c r="N12" s="3027"/>
      <c r="O12" s="3027"/>
      <c r="P12" s="3027"/>
    </row>
    <row r="13" spans="1:16" ht="15.6">
      <c r="A13" s="2836"/>
      <c r="B13" s="2829" t="e">
        <f t="shared" ca="1" si="1"/>
        <v>#REF!</v>
      </c>
      <c r="C13" s="2367" t="s">
        <v>2824</v>
      </c>
      <c r="D13" s="3027"/>
      <c r="E13" s="2839" t="e">
        <f t="shared" ca="1" si="0"/>
        <v>#REF!</v>
      </c>
      <c r="F13" s="3027"/>
      <c r="G13" s="3027"/>
      <c r="H13" s="3027"/>
      <c r="I13" s="3027"/>
      <c r="J13" s="3027"/>
      <c r="K13" s="3027"/>
      <c r="L13" s="3027"/>
      <c r="M13" s="3027"/>
      <c r="N13" s="3027"/>
      <c r="O13" s="3027"/>
      <c r="P13" s="3027"/>
    </row>
    <row r="14" spans="1:16">
      <c r="A14" s="3027"/>
      <c r="B14" s="3027"/>
      <c r="C14" s="3027"/>
      <c r="D14" s="3027"/>
      <c r="E14" s="3027"/>
      <c r="F14" s="3027"/>
      <c r="G14" s="3027"/>
      <c r="H14" s="3027"/>
      <c r="I14" s="3027"/>
      <c r="J14" s="3027"/>
      <c r="K14" s="3027"/>
      <c r="L14" s="3027"/>
      <c r="M14" s="3027"/>
      <c r="N14" s="3027"/>
      <c r="O14" s="3027"/>
      <c r="P14" s="3027"/>
    </row>
    <row r="15" spans="1:16">
      <c r="A15" s="3027"/>
      <c r="B15" s="3027"/>
      <c r="C15" s="3027"/>
      <c r="D15" s="3027"/>
      <c r="E15" s="3027"/>
      <c r="F15" s="3027"/>
      <c r="G15" s="3027"/>
      <c r="H15" s="3027"/>
      <c r="I15" s="3027"/>
      <c r="J15" s="3027"/>
      <c r="K15" s="3027"/>
      <c r="L15" s="3027"/>
      <c r="M15" s="3027"/>
      <c r="N15" s="3027"/>
      <c r="O15" s="3027"/>
      <c r="P15" s="3027"/>
    </row>
    <row r="16" spans="1:16">
      <c r="A16" s="3027"/>
      <c r="B16" s="3027"/>
      <c r="C16" s="3027"/>
      <c r="D16" s="3027"/>
      <c r="E16" s="3027"/>
      <c r="F16" s="3027"/>
      <c r="G16" s="3027"/>
      <c r="H16" s="3027"/>
      <c r="I16" s="3027"/>
      <c r="J16" s="3027"/>
      <c r="K16" s="3027"/>
      <c r="L16" s="3027"/>
      <c r="M16" s="3027"/>
      <c r="N16" s="3027"/>
      <c r="O16" s="3027"/>
      <c r="P16" s="3027"/>
    </row>
    <row r="17" spans="1:16">
      <c r="A17" s="3027"/>
      <c r="B17" s="3027"/>
      <c r="C17" s="3027"/>
      <c r="D17" s="3027"/>
      <c r="E17" s="3027"/>
      <c r="F17" s="3027"/>
      <c r="G17" s="3027"/>
      <c r="H17" s="3027"/>
      <c r="I17" s="3027"/>
      <c r="J17" s="3027"/>
      <c r="K17" s="3027"/>
      <c r="L17" s="3027"/>
      <c r="M17" s="3027"/>
      <c r="N17" s="3027"/>
      <c r="O17" s="3027"/>
      <c r="P17" s="3027"/>
    </row>
    <row r="18" spans="1:16">
      <c r="A18" s="3027"/>
      <c r="B18" s="3027"/>
      <c r="C18" s="3027"/>
      <c r="D18" s="3027"/>
      <c r="E18" s="3027"/>
      <c r="F18" s="3027"/>
      <c r="G18" s="3027"/>
      <c r="H18" s="3027"/>
      <c r="I18" s="3027"/>
      <c r="J18" s="3027"/>
      <c r="K18" s="3027"/>
      <c r="L18" s="3027"/>
      <c r="M18" s="3027"/>
      <c r="N18" s="3027"/>
      <c r="O18" s="3027"/>
      <c r="P18" s="3027"/>
    </row>
    <row r="19" spans="1:16">
      <c r="A19" s="3027"/>
      <c r="B19" s="3027"/>
      <c r="C19" s="3027"/>
      <c r="D19" s="3027"/>
      <c r="E19" s="3027"/>
      <c r="F19" s="3027"/>
      <c r="G19" s="3027"/>
      <c r="H19" s="3027"/>
      <c r="I19" s="3027"/>
      <c r="J19" s="3027"/>
      <c r="K19" s="3027"/>
      <c r="L19" s="3027"/>
      <c r="M19" s="3027"/>
      <c r="N19" s="3027"/>
      <c r="O19" s="3027"/>
      <c r="P19" s="3027"/>
    </row>
    <row r="20" spans="1:16">
      <c r="A20" s="3027"/>
      <c r="B20" s="3027"/>
      <c r="C20" s="3027"/>
      <c r="D20" s="3027"/>
      <c r="E20" s="3027"/>
      <c r="F20" s="3027"/>
      <c r="G20" s="3027"/>
      <c r="H20" s="3027"/>
      <c r="I20" s="3027"/>
      <c r="J20" s="3027"/>
      <c r="K20" s="3027"/>
      <c r="L20" s="3027"/>
      <c r="M20" s="3027"/>
      <c r="N20" s="3027"/>
      <c r="O20" s="3027"/>
      <c r="P20" s="3027"/>
    </row>
    <row r="21" spans="1:16">
      <c r="A21" s="3027"/>
      <c r="B21" s="3027"/>
      <c r="C21" s="3027"/>
      <c r="D21" s="3027"/>
      <c r="E21" s="3027"/>
      <c r="F21" s="3027"/>
      <c r="G21" s="3027"/>
      <c r="H21" s="3027"/>
      <c r="I21" s="3027"/>
      <c r="J21" s="3027"/>
      <c r="K21" s="3027"/>
      <c r="L21" s="3027"/>
      <c r="M21" s="3027"/>
      <c r="N21" s="3027"/>
      <c r="O21" s="3027"/>
      <c r="P21" s="302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L6" sqref="L6:L11"/>
    </sheetView>
  </sheetViews>
  <sheetFormatPr defaultColWidth="9" defaultRowHeight="13.2"/>
  <cols>
    <col min="1" max="1" width="9" style="2416"/>
    <col min="2" max="6" width="9" style="2416" customWidth="1"/>
    <col min="7" max="7" width="9" style="2454"/>
    <col min="8" max="8" width="9" style="2416"/>
    <col min="9" max="12" width="9" style="2416" customWidth="1"/>
    <col min="13" max="13" width="2.21875" style="2416" customWidth="1"/>
    <col min="14" max="14" width="9" style="2454" customWidth="1"/>
    <col min="15" max="17" width="9" style="2416" customWidth="1"/>
    <col min="18" max="18" width="2.33203125" style="2416" customWidth="1"/>
    <col min="19" max="19" width="7.109375" style="2454" customWidth="1"/>
    <col min="20" max="22" width="7.109375" style="2416" customWidth="1"/>
    <col min="23" max="23" width="24.21875" style="2416" customWidth="1"/>
    <col min="24" max="25" width="9" style="2416"/>
    <col min="26" max="27" width="11.6640625" style="2416" customWidth="1"/>
    <col min="28" max="28" width="9" style="2416"/>
    <col min="29" max="29" width="2" style="2416" customWidth="1"/>
    <col min="30" max="16384" width="9" style="2416"/>
  </cols>
  <sheetData>
    <row r="1" spans="1:34" s="2395" customFormat="1">
      <c r="B1" s="3435" t="s">
        <v>1117</v>
      </c>
      <c r="C1" s="3435"/>
      <c r="D1" s="3435"/>
      <c r="E1" s="3435"/>
      <c r="F1" s="3435"/>
      <c r="G1" s="3431" t="s">
        <v>1118</v>
      </c>
      <c r="H1" s="3431"/>
      <c r="I1" s="3431"/>
      <c r="J1" s="3431"/>
      <c r="K1" s="3431"/>
      <c r="L1" s="3431"/>
      <c r="N1" s="3431" t="s">
        <v>1119</v>
      </c>
      <c r="O1" s="3431"/>
      <c r="P1" s="3431"/>
      <c r="Q1" s="3431"/>
      <c r="S1" s="3431" t="s">
        <v>1120</v>
      </c>
      <c r="T1" s="3431"/>
      <c r="U1" s="3431"/>
      <c r="V1" s="3431"/>
      <c r="X1" s="3430" t="s">
        <v>1121</v>
      </c>
      <c r="Y1" s="3431"/>
      <c r="Z1" s="3431"/>
      <c r="AA1" s="3431"/>
      <c r="AB1" s="3431"/>
      <c r="AD1" s="3430" t="s">
        <v>1122</v>
      </c>
      <c r="AE1" s="3431"/>
      <c r="AF1" s="3431"/>
      <c r="AG1" s="3431"/>
      <c r="AH1" s="3431"/>
    </row>
    <row r="2" spans="1:34" s="2396" customFormat="1" ht="15" thickBot="1">
      <c r="B2" s="2397" t="s">
        <v>1123</v>
      </c>
      <c r="C2" s="2397" t="s">
        <v>1124</v>
      </c>
      <c r="D2" s="2398" t="s">
        <v>1125</v>
      </c>
      <c r="E2" s="2398" t="s">
        <v>1126</v>
      </c>
      <c r="F2" s="2397" t="s">
        <v>1127</v>
      </c>
      <c r="G2" s="2399"/>
      <c r="I2" s="2397" t="s">
        <v>1123</v>
      </c>
      <c r="J2" s="2398" t="s">
        <v>1350</v>
      </c>
      <c r="K2" s="2398" t="s">
        <v>751</v>
      </c>
      <c r="L2" s="2397" t="s">
        <v>1127</v>
      </c>
      <c r="N2" s="2397" t="s">
        <v>1123</v>
      </c>
      <c r="O2" s="2398" t="s">
        <v>1350</v>
      </c>
      <c r="P2" s="2398" t="s">
        <v>751</v>
      </c>
      <c r="Q2" s="2397" t="s">
        <v>1127</v>
      </c>
      <c r="S2" s="2397" t="s">
        <v>1123</v>
      </c>
      <c r="T2" s="2398" t="s">
        <v>1350</v>
      </c>
      <c r="U2" s="2398" t="s">
        <v>751</v>
      </c>
      <c r="V2" s="2397" t="s">
        <v>1127</v>
      </c>
      <c r="X2" s="2397" t="s">
        <v>1123</v>
      </c>
      <c r="Y2" s="2397" t="s">
        <v>1124</v>
      </c>
      <c r="Z2" s="2398" t="s">
        <v>1125</v>
      </c>
      <c r="AA2" s="2398" t="s">
        <v>1126</v>
      </c>
      <c r="AB2" s="2397" t="s">
        <v>1127</v>
      </c>
      <c r="AD2" s="2397" t="s">
        <v>1123</v>
      </c>
      <c r="AE2" s="2397" t="s">
        <v>1124</v>
      </c>
      <c r="AF2" s="2398" t="s">
        <v>1125</v>
      </c>
      <c r="AG2" s="2398" t="s">
        <v>1126</v>
      </c>
      <c r="AH2" s="2397" t="s">
        <v>1127</v>
      </c>
    </row>
    <row r="3" spans="1:34" s="2406" customFormat="1" ht="14.4">
      <c r="A3" s="2400" t="s">
        <v>2864</v>
      </c>
      <c r="B3" s="2401"/>
      <c r="C3" s="2401"/>
      <c r="D3" s="2402"/>
      <c r="E3" s="2402"/>
      <c r="F3" s="2401"/>
      <c r="G3" s="2403"/>
      <c r="H3" s="2404"/>
      <c r="I3" s="2405">
        <f>ROUND(AVERAGE($I4:$I31),2)</f>
        <v>1.79</v>
      </c>
      <c r="J3" s="2405">
        <f>ROUND(AVERAGE($J4:$J31),2)</f>
        <v>1.2</v>
      </c>
      <c r="K3" s="2405">
        <f>ROUND(AVERAGE($K4:$K31),2)</f>
        <v>1.97</v>
      </c>
      <c r="L3" s="2405">
        <f>ROUND(AVERAGE($L4:$L31),2)</f>
        <v>1.27</v>
      </c>
      <c r="N3" s="2403"/>
      <c r="S3" s="2403"/>
      <c r="W3" s="2407"/>
      <c r="X3" s="2408">
        <f>ROUND(SUMPRODUCT(PRODUCT(1+N3:N$30)),4)</f>
        <v>1.5652999999999999</v>
      </c>
      <c r="Y3" s="2408">
        <f>ROUND(SUMPRODUCT(PRODUCT(1+O3:O$30)),4)</f>
        <v>1.3472</v>
      </c>
      <c r="Z3" s="2408">
        <f t="shared" ref="Z3:Z28" si="0">Y3</f>
        <v>1.3472</v>
      </c>
      <c r="AA3" s="2408">
        <f>ROUND(SUMPRODUCT(PRODUCT(1+P3:P$30)),4)</f>
        <v>1.6335999999999999</v>
      </c>
      <c r="AB3" s="2408">
        <f>ROUND(SUMPRODUCT(PRODUCT(1+Q3:Q$30)),4)</f>
        <v>1.3880999999999999</v>
      </c>
      <c r="AD3" s="2409">
        <f>ROUND(AVERAGE(I3:I$31)/100,4)</f>
        <v>1.7899999999999999E-2</v>
      </c>
      <c r="AE3" s="2409">
        <f>ROUND(AVERAGE(J3:J$31)/100,4)</f>
        <v>1.2E-2</v>
      </c>
      <c r="AF3" s="2409">
        <f t="shared" ref="AF3:AF29" si="1">AE3</f>
        <v>1.2E-2</v>
      </c>
      <c r="AG3" s="2409">
        <f>ROUND(AVERAGE(K3:K$31)/100,4)</f>
        <v>1.9699999999999999E-2</v>
      </c>
      <c r="AH3" s="2409">
        <f>ROUND(AVERAGE(L3:L$31)/100,4)</f>
        <v>1.2699999999999999E-2</v>
      </c>
    </row>
    <row r="4" spans="1:34" s="2410" customFormat="1" ht="14.4">
      <c r="B4" s="2411"/>
      <c r="C4" s="2411"/>
      <c r="D4" s="2412"/>
      <c r="E4" s="2412"/>
      <c r="F4" s="2411"/>
      <c r="G4" s="2413"/>
      <c r="H4" s="2414"/>
      <c r="I4" s="2415"/>
      <c r="J4" s="2415"/>
      <c r="K4" s="2415"/>
      <c r="L4" s="2415"/>
      <c r="N4" s="2413"/>
      <c r="S4" s="2413"/>
      <c r="X4" s="2416"/>
      <c r="Y4" s="2416"/>
      <c r="Z4" s="2416"/>
      <c r="AA4" s="2416"/>
      <c r="AB4" s="2416"/>
      <c r="AD4" s="2417"/>
      <c r="AE4" s="2417"/>
      <c r="AF4" s="2417"/>
      <c r="AG4" s="2417"/>
      <c r="AH4" s="2417"/>
    </row>
    <row r="5" spans="1:34" s="2423" customFormat="1">
      <c r="A5" s="2418" t="s">
        <v>2882</v>
      </c>
      <c r="B5" s="2419">
        <f t="shared" ref="B5" si="2">B6*(1+N5)</f>
        <v>481.4103506697644</v>
      </c>
      <c r="C5" s="2419">
        <f t="shared" ref="C5" si="3">C6*(1+O5)</f>
        <v>347.29066026648707</v>
      </c>
      <c r="D5" s="2419">
        <f t="shared" ref="D5" si="4">C5</f>
        <v>347.29066026648707</v>
      </c>
      <c r="E5" s="2419">
        <f t="shared" ref="E5" si="5">E6*(1+P5)</f>
        <v>690.85977273901995</v>
      </c>
      <c r="F5" s="2419">
        <f t="shared" ref="F5" si="6">F6*(1+Q5)</f>
        <v>319.13136737000184</v>
      </c>
      <c r="G5" s="2420">
        <v>2020</v>
      </c>
      <c r="H5" s="2421">
        <v>3</v>
      </c>
      <c r="I5" s="2422">
        <v>0</v>
      </c>
      <c r="J5" s="2422">
        <v>0</v>
      </c>
      <c r="K5" s="2422">
        <v>0</v>
      </c>
      <c r="L5" s="2422">
        <v>0</v>
      </c>
      <c r="N5" s="2424">
        <f t="shared" ref="N5" si="7">I5/100</f>
        <v>0</v>
      </c>
      <c r="O5" s="2424">
        <f t="shared" ref="O5" si="8">J5/100</f>
        <v>0</v>
      </c>
      <c r="P5" s="2424">
        <f t="shared" ref="P5" si="9">K5/100</f>
        <v>0</v>
      </c>
      <c r="Q5" s="2424">
        <f t="shared" ref="Q5" si="10">L5/100</f>
        <v>0</v>
      </c>
      <c r="S5" s="2425"/>
      <c r="W5" s="2426" t="s">
        <v>2865</v>
      </c>
      <c r="X5" s="2427">
        <f>ROUND(IF(项目基本情况!B7="出让",SUMPRODUCT(PRODUCT(1+N5:N$31)),SUMPRODUCT(PRODUCT(1+N5:N$30))),4)</f>
        <v>1.5652999999999999</v>
      </c>
      <c r="Y5" s="2427">
        <f>ROUND(IF(项目基本情况!B7="出让",SUMPRODUCT(PRODUCT(1+O5:O$31)),SUMPRODUCT(PRODUCT(1+O5:O$30))),4)</f>
        <v>1.3472</v>
      </c>
      <c r="Z5" s="2427">
        <f t="shared" ref="Z5" si="11">Y5</f>
        <v>1.3472</v>
      </c>
      <c r="AA5" s="2427">
        <f>ROUND(IF(项目基本情况!B7="出让",SUMPRODUCT(PRODUCT(1+P5:P$31)),SUMPRODUCT(PRODUCT(1+P5:P$30))),4)</f>
        <v>1.6335999999999999</v>
      </c>
      <c r="AB5" s="2427">
        <f>ROUND(IF(项目基本情况!B7="出让",SUMPRODUCT(PRODUCT(1+Q5:Q$31)),SUMPRODUCT(PRODUCT(1+Q5:Q$30))),4)</f>
        <v>1.3880999999999999</v>
      </c>
      <c r="AD5" s="2428">
        <f>ROUND(AVERAGE(I5:I$31)/100,4)</f>
        <v>1.7899999999999999E-2</v>
      </c>
      <c r="AE5" s="2428">
        <f>ROUND(AVERAGE(J5:J$31)/100,4)</f>
        <v>1.2E-2</v>
      </c>
      <c r="AF5" s="2428">
        <f t="shared" ref="AF5" si="12">AE5</f>
        <v>1.2E-2</v>
      </c>
      <c r="AG5" s="2428">
        <f>ROUND(AVERAGE(K5:K$31)/100,4)</f>
        <v>1.9699999999999999E-2</v>
      </c>
      <c r="AH5" s="2428">
        <f>ROUND(AVERAGE(L5:L$31)/100,4)</f>
        <v>1.2699999999999999E-2</v>
      </c>
    </row>
    <row r="6" spans="1:34" s="2436" customFormat="1">
      <c r="A6" s="2429" t="s">
        <v>2881</v>
      </c>
      <c r="B6" s="2430">
        <f t="shared" ref="B6" si="13">B7*(1+N6)</f>
        <v>481.4103506697644</v>
      </c>
      <c r="C6" s="2430">
        <f t="shared" ref="C6" si="14">C7*(1+O6)</f>
        <v>347.29066026648707</v>
      </c>
      <c r="D6" s="2430">
        <f t="shared" ref="D6" si="15">C6</f>
        <v>347.29066026648707</v>
      </c>
      <c r="E6" s="2430">
        <f t="shared" ref="E6" si="16">E7*(1+P6)</f>
        <v>690.85977273901995</v>
      </c>
      <c r="F6" s="2430">
        <f t="shared" ref="F6" si="17">F7*(1+Q6)</f>
        <v>319.13136737000184</v>
      </c>
      <c r="G6" s="2420">
        <v>2020</v>
      </c>
      <c r="H6" s="2431">
        <v>2</v>
      </c>
      <c r="I6" s="2393">
        <v>0.31</v>
      </c>
      <c r="J6" s="2393">
        <v>-0.78</v>
      </c>
      <c r="K6" s="2393">
        <v>0.5</v>
      </c>
      <c r="L6" s="2394">
        <v>0.47</v>
      </c>
      <c r="M6" s="2416"/>
      <c r="N6" s="2432">
        <f t="shared" ref="N6" si="18">I6/100</f>
        <v>3.0999999999999999E-3</v>
      </c>
      <c r="O6" s="2417">
        <f t="shared" ref="O6" si="19">J6/100</f>
        <v>-7.8000000000000005E-3</v>
      </c>
      <c r="P6" s="2417">
        <f t="shared" ref="P6" si="20">K6/100</f>
        <v>5.0000000000000001E-3</v>
      </c>
      <c r="Q6" s="2417">
        <f t="shared" ref="Q6" si="21">L6/100</f>
        <v>4.6999999999999993E-3</v>
      </c>
      <c r="R6" s="2433"/>
      <c r="S6" s="2432"/>
      <c r="T6" s="2417"/>
      <c r="U6" s="2417"/>
      <c r="V6" s="2417"/>
      <c r="W6" s="2434"/>
      <c r="X6" s="2434">
        <f>ROUND(IF(项目基本情况!B8="出让",SUMPRODUCT(PRODUCT(1+N6:N$31)),SUMPRODUCT(PRODUCT(1+N6:N$30))),4)</f>
        <v>1.5652999999999999</v>
      </c>
      <c r="Y6" s="2434">
        <f>ROUND(IF(项目基本情况!B8="出让",SUMPRODUCT(PRODUCT(1+O6:O$31)),SUMPRODUCT(PRODUCT(1+O6:O$30))),4)</f>
        <v>1.3472</v>
      </c>
      <c r="Z6" s="2434">
        <f t="shared" ref="Z6" si="22">Y6</f>
        <v>1.3472</v>
      </c>
      <c r="AA6" s="2434">
        <f>ROUND(IF(项目基本情况!B8="出让",SUMPRODUCT(PRODUCT(1+P6:P$31)),SUMPRODUCT(PRODUCT(1+P6:P$30))),4)</f>
        <v>1.6335999999999999</v>
      </c>
      <c r="AB6" s="2434">
        <f>ROUND(IF(项目基本情况!B8="出让",SUMPRODUCT(PRODUCT(1+Q6:Q$31)),SUMPRODUCT(PRODUCT(1+Q6:Q$30))),4)</f>
        <v>1.3880999999999999</v>
      </c>
      <c r="AC6" s="2434"/>
      <c r="AD6" s="2435">
        <f>ROUND(AVERAGE(I6:I$31)/100,4)</f>
        <v>1.8599999999999998E-2</v>
      </c>
      <c r="AE6" s="2435">
        <f>ROUND(AVERAGE(J6:J$31)/100,4)</f>
        <v>1.2500000000000001E-2</v>
      </c>
      <c r="AF6" s="2435">
        <f t="shared" ref="AF6" si="23">AE6</f>
        <v>1.2500000000000001E-2</v>
      </c>
      <c r="AG6" s="2435">
        <f>ROUND(AVERAGE(K6:K$31)/100,4)</f>
        <v>2.0400000000000001E-2</v>
      </c>
      <c r="AH6" s="2435">
        <f>ROUND(AVERAGE(L6:L$31)/100,4)</f>
        <v>1.32E-2</v>
      </c>
    </row>
    <row r="7" spans="1:34" s="2436" customFormat="1">
      <c r="A7" s="2429" t="s">
        <v>2879</v>
      </c>
      <c r="B7" s="2430">
        <f t="shared" ref="B7" si="24">B8*(1+N7)</f>
        <v>479.92259063878413</v>
      </c>
      <c r="C7" s="2430">
        <f t="shared" ref="C7" si="25">C8*(1+O7)</f>
        <v>350.02082268341775</v>
      </c>
      <c r="D7" s="2430">
        <f t="shared" ref="D7" si="26">C7</f>
        <v>350.02082268341775</v>
      </c>
      <c r="E7" s="2430">
        <f t="shared" ref="E7" si="27">E8*(1+P7)</f>
        <v>687.42265944181099</v>
      </c>
      <c r="F7" s="2430">
        <f t="shared" ref="F7" si="28">F8*(1+Q7)</f>
        <v>317.63846657708956</v>
      </c>
      <c r="G7" s="2420">
        <v>2020</v>
      </c>
      <c r="H7" s="2431">
        <v>1</v>
      </c>
      <c r="I7" s="2393">
        <v>0.12</v>
      </c>
      <c r="J7" s="2393">
        <v>-0.4</v>
      </c>
      <c r="K7" s="2393">
        <v>0.21</v>
      </c>
      <c r="L7" s="2394">
        <v>0.27</v>
      </c>
      <c r="M7" s="2416"/>
      <c r="N7" s="2432">
        <f t="shared" ref="N7" si="29">I7/100</f>
        <v>1.1999999999999999E-3</v>
      </c>
      <c r="O7" s="2417">
        <f t="shared" ref="O7" si="30">J7/100</f>
        <v>-4.0000000000000001E-3</v>
      </c>
      <c r="P7" s="2417">
        <f t="shared" ref="P7" si="31">K7/100</f>
        <v>2.0999999999999999E-3</v>
      </c>
      <c r="Q7" s="2417">
        <f t="shared" ref="Q7" si="32">L7/100</f>
        <v>2.7000000000000001E-3</v>
      </c>
      <c r="R7" s="2433"/>
      <c r="S7" s="2432">
        <f>B7/B8-1</f>
        <v>1.2000000000000899E-3</v>
      </c>
      <c r="T7" s="2417">
        <f t="shared" ref="T7" si="33">C7/C8-1</f>
        <v>-4.0000000000000036E-3</v>
      </c>
      <c r="U7" s="2417">
        <f t="shared" ref="U7" si="34">D7/D8-1</f>
        <v>-4.0000000000000036E-3</v>
      </c>
      <c r="V7" s="2417">
        <f t="shared" ref="V7" si="35">E7/E8-1</f>
        <v>2.0999999999999908E-3</v>
      </c>
      <c r="W7" s="2434"/>
      <c r="X7" s="2434">
        <f>ROUND(IF(项目基本情况!B8="出让",SUMPRODUCT(PRODUCT(1+N7:N$31)),SUMPRODUCT(PRODUCT(1+N7:N$30))),4)</f>
        <v>1.5605</v>
      </c>
      <c r="Y7" s="2434">
        <f>ROUND(IF(项目基本情况!B8="出让",SUMPRODUCT(PRODUCT(1+O7:O$31)),SUMPRODUCT(PRODUCT(1+O7:O$30))),4)</f>
        <v>1.3577999999999999</v>
      </c>
      <c r="Z7" s="2434">
        <f t="shared" ref="Z7" si="36">Y7</f>
        <v>1.3577999999999999</v>
      </c>
      <c r="AA7" s="2434">
        <f>ROUND(IF(项目基本情况!B8="出让",SUMPRODUCT(PRODUCT(1+P7:P$31)),SUMPRODUCT(PRODUCT(1+P7:P$30))),4)</f>
        <v>1.6254999999999999</v>
      </c>
      <c r="AB7" s="2434">
        <f>ROUND(IF(项目基本情况!B8="出让",SUMPRODUCT(PRODUCT(1+Q7:Q$31)),SUMPRODUCT(PRODUCT(1+Q7:Q$30))),4)</f>
        <v>1.3815999999999999</v>
      </c>
      <c r="AC7" s="2434"/>
      <c r="AD7" s="2435">
        <f>ROUND(AVERAGE(I7:I$31)/100,4)</f>
        <v>1.9199999999999998E-2</v>
      </c>
      <c r="AE7" s="2435">
        <f>ROUND(AVERAGE(J7:J$31)/100,4)</f>
        <v>1.3299999999999999E-2</v>
      </c>
      <c r="AF7" s="2435">
        <f t="shared" ref="AF7" si="37">AE7</f>
        <v>1.3299999999999999E-2</v>
      </c>
      <c r="AG7" s="2435">
        <f>ROUND(AVERAGE(K7:K$31)/100,4)</f>
        <v>2.1100000000000001E-2</v>
      </c>
      <c r="AH7" s="2435">
        <f>ROUND(AVERAGE(L7:L$31)/100,4)</f>
        <v>1.3599999999999999E-2</v>
      </c>
    </row>
    <row r="8" spans="1:34" s="2436" customFormat="1">
      <c r="A8" s="2429" t="s">
        <v>2878</v>
      </c>
      <c r="B8" s="2430">
        <f t="shared" ref="B8" si="38">B9*(1+N8)</f>
        <v>479.34737379023579</v>
      </c>
      <c r="C8" s="2430">
        <f t="shared" ref="C8" si="39">C9*(1+O8)</f>
        <v>351.4265287986122</v>
      </c>
      <c r="D8" s="2430">
        <f t="shared" ref="D8" si="40">C8</f>
        <v>351.4265287986122</v>
      </c>
      <c r="E8" s="2430">
        <f t="shared" ref="E8" si="41">E9*(1+P8)</f>
        <v>685.98209703803116</v>
      </c>
      <c r="F8" s="2430">
        <f t="shared" ref="F8" si="42">F9*(1+Q8)</f>
        <v>316.78315206651001</v>
      </c>
      <c r="G8" s="2420">
        <v>2019</v>
      </c>
      <c r="H8" s="2431">
        <v>4</v>
      </c>
      <c r="I8" s="2431">
        <v>0.45</v>
      </c>
      <c r="J8" s="2431">
        <v>-0.12</v>
      </c>
      <c r="K8" s="2431">
        <v>0.54</v>
      </c>
      <c r="L8" s="2437">
        <v>0.48</v>
      </c>
      <c r="M8" s="2416"/>
      <c r="N8" s="2432">
        <f t="shared" ref="N8:N13" si="43">I8/100</f>
        <v>4.5000000000000005E-3</v>
      </c>
      <c r="O8" s="2417">
        <f t="shared" ref="O8" si="44">J8/100</f>
        <v>-1.1999999999999999E-3</v>
      </c>
      <c r="P8" s="2417">
        <f t="shared" ref="P8" si="45">K8/100</f>
        <v>5.4000000000000003E-3</v>
      </c>
      <c r="Q8" s="2417">
        <f t="shared" ref="Q8" si="46">L8/100</f>
        <v>4.7999999999999996E-3</v>
      </c>
      <c r="R8" s="2433"/>
      <c r="S8" s="2432"/>
      <c r="T8" s="2417"/>
      <c r="U8" s="2417"/>
      <c r="V8" s="2417"/>
      <c r="W8" s="2434"/>
      <c r="X8" s="2434">
        <f>ROUND(IF(项目基本情况!B8="出让",SUMPRODUCT(PRODUCT(1+N8:N$31)),SUMPRODUCT(PRODUCT(1+N8:N$30))),4)</f>
        <v>1.5586</v>
      </c>
      <c r="Y8" s="2434">
        <f>ROUND(IF(项目基本情况!B8="出让",SUMPRODUCT(PRODUCT(1+O8:O$31)),SUMPRODUCT(PRODUCT(1+O8:O$30))),4)</f>
        <v>1.3633</v>
      </c>
      <c r="Z8" s="2434">
        <f t="shared" ref="Z8" si="47">Y8</f>
        <v>1.3633</v>
      </c>
      <c r="AA8" s="2434">
        <f>ROUND(IF(项目基本情况!B8="出让",SUMPRODUCT(PRODUCT(1+P8:P$31)),SUMPRODUCT(PRODUCT(1+P8:P$30))),4)</f>
        <v>1.6221000000000001</v>
      </c>
      <c r="AB8" s="2434">
        <f>ROUND(IF(项目基本情况!B8="出让",SUMPRODUCT(PRODUCT(1+Q8:Q$31)),SUMPRODUCT(PRODUCT(1+Q8:Q$30))),4)</f>
        <v>1.3777999999999999</v>
      </c>
      <c r="AC8" s="2434"/>
      <c r="AD8" s="2435">
        <f>ROUND(AVERAGE(I8:I$31)/100,4)</f>
        <v>0.02</v>
      </c>
      <c r="AE8" s="2435">
        <f>ROUND(AVERAGE(J8:J$31)/100,4)</f>
        <v>1.4E-2</v>
      </c>
      <c r="AF8" s="2435">
        <f t="shared" ref="AF8" si="48">AE8</f>
        <v>1.4E-2</v>
      </c>
      <c r="AG8" s="2435">
        <f>ROUND(AVERAGE(K8:K$31)/100,4)</f>
        <v>2.1899999999999999E-2</v>
      </c>
      <c r="AH8" s="2435">
        <f>ROUND(AVERAGE(L8:L$31)/100,4)</f>
        <v>1.4E-2</v>
      </c>
    </row>
    <row r="9" spans="1:34" s="2436" customFormat="1" ht="13.8" thickBot="1">
      <c r="A9" s="2429" t="s">
        <v>2877</v>
      </c>
      <c r="B9" s="2430">
        <f t="shared" ref="B9" si="49">B10*(1+N9)</f>
        <v>477.19997390765138</v>
      </c>
      <c r="C9" s="2430">
        <f t="shared" ref="C9" si="50">C10*(1+O9)</f>
        <v>351.84874729536665</v>
      </c>
      <c r="D9" s="2430">
        <f t="shared" ref="D9" si="51">C9</f>
        <v>351.84874729536665</v>
      </c>
      <c r="E9" s="2430">
        <f t="shared" ref="E9" si="52">E10*(1+P9)</f>
        <v>682.29768951465201</v>
      </c>
      <c r="F9" s="2430">
        <f t="shared" ref="F9" si="53">F10*(1+Q9)</f>
        <v>315.26985675409043</v>
      </c>
      <c r="G9" s="2420">
        <v>2019</v>
      </c>
      <c r="H9" s="2431">
        <v>3</v>
      </c>
      <c r="I9" s="2431">
        <v>0.61</v>
      </c>
      <c r="J9" s="2431">
        <v>0.67</v>
      </c>
      <c r="K9" s="2431">
        <v>0.6</v>
      </c>
      <c r="L9" s="2437">
        <v>1.03</v>
      </c>
      <c r="M9" s="2416"/>
      <c r="N9" s="2432">
        <f t="shared" si="43"/>
        <v>6.0999999999999995E-3</v>
      </c>
      <c r="O9" s="2417">
        <f t="shared" ref="O9" si="54">J9/100</f>
        <v>6.7000000000000002E-3</v>
      </c>
      <c r="P9" s="2417">
        <f t="shared" ref="P9" si="55">K9/100</f>
        <v>6.0000000000000001E-3</v>
      </c>
      <c r="Q9" s="2417">
        <f t="shared" ref="Q9" si="56">L9/100</f>
        <v>1.03E-2</v>
      </c>
      <c r="R9" s="2433"/>
      <c r="S9" s="2432"/>
      <c r="T9" s="2417"/>
      <c r="U9" s="2417"/>
      <c r="V9" s="2417"/>
      <c r="W9" s="2434"/>
      <c r="X9" s="2434">
        <f>ROUND(IF(项目基本情况!B8="出让",SUMPRODUCT(PRODUCT(1+N9:N$31)),SUMPRODUCT(PRODUCT(1+N9:N$30))),4)</f>
        <v>1.5516000000000001</v>
      </c>
      <c r="Y9" s="2434">
        <f>ROUND(IF(项目基本情况!B8="出让",SUMPRODUCT(PRODUCT(1+O9:O$31)),SUMPRODUCT(PRODUCT(1+O9:O$30))),4)</f>
        <v>1.3649</v>
      </c>
      <c r="Z9" s="2434">
        <f t="shared" ref="Z9" si="57">Y9</f>
        <v>1.3649</v>
      </c>
      <c r="AA9" s="2434">
        <f>ROUND(IF(项目基本情况!B8="出让",SUMPRODUCT(PRODUCT(1+P9:P$31)),SUMPRODUCT(PRODUCT(1+P9:P$30))),4)</f>
        <v>1.6133999999999999</v>
      </c>
      <c r="AB9" s="2434">
        <f>ROUND(IF(项目基本情况!B8="出让",SUMPRODUCT(PRODUCT(1+Q9:Q$31)),SUMPRODUCT(PRODUCT(1+Q9:Q$30))),4)</f>
        <v>1.3713</v>
      </c>
      <c r="AC9" s="2434"/>
      <c r="AD9" s="2435">
        <f>ROUND(AVERAGE(I9:I$31)/100,4)</f>
        <v>2.07E-2</v>
      </c>
      <c r="AE9" s="2435">
        <f>ROUND(AVERAGE(J9:J$31)/100,4)</f>
        <v>1.47E-2</v>
      </c>
      <c r="AF9" s="2435">
        <f t="shared" ref="AF9" si="58">AE9</f>
        <v>1.47E-2</v>
      </c>
      <c r="AG9" s="2435">
        <f>ROUND(AVERAGE(K9:K$31)/100,4)</f>
        <v>2.2599999999999999E-2</v>
      </c>
      <c r="AH9" s="2435">
        <f>ROUND(AVERAGE(L9:L$31)/100,4)</f>
        <v>1.44E-2</v>
      </c>
    </row>
    <row r="10" spans="1:34" s="2436" customFormat="1">
      <c r="A10" s="2429" t="s">
        <v>2875</v>
      </c>
      <c r="B10" s="2430">
        <f t="shared" ref="B10" si="59">B11*(1+N10)</f>
        <v>474.30670301923408</v>
      </c>
      <c r="C10" s="2430">
        <f t="shared" ref="C10" si="60">C11*(1+O10)</f>
        <v>349.50705005996491</v>
      </c>
      <c r="D10" s="2430">
        <f t="shared" ref="D10" si="61">C10</f>
        <v>349.50705005996491</v>
      </c>
      <c r="E10" s="2430">
        <f t="shared" ref="E10" si="62">E11*(1+P10)</f>
        <v>678.22831959706957</v>
      </c>
      <c r="F10" s="2430">
        <f t="shared" ref="F10" si="63">F11*(1+Q10)</f>
        <v>312.0556832169558</v>
      </c>
      <c r="G10" s="2420">
        <v>2019</v>
      </c>
      <c r="H10" s="2438">
        <v>2</v>
      </c>
      <c r="I10" s="2438">
        <v>1.53</v>
      </c>
      <c r="J10" s="2438">
        <v>1.01</v>
      </c>
      <c r="K10" s="2438">
        <v>1.62</v>
      </c>
      <c r="L10" s="2439">
        <v>1.25</v>
      </c>
      <c r="M10" s="2416"/>
      <c r="N10" s="2432">
        <f t="shared" si="43"/>
        <v>1.5300000000000001E-2</v>
      </c>
      <c r="O10" s="2417">
        <f t="shared" ref="O10" si="64">J10/100</f>
        <v>1.01E-2</v>
      </c>
      <c r="P10" s="2417">
        <f t="shared" ref="P10" si="65">K10/100</f>
        <v>1.6200000000000003E-2</v>
      </c>
      <c r="Q10" s="2417">
        <f t="shared" ref="Q10" si="66">L10/100</f>
        <v>1.2500000000000001E-2</v>
      </c>
      <c r="R10" s="2433"/>
      <c r="S10" s="2432"/>
      <c r="T10" s="2417"/>
      <c r="U10" s="2417"/>
      <c r="V10" s="2417"/>
      <c r="W10" s="2434"/>
      <c r="X10" s="2434">
        <f>ROUND(IF(项目基本情况!B8="出让",SUMPRODUCT(PRODUCT(1+N10:N$31)),SUMPRODUCT(PRODUCT(1+N10:N$30))),4)</f>
        <v>1.5422</v>
      </c>
      <c r="Y10" s="2434">
        <f>ROUND(IF(项目基本情况!B8="出让",SUMPRODUCT(PRODUCT(1+O10:O$31)),SUMPRODUCT(PRODUCT(1+O10:O$30))),4)</f>
        <v>1.3557999999999999</v>
      </c>
      <c r="Z10" s="2434">
        <f t="shared" ref="Z10" si="67">Y10</f>
        <v>1.3557999999999999</v>
      </c>
      <c r="AA10" s="2434">
        <f>ROUND(IF(项目基本情况!B8="出让",SUMPRODUCT(PRODUCT(1+P10:P$31)),SUMPRODUCT(PRODUCT(1+P10:P$30))),4)</f>
        <v>1.6036999999999999</v>
      </c>
      <c r="AB10" s="2434">
        <f>ROUND(IF(项目基本情况!B8="出让",SUMPRODUCT(PRODUCT(1+Q10:Q$31)),SUMPRODUCT(PRODUCT(1+Q10:Q$30))),4)</f>
        <v>1.3573</v>
      </c>
      <c r="AC10" s="2434"/>
      <c r="AD10" s="2435">
        <f>ROUND(AVERAGE(I10:I$31)/100,4)</f>
        <v>2.1299999999999999E-2</v>
      </c>
      <c r="AE10" s="2435">
        <f>ROUND(AVERAGE(J10:J$31)/100,4)</f>
        <v>1.4999999999999999E-2</v>
      </c>
      <c r="AF10" s="2435">
        <f t="shared" ref="AF10" si="68">AE10</f>
        <v>1.4999999999999999E-2</v>
      </c>
      <c r="AG10" s="2435">
        <f>ROUND(AVERAGE(K10:K$31)/100,4)</f>
        <v>2.3300000000000001E-2</v>
      </c>
      <c r="AH10" s="2435">
        <f>ROUND(AVERAGE(L10:L$31)/100,4)</f>
        <v>1.46E-2</v>
      </c>
    </row>
    <row r="11" spans="1:34" s="2436" customFormat="1" ht="13.8" thickBot="1">
      <c r="A11" s="2429" t="s">
        <v>2873</v>
      </c>
      <c r="B11" s="2430">
        <f t="shared" ref="B11" si="69">B12*(1+N11)</f>
        <v>467.15916775261894</v>
      </c>
      <c r="C11" s="2430">
        <f t="shared" ref="C11" si="70">C12*(1+O11)</f>
        <v>346.01232557169084</v>
      </c>
      <c r="D11" s="2430">
        <f t="shared" ref="D11" si="71">C11</f>
        <v>346.01232557169084</v>
      </c>
      <c r="E11" s="2430">
        <f t="shared" ref="E11" si="72">E12*(1+P11)</f>
        <v>667.41617752122568</v>
      </c>
      <c r="F11" s="2430">
        <f t="shared" ref="F11" si="73">F12*(1+Q11)</f>
        <v>308.20314391798104</v>
      </c>
      <c r="G11" s="2420">
        <v>2019</v>
      </c>
      <c r="H11" s="2431">
        <v>1</v>
      </c>
      <c r="I11" s="2431">
        <v>0.6</v>
      </c>
      <c r="J11" s="2431">
        <v>0.37</v>
      </c>
      <c r="K11" s="2431">
        <v>0.63</v>
      </c>
      <c r="L11" s="2437">
        <v>1.1299999999999999</v>
      </c>
      <c r="M11" s="2416"/>
      <c r="N11" s="2432">
        <f t="shared" si="43"/>
        <v>6.0000000000000001E-3</v>
      </c>
      <c r="O11" s="2417">
        <f t="shared" ref="O11" si="74">J11/100</f>
        <v>3.7000000000000002E-3</v>
      </c>
      <c r="P11" s="2417">
        <f t="shared" ref="P11" si="75">K11/100</f>
        <v>6.3E-3</v>
      </c>
      <c r="Q11" s="2417">
        <f t="shared" ref="Q11" si="76">L11/100</f>
        <v>1.1299999999999999E-2</v>
      </c>
      <c r="R11" s="2433"/>
      <c r="S11" s="2432">
        <f>B11/B12-1</f>
        <v>6.0000000000000053E-3</v>
      </c>
      <c r="T11" s="2417">
        <f t="shared" ref="T11" si="77">C11/C12-1</f>
        <v>3.7000000000000366E-3</v>
      </c>
      <c r="U11" s="2417">
        <f t="shared" ref="U11" si="78">D11/D12-1</f>
        <v>3.7000000000000366E-3</v>
      </c>
      <c r="V11" s="2417">
        <f t="shared" ref="V11" si="79">E11/E12-1</f>
        <v>6.2999999999999723E-3</v>
      </c>
      <c r="W11" s="2434"/>
      <c r="X11" s="2434">
        <f>ROUND(IF(项目基本情况!B8="出让",SUMPRODUCT(PRODUCT(1+N11:N$31)),SUMPRODUCT(PRODUCT(1+N11:N$30))),4)</f>
        <v>1.5189999999999999</v>
      </c>
      <c r="Y11" s="2434">
        <f>ROUND(IF(项目基本情况!B8="出让",SUMPRODUCT(PRODUCT(1+O11:O$31)),SUMPRODUCT(PRODUCT(1+O11:O$30))),4)</f>
        <v>1.3423</v>
      </c>
      <c r="Z11" s="2434">
        <f t="shared" ref="Z11" si="80">Y11</f>
        <v>1.3423</v>
      </c>
      <c r="AA11" s="2434">
        <f>ROUND(IF(项目基本情况!B8="出让",SUMPRODUCT(PRODUCT(1+P11:P$31)),SUMPRODUCT(PRODUCT(1+P11:P$30))),4)</f>
        <v>1.5782</v>
      </c>
      <c r="AB11" s="2434">
        <f>ROUND(IF(项目基本情况!B8="出让",SUMPRODUCT(PRODUCT(1+Q11:Q$31)),SUMPRODUCT(PRODUCT(1+Q11:Q$30))),4)</f>
        <v>1.3405</v>
      </c>
      <c r="AC11" s="2434"/>
      <c r="AD11" s="2435">
        <f>ROUND(AVERAGE(I11:I$31)/100,4)</f>
        <v>2.1600000000000001E-2</v>
      </c>
      <c r="AE11" s="2435">
        <f>ROUND(AVERAGE(J11:J$31)/100,4)</f>
        <v>1.5299999999999999E-2</v>
      </c>
      <c r="AF11" s="2435">
        <f t="shared" ref="AF11" si="81">AE11</f>
        <v>1.5299999999999999E-2</v>
      </c>
      <c r="AG11" s="2435">
        <f>ROUND(AVERAGE(K11:K$31)/100,4)</f>
        <v>2.3699999999999999E-2</v>
      </c>
      <c r="AH11" s="2435">
        <f>ROUND(AVERAGE(L11:L$31)/100,4)</f>
        <v>1.47E-2</v>
      </c>
    </row>
    <row r="12" spans="1:34" s="2436" customFormat="1">
      <c r="A12" s="2429" t="s">
        <v>2876</v>
      </c>
      <c r="B12" s="2440">
        <f t="shared" ref="B12" si="82">B13*(1+N12)</f>
        <v>464.37293017158942</v>
      </c>
      <c r="C12" s="2440">
        <f t="shared" ref="C12" si="83">C13*(1+O12)</f>
        <v>344.73679941385956</v>
      </c>
      <c r="D12" s="2440">
        <f t="shared" ref="D12" si="84">C12</f>
        <v>344.73679941385956</v>
      </c>
      <c r="E12" s="2440">
        <f t="shared" ref="E12" si="85">E13*(1+P12)</f>
        <v>663.2377795103107</v>
      </c>
      <c r="F12" s="2441">
        <f t="shared" ref="F12" si="86">F13*(1+Q12)</f>
        <v>304.75936311478398</v>
      </c>
      <c r="G12" s="3433">
        <v>2018</v>
      </c>
      <c r="H12" s="2438">
        <v>4</v>
      </c>
      <c r="I12" s="2438">
        <v>0.96</v>
      </c>
      <c r="J12" s="2438">
        <v>1.03</v>
      </c>
      <c r="K12" s="2438">
        <v>0.92</v>
      </c>
      <c r="L12" s="2439">
        <v>1.29</v>
      </c>
      <c r="M12" s="2416"/>
      <c r="N12" s="2432">
        <f t="shared" si="43"/>
        <v>9.5999999999999992E-3</v>
      </c>
      <c r="O12" s="2417">
        <f t="shared" ref="O12" si="87">J12/100</f>
        <v>1.03E-2</v>
      </c>
      <c r="P12" s="2417">
        <f t="shared" ref="P12" si="88">K12/100</f>
        <v>9.1999999999999998E-3</v>
      </c>
      <c r="Q12" s="2417">
        <f t="shared" ref="Q12" si="89">L12/100</f>
        <v>1.29E-2</v>
      </c>
      <c r="R12" s="2433"/>
      <c r="S12" s="2432"/>
      <c r="T12" s="2417"/>
      <c r="U12" s="2417"/>
      <c r="V12" s="2417"/>
      <c r="W12" s="2434"/>
      <c r="X12" s="2434">
        <f>ROUND(SUMPRODUCT(PRODUCT(1+N12:N$30)),4)</f>
        <v>1.5099</v>
      </c>
      <c r="Y12" s="2434">
        <f>ROUND(SUMPRODUCT(PRODUCT(1+O12:O$30)),4)</f>
        <v>1.3372999999999999</v>
      </c>
      <c r="Z12" s="2434">
        <f t="shared" ref="Z12" si="90">Y12</f>
        <v>1.3372999999999999</v>
      </c>
      <c r="AA12" s="2434">
        <f>ROUND(SUMPRODUCT(PRODUCT(1+P12:P$30)),4)</f>
        <v>1.5683</v>
      </c>
      <c r="AB12" s="2434">
        <f>ROUND(SUMPRODUCT(PRODUCT(1+Q12:Q$30)),4)</f>
        <v>1.3255999999999999</v>
      </c>
      <c r="AC12" s="2434"/>
      <c r="AD12" s="2435">
        <f>ROUND(AVERAGE(I12:I$31)/100,4)</f>
        <v>2.24E-2</v>
      </c>
      <c r="AE12" s="2435">
        <f>ROUND(AVERAGE(J12:J$31)/100,4)</f>
        <v>1.5800000000000002E-2</v>
      </c>
      <c r="AF12" s="2435">
        <f t="shared" ref="AF12" si="91">AE12</f>
        <v>1.5800000000000002E-2</v>
      </c>
      <c r="AG12" s="2435">
        <f>ROUND(AVERAGE(K12:K$31)/100,4)</f>
        <v>2.4500000000000001E-2</v>
      </c>
      <c r="AH12" s="2435">
        <f>ROUND(AVERAGE(L12:L$31)/100,4)</f>
        <v>1.49E-2</v>
      </c>
    </row>
    <row r="13" spans="1:34" s="2436" customFormat="1" ht="14.4" customHeight="1">
      <c r="A13" s="2429" t="s">
        <v>2871</v>
      </c>
      <c r="B13" s="2430">
        <f t="shared" ref="B13" si="92">B14*(1+N13)</f>
        <v>459.95733971036987</v>
      </c>
      <c r="C13" s="2430">
        <f t="shared" ref="C13" si="93">C14*(1+O13)</f>
        <v>341.22221064422405</v>
      </c>
      <c r="D13" s="2430">
        <f t="shared" ref="D13" si="94">C13</f>
        <v>341.22221064422405</v>
      </c>
      <c r="E13" s="2430">
        <f t="shared" ref="E13" si="95">E14*(1+P13)</f>
        <v>657.19161663724799</v>
      </c>
      <c r="F13" s="2430">
        <f t="shared" ref="F13" si="96">F14*(1+Q13)</f>
        <v>300.87803644464805</v>
      </c>
      <c r="G13" s="3433"/>
      <c r="H13" s="2431">
        <v>3</v>
      </c>
      <c r="I13" s="2431">
        <v>1.51</v>
      </c>
      <c r="J13" s="2431">
        <v>1.41</v>
      </c>
      <c r="K13" s="2431">
        <v>1.52</v>
      </c>
      <c r="L13" s="2437">
        <v>1.74</v>
      </c>
      <c r="M13" s="2416"/>
      <c r="N13" s="2432">
        <f t="shared" si="43"/>
        <v>1.5100000000000001E-2</v>
      </c>
      <c r="O13" s="2417">
        <f t="shared" ref="O13" si="97">J13/100</f>
        <v>1.41E-2</v>
      </c>
      <c r="P13" s="2417">
        <f t="shared" ref="P13" si="98">K13/100</f>
        <v>1.52E-2</v>
      </c>
      <c r="Q13" s="2417">
        <f t="shared" ref="Q13" si="99">L13/100</f>
        <v>1.7399999999999999E-2</v>
      </c>
      <c r="R13" s="2433"/>
      <c r="S13" s="2432"/>
      <c r="T13" s="2417"/>
      <c r="U13" s="2417"/>
      <c r="V13" s="2417"/>
      <c r="W13" s="2434"/>
      <c r="X13" s="2434">
        <f>ROUND(SUMPRODUCT(PRODUCT(1+N13:N$30)),4)</f>
        <v>1.4956</v>
      </c>
      <c r="Y13" s="2434">
        <f>ROUND(SUMPRODUCT(PRODUCT(1+O13:O$30)),4)</f>
        <v>1.3237000000000001</v>
      </c>
      <c r="Z13" s="2434">
        <f t="shared" ref="Z13" si="100">Y13</f>
        <v>1.3237000000000001</v>
      </c>
      <c r="AA13" s="2434">
        <f>ROUND(SUMPRODUCT(PRODUCT(1+P13:P$30)),4)</f>
        <v>1.554</v>
      </c>
      <c r="AB13" s="2434">
        <f>ROUND(SUMPRODUCT(PRODUCT(1+Q13:Q$30)),4)</f>
        <v>1.3087</v>
      </c>
      <c r="AC13" s="2434"/>
      <c r="AD13" s="2435">
        <f>ROUND(AVERAGE(I13:I$31)/100,4)</f>
        <v>2.3099999999999999E-2</v>
      </c>
      <c r="AE13" s="2435">
        <f>ROUND(AVERAGE(J13:J$31)/100,4)</f>
        <v>1.61E-2</v>
      </c>
      <c r="AF13" s="2435">
        <f t="shared" ref="AF13" si="101">AE13</f>
        <v>1.61E-2</v>
      </c>
      <c r="AG13" s="2435">
        <f>ROUND(AVERAGE(K13:K$31)/100,4)</f>
        <v>2.53E-2</v>
      </c>
      <c r="AH13" s="2435">
        <f>ROUND(AVERAGE(L13:L$31)/100,4)</f>
        <v>1.4999999999999999E-2</v>
      </c>
    </row>
    <row r="14" spans="1:34" s="2436" customFormat="1" ht="14.4" customHeight="1">
      <c r="A14" s="2429" t="s">
        <v>2870</v>
      </c>
      <c r="B14" s="2430">
        <f t="shared" ref="B14" si="102">B15*(1+N14)</f>
        <v>453.11529869999993</v>
      </c>
      <c r="C14" s="2430">
        <f t="shared" ref="C14" si="103">C15*(1+O14)</f>
        <v>336.47787264000004</v>
      </c>
      <c r="D14" s="2430">
        <f t="shared" ref="D14" si="104">C14</f>
        <v>336.47787264000004</v>
      </c>
      <c r="E14" s="2430">
        <f t="shared" ref="E14" si="105">E15*(1+P14)</f>
        <v>647.35186823999993</v>
      </c>
      <c r="F14" s="2430">
        <f t="shared" ref="F14" si="106">F15*(1+Q14)</f>
        <v>295.73229452000004</v>
      </c>
      <c r="G14" s="3433"/>
      <c r="H14" s="2442">
        <v>2</v>
      </c>
      <c r="I14" s="2442">
        <v>1.49</v>
      </c>
      <c r="J14" s="2442">
        <v>0.96</v>
      </c>
      <c r="K14" s="2442">
        <v>1.58</v>
      </c>
      <c r="L14" s="2443">
        <v>2.44</v>
      </c>
      <c r="M14" s="2416"/>
      <c r="N14" s="2432">
        <f t="shared" ref="N14" si="107">I14/100</f>
        <v>1.49E-2</v>
      </c>
      <c r="O14" s="2417">
        <f t="shared" ref="O14" si="108">J14/100</f>
        <v>9.5999999999999992E-3</v>
      </c>
      <c r="P14" s="2417">
        <f t="shared" ref="P14" si="109">K14/100</f>
        <v>1.5800000000000002E-2</v>
      </c>
      <c r="Q14" s="2417">
        <f t="shared" ref="Q14" si="110">L14/100</f>
        <v>2.4399999999999998E-2</v>
      </c>
      <c r="R14" s="2433"/>
      <c r="S14" s="2432"/>
      <c r="T14" s="2417"/>
      <c r="U14" s="2417"/>
      <c r="V14" s="2417"/>
      <c r="W14" s="2434"/>
      <c r="X14" s="2434">
        <f>ROUND(SUMPRODUCT(PRODUCT(1+N14:N$30)),4)</f>
        <v>1.4733000000000001</v>
      </c>
      <c r="Y14" s="2434">
        <f>ROUND(SUMPRODUCT(PRODUCT(1+O14:O$30)),4)</f>
        <v>1.3052999999999999</v>
      </c>
      <c r="Z14" s="2434">
        <f t="shared" ref="Z14" si="111">Y14</f>
        <v>1.3052999999999999</v>
      </c>
      <c r="AA14" s="2434">
        <f>ROUND(SUMPRODUCT(PRODUCT(1+P14:P$30)),4)</f>
        <v>1.5306999999999999</v>
      </c>
      <c r="AB14" s="2434">
        <f>ROUND(SUMPRODUCT(PRODUCT(1+Q14:Q$30)),4)</f>
        <v>1.2863</v>
      </c>
      <c r="AC14" s="2434"/>
      <c r="AD14" s="2435">
        <f>ROUND(AVERAGE(I14:I$31)/100,4)</f>
        <v>2.35E-2</v>
      </c>
      <c r="AE14" s="2435">
        <f>ROUND(AVERAGE(J14:J$31)/100,4)</f>
        <v>1.6199999999999999E-2</v>
      </c>
      <c r="AF14" s="2435">
        <f t="shared" ref="AF14" si="112">AE14</f>
        <v>1.6199999999999999E-2</v>
      </c>
      <c r="AG14" s="2435">
        <f>ROUND(AVERAGE(K14:K$31)/100,4)</f>
        <v>2.5899999999999999E-2</v>
      </c>
      <c r="AH14" s="2435">
        <f>ROUND(AVERAGE(L14:L$31)/100,4)</f>
        <v>1.49E-2</v>
      </c>
    </row>
    <row r="15" spans="1:34" s="2436" customFormat="1" ht="15" customHeight="1" thickBot="1">
      <c r="A15" s="2429" t="s">
        <v>2863</v>
      </c>
      <c r="B15" s="2430">
        <f t="shared" ref="B15" si="113">B16*(1+N15)</f>
        <v>446.46299999999997</v>
      </c>
      <c r="C15" s="2430">
        <f t="shared" ref="C15" si="114">C16*(1+O15)</f>
        <v>333.27840000000003</v>
      </c>
      <c r="D15" s="2430">
        <f t="shared" ref="D15" si="115">C15</f>
        <v>333.27840000000003</v>
      </c>
      <c r="E15" s="2430">
        <f t="shared" ref="E15" si="116">E16*(1+P15)</f>
        <v>637.28279999999995</v>
      </c>
      <c r="F15" s="2430">
        <f t="shared" ref="F15" si="117">F16*(1+Q15)</f>
        <v>288.68830000000003</v>
      </c>
      <c r="G15" s="3440"/>
      <c r="H15" s="2431">
        <v>1</v>
      </c>
      <c r="I15" s="2431">
        <v>1.7</v>
      </c>
      <c r="J15" s="2431">
        <v>1.92</v>
      </c>
      <c r="K15" s="2431">
        <v>1.64</v>
      </c>
      <c r="L15" s="2437">
        <v>2.0099999999999998</v>
      </c>
      <c r="M15" s="2416"/>
      <c r="N15" s="2432">
        <f t="shared" ref="N15:N20" si="118">I15/100</f>
        <v>1.7000000000000001E-2</v>
      </c>
      <c r="O15" s="2417">
        <f t="shared" ref="O15" si="119">J15/100</f>
        <v>1.9199999999999998E-2</v>
      </c>
      <c r="P15" s="2417">
        <f t="shared" ref="P15" si="120">K15/100</f>
        <v>1.6399999999999998E-2</v>
      </c>
      <c r="Q15" s="2417">
        <f t="shared" ref="Q15" si="121">L15/100</f>
        <v>2.0099999999999996E-2</v>
      </c>
      <c r="R15" s="2433"/>
      <c r="S15" s="2432">
        <f>B15/B16-1</f>
        <v>1.6999999999999904E-2</v>
      </c>
      <c r="T15" s="2417">
        <f t="shared" ref="T15" si="122">C15/C16-1</f>
        <v>1.9200000000000106E-2</v>
      </c>
      <c r="U15" s="2417">
        <f t="shared" ref="U15" si="123">D15/D16-1</f>
        <v>1.9200000000000106E-2</v>
      </c>
      <c r="V15" s="2417">
        <f t="shared" ref="V15" si="124">E15/E16-1</f>
        <v>1.639999999999997E-2</v>
      </c>
      <c r="W15" s="2434"/>
      <c r="X15" s="2434">
        <f>ROUND(SUMPRODUCT(PRODUCT(1+N15:N$30)),4)</f>
        <v>1.4517</v>
      </c>
      <c r="Y15" s="2434">
        <f>ROUND(SUMPRODUCT(PRODUCT(1+O15:O$30)),4)</f>
        <v>1.2928999999999999</v>
      </c>
      <c r="Z15" s="2434">
        <f t="shared" ref="Z15" si="125">Y15</f>
        <v>1.2928999999999999</v>
      </c>
      <c r="AA15" s="2434">
        <f>ROUND(SUMPRODUCT(PRODUCT(1+P15:P$30)),4)</f>
        <v>1.5068999999999999</v>
      </c>
      <c r="AB15" s="2434">
        <f>ROUND(SUMPRODUCT(PRODUCT(1+Q15:Q$30)),4)</f>
        <v>1.2557</v>
      </c>
      <c r="AC15" s="2434"/>
      <c r="AD15" s="2435">
        <f>ROUND(AVERAGE(I15:I$31)/100,4)</f>
        <v>2.4E-2</v>
      </c>
      <c r="AE15" s="2435">
        <f>ROUND(AVERAGE(J15:J$31)/100,4)</f>
        <v>1.66E-2</v>
      </c>
      <c r="AF15" s="2435">
        <f t="shared" ref="AF15" si="126">AE15</f>
        <v>1.66E-2</v>
      </c>
      <c r="AG15" s="2435">
        <f>ROUND(AVERAGE(K15:K$31)/100,4)</f>
        <v>2.6499999999999999E-2</v>
      </c>
      <c r="AH15" s="2435">
        <f>ROUND(AVERAGE(L15:L$31)/100,4)</f>
        <v>1.43E-2</v>
      </c>
    </row>
    <row r="16" spans="1:34">
      <c r="A16" s="2429" t="s">
        <v>2861</v>
      </c>
      <c r="B16" s="2444">
        <v>439</v>
      </c>
      <c r="C16" s="2444">
        <v>327</v>
      </c>
      <c r="D16" s="2444">
        <f>C16</f>
        <v>327</v>
      </c>
      <c r="E16" s="2444">
        <v>627</v>
      </c>
      <c r="F16" s="2445">
        <v>283</v>
      </c>
      <c r="G16" s="3436">
        <v>2017</v>
      </c>
      <c r="H16" s="2438">
        <v>4</v>
      </c>
      <c r="I16" s="2438">
        <v>1.71</v>
      </c>
      <c r="J16" s="2438">
        <v>1.78</v>
      </c>
      <c r="K16" s="2438">
        <v>1.71</v>
      </c>
      <c r="L16" s="2439">
        <v>1.43</v>
      </c>
      <c r="N16" s="2432">
        <f t="shared" si="118"/>
        <v>1.7100000000000001E-2</v>
      </c>
      <c r="O16" s="2417">
        <f t="shared" ref="O16" si="127">J16/100</f>
        <v>1.78E-2</v>
      </c>
      <c r="P16" s="2417">
        <f t="shared" ref="P16" si="128">K16/100</f>
        <v>1.7100000000000001E-2</v>
      </c>
      <c r="Q16" s="2417">
        <f t="shared" ref="Q16" si="129">L16/100</f>
        <v>1.43E-2</v>
      </c>
      <c r="R16" s="2433"/>
      <c r="S16" s="2446"/>
      <c r="T16" s="2447"/>
      <c r="U16" s="2447"/>
      <c r="V16" s="2447"/>
      <c r="X16" s="2416">
        <f>ROUND(SUMPRODUCT(PRODUCT(1+N16:N$30)),4)</f>
        <v>1.4274</v>
      </c>
      <c r="Y16" s="2416">
        <f>ROUND(SUMPRODUCT(PRODUCT(1+O16:O$30)),4)</f>
        <v>1.2685</v>
      </c>
      <c r="Z16" s="2416">
        <f t="shared" si="0"/>
        <v>1.2685</v>
      </c>
      <c r="AA16" s="2416">
        <f>ROUND(SUMPRODUCT(PRODUCT(1+P16:P$30)),4)</f>
        <v>1.4825999999999999</v>
      </c>
      <c r="AB16" s="2416">
        <f>ROUND(SUMPRODUCT(PRODUCT(1+Q16:Q$30)),4)</f>
        <v>1.2309000000000001</v>
      </c>
      <c r="AD16" s="2417">
        <f>ROUND(AVERAGE(I16:I$31)/100,4)</f>
        <v>2.4500000000000001E-2</v>
      </c>
      <c r="AE16" s="2417">
        <f>ROUND(AVERAGE(J16:J$31)/100,4)</f>
        <v>1.6500000000000001E-2</v>
      </c>
      <c r="AF16" s="2417">
        <f t="shared" si="1"/>
        <v>1.6500000000000001E-2</v>
      </c>
      <c r="AG16" s="2417">
        <f>ROUND(AVERAGE(K16:K$31)/100,4)</f>
        <v>2.7099999999999999E-2</v>
      </c>
      <c r="AH16" s="2417">
        <f>ROUND(AVERAGE(L16:L$31)/100,4)</f>
        <v>1.3899999999999999E-2</v>
      </c>
    </row>
    <row r="17" spans="1:34" s="2436" customFormat="1" ht="14.4" customHeight="1">
      <c r="A17" s="2429" t="s">
        <v>2862</v>
      </c>
      <c r="B17" s="2430">
        <f t="shared" ref="B17:B18" si="130">B18*(1+N17)</f>
        <v>431.80730811680002</v>
      </c>
      <c r="C17" s="2430">
        <f t="shared" ref="C17:C18" si="131">C18*(1+O17)</f>
        <v>320.57880516480003</v>
      </c>
      <c r="D17" s="2430">
        <f t="shared" ref="D17:D18" si="132">C17</f>
        <v>320.57880516480003</v>
      </c>
      <c r="E17" s="2430">
        <f t="shared" ref="E17:E18" si="133">E18*(1+P17)</f>
        <v>615.96110553196797</v>
      </c>
      <c r="F17" s="2430">
        <f t="shared" ref="F17:F18" si="134">F18*(1+Q17)</f>
        <v>279.46777300108801</v>
      </c>
      <c r="G17" s="3433"/>
      <c r="H17" s="2431">
        <v>3</v>
      </c>
      <c r="I17" s="2431">
        <v>2.98</v>
      </c>
      <c r="J17" s="2431">
        <v>2.11</v>
      </c>
      <c r="K17" s="2431">
        <v>3.24</v>
      </c>
      <c r="L17" s="2437">
        <v>1.72</v>
      </c>
      <c r="M17" s="2416"/>
      <c r="N17" s="2432">
        <f t="shared" si="118"/>
        <v>2.98E-2</v>
      </c>
      <c r="O17" s="2417">
        <f t="shared" ref="O17" si="135">J17/100</f>
        <v>2.1099999999999997E-2</v>
      </c>
      <c r="P17" s="2417">
        <f t="shared" ref="P17" si="136">K17/100</f>
        <v>3.2400000000000005E-2</v>
      </c>
      <c r="Q17" s="2417">
        <f t="shared" ref="Q17" si="137">L17/100</f>
        <v>1.72E-2</v>
      </c>
      <c r="R17" s="2433"/>
      <c r="S17" s="2432"/>
      <c r="T17" s="2417"/>
      <c r="U17" s="2417"/>
      <c r="V17" s="2417"/>
      <c r="W17" s="2434"/>
      <c r="X17" s="2434">
        <f>ROUND(SUMPRODUCT(PRODUCT(1+N17:N$30)),4)</f>
        <v>1.4034</v>
      </c>
      <c r="Y17" s="2434">
        <f>ROUND(SUMPRODUCT(PRODUCT(1+O17:O$30)),4)</f>
        <v>1.2463</v>
      </c>
      <c r="Z17" s="2434">
        <f t="shared" si="0"/>
        <v>1.2463</v>
      </c>
      <c r="AA17" s="2434">
        <f>ROUND(SUMPRODUCT(PRODUCT(1+P17:P$30)),4)</f>
        <v>1.4577</v>
      </c>
      <c r="AB17" s="2434">
        <f>ROUND(SUMPRODUCT(PRODUCT(1+Q17:Q$30)),4)</f>
        <v>1.2136</v>
      </c>
      <c r="AC17" s="2434"/>
      <c r="AD17" s="2435">
        <f>ROUND(AVERAGE(I17:I$31)/100,4)</f>
        <v>2.4899999999999999E-2</v>
      </c>
      <c r="AE17" s="2435">
        <f>ROUND(AVERAGE(J17:J$31)/100,4)</f>
        <v>1.6400000000000001E-2</v>
      </c>
      <c r="AF17" s="2435">
        <f t="shared" si="1"/>
        <v>1.6400000000000001E-2</v>
      </c>
      <c r="AG17" s="2435">
        <f>ROUND(AVERAGE(K17:K$31)/100,4)</f>
        <v>2.7799999999999998E-2</v>
      </c>
      <c r="AH17" s="2435">
        <f>ROUND(AVERAGE(L17:L$31)/100,4)</f>
        <v>1.3899999999999999E-2</v>
      </c>
    </row>
    <row r="18" spans="1:34" s="2423" customFormat="1" ht="14.4" customHeight="1">
      <c r="A18" s="2429" t="s">
        <v>1351</v>
      </c>
      <c r="B18" s="2430">
        <f t="shared" si="130"/>
        <v>419.31181600000002</v>
      </c>
      <c r="C18" s="2430">
        <f t="shared" si="131"/>
        <v>313.95436800000004</v>
      </c>
      <c r="D18" s="2430">
        <f t="shared" si="132"/>
        <v>313.95436800000004</v>
      </c>
      <c r="E18" s="2430">
        <f t="shared" si="133"/>
        <v>596.63028431999999</v>
      </c>
      <c r="F18" s="2430">
        <f t="shared" si="134"/>
        <v>274.74220703999998</v>
      </c>
      <c r="G18" s="3433"/>
      <c r="H18" s="2442">
        <v>2</v>
      </c>
      <c r="I18" s="2442">
        <v>3.4</v>
      </c>
      <c r="J18" s="2442">
        <v>2</v>
      </c>
      <c r="K18" s="2442">
        <v>3.82</v>
      </c>
      <c r="L18" s="2443">
        <v>1.68</v>
      </c>
      <c r="M18" s="2416"/>
      <c r="N18" s="2432">
        <f t="shared" si="118"/>
        <v>3.4000000000000002E-2</v>
      </c>
      <c r="O18" s="2417">
        <f t="shared" ref="O18" si="138">J18/100</f>
        <v>0.02</v>
      </c>
      <c r="P18" s="2417">
        <f t="shared" ref="P18" si="139">K18/100</f>
        <v>3.8199999999999998E-2</v>
      </c>
      <c r="Q18" s="2417">
        <f t="shared" ref="Q18" si="140">L18/100</f>
        <v>1.6799999999999999E-2</v>
      </c>
      <c r="R18" s="2433"/>
      <c r="S18" s="2446"/>
      <c r="T18" s="2447"/>
      <c r="U18" s="2447"/>
      <c r="V18" s="2447"/>
      <c r="W18" s="2410"/>
      <c r="X18" s="2434">
        <f>ROUND(SUMPRODUCT(PRODUCT(1+N18:N$30)),4)</f>
        <v>1.3628</v>
      </c>
      <c r="Y18" s="2434">
        <f>ROUND(SUMPRODUCT(PRODUCT(1+O18:O$30)),4)</f>
        <v>1.2205999999999999</v>
      </c>
      <c r="Z18" s="2434">
        <f t="shared" si="0"/>
        <v>1.2205999999999999</v>
      </c>
      <c r="AA18" s="2434">
        <f>ROUND(SUMPRODUCT(PRODUCT(1+P18:P$30)),4)</f>
        <v>1.4118999999999999</v>
      </c>
      <c r="AB18" s="2434">
        <f>ROUND(SUMPRODUCT(PRODUCT(1+Q18:Q$30)),4)</f>
        <v>1.1930000000000001</v>
      </c>
      <c r="AC18" s="2410"/>
      <c r="AD18" s="2435">
        <f>ROUND(AVERAGE(I18:I$31)/100,4)</f>
        <v>2.46E-2</v>
      </c>
      <c r="AE18" s="2435">
        <f>ROUND(AVERAGE(J18:J$31)/100,4)</f>
        <v>1.6E-2</v>
      </c>
      <c r="AF18" s="2435">
        <f t="shared" si="1"/>
        <v>1.6E-2</v>
      </c>
      <c r="AG18" s="2435">
        <f>ROUND(AVERAGE(K18:K$31)/100,4)</f>
        <v>2.75E-2</v>
      </c>
      <c r="AH18" s="2435">
        <f>ROUND(AVERAGE(L18:L$31)/100,4)</f>
        <v>1.37E-2</v>
      </c>
    </row>
    <row r="19" spans="1:34" s="2436" customFormat="1" ht="15" customHeight="1" thickBot="1">
      <c r="A19" s="2429" t="s">
        <v>1128</v>
      </c>
      <c r="B19" s="2430">
        <f>B20*(1+N19)</f>
        <v>405.524</v>
      </c>
      <c r="C19" s="2430">
        <f>C20*(1+O19)</f>
        <v>307.79840000000002</v>
      </c>
      <c r="D19" s="2430">
        <f>C19</f>
        <v>307.79840000000002</v>
      </c>
      <c r="E19" s="2430">
        <f>E20*(1+P19)</f>
        <v>574.67759999999998</v>
      </c>
      <c r="F19" s="2430">
        <f>F20*(1+Q19)</f>
        <v>270.20280000000002</v>
      </c>
      <c r="G19" s="3440"/>
      <c r="H19" s="2431">
        <v>1</v>
      </c>
      <c r="I19" s="2431">
        <v>3.45</v>
      </c>
      <c r="J19" s="2431">
        <v>1.92</v>
      </c>
      <c r="K19" s="2431">
        <v>3.92</v>
      </c>
      <c r="L19" s="2437">
        <v>1.58</v>
      </c>
      <c r="M19" s="2416"/>
      <c r="N19" s="2432">
        <f t="shared" si="118"/>
        <v>3.4500000000000003E-2</v>
      </c>
      <c r="O19" s="2417">
        <f t="shared" ref="O19:Q34" si="141">J19/100</f>
        <v>1.9199999999999998E-2</v>
      </c>
      <c r="P19" s="2417">
        <f t="shared" si="141"/>
        <v>3.9199999999999999E-2</v>
      </c>
      <c r="Q19" s="2417">
        <f t="shared" si="141"/>
        <v>1.5800000000000002E-2</v>
      </c>
      <c r="R19" s="2433"/>
      <c r="S19" s="2432">
        <f>B19/B20-1</f>
        <v>3.4499999999999975E-2</v>
      </c>
      <c r="T19" s="2417">
        <f t="shared" ref="T19:V19" si="142">C19/C20-1</f>
        <v>1.9200000000000106E-2</v>
      </c>
      <c r="U19" s="2417">
        <f t="shared" si="142"/>
        <v>1.9200000000000106E-2</v>
      </c>
      <c r="V19" s="2417">
        <f t="shared" si="142"/>
        <v>3.9199999999999902E-2</v>
      </c>
      <c r="W19" s="2434"/>
      <c r="X19" s="2434">
        <f>ROUND(SUMPRODUCT(PRODUCT(1+N19:N$30)),4)</f>
        <v>1.3180000000000001</v>
      </c>
      <c r="Y19" s="2434">
        <f>ROUND(SUMPRODUCT(PRODUCT(1+O19:O$30)),4)</f>
        <v>1.1966000000000001</v>
      </c>
      <c r="Z19" s="2434">
        <f t="shared" si="0"/>
        <v>1.1966000000000001</v>
      </c>
      <c r="AA19" s="2434">
        <f>ROUND(SUMPRODUCT(PRODUCT(1+P19:P$30)),4)</f>
        <v>1.36</v>
      </c>
      <c r="AB19" s="2434">
        <f>ROUND(SUMPRODUCT(PRODUCT(1+Q19:Q$30)),4)</f>
        <v>1.1733</v>
      </c>
      <c r="AC19" s="2434"/>
      <c r="AD19" s="2435">
        <f>ROUND(AVERAGE(I19:I$31)/100,4)</f>
        <v>2.3900000000000001E-2</v>
      </c>
      <c r="AE19" s="2435">
        <f>ROUND(AVERAGE(J19:J$31)/100,4)</f>
        <v>1.5699999999999999E-2</v>
      </c>
      <c r="AF19" s="2435">
        <f t="shared" si="1"/>
        <v>1.5699999999999999E-2</v>
      </c>
      <c r="AG19" s="2435">
        <f>ROUND(AVERAGE(K19:K$31)/100,4)</f>
        <v>2.6599999999999999E-2</v>
      </c>
      <c r="AH19" s="2435">
        <f>ROUND(AVERAGE(L19:L$31)/100,4)</f>
        <v>1.34E-2</v>
      </c>
    </row>
    <row r="20" spans="1:34">
      <c r="A20" s="2429" t="s">
        <v>154</v>
      </c>
      <c r="B20" s="2444">
        <v>392</v>
      </c>
      <c r="C20" s="2444">
        <v>302</v>
      </c>
      <c r="D20" s="2444">
        <f>C20</f>
        <v>302</v>
      </c>
      <c r="E20" s="2444">
        <v>553</v>
      </c>
      <c r="F20" s="2445">
        <v>266</v>
      </c>
      <c r="G20" s="3436">
        <v>2016</v>
      </c>
      <c r="H20" s="2438">
        <v>4</v>
      </c>
      <c r="I20" s="2438">
        <v>4.5599999999999996</v>
      </c>
      <c r="J20" s="2438">
        <v>2.15</v>
      </c>
      <c r="K20" s="2438">
        <v>5.32</v>
      </c>
      <c r="L20" s="2439">
        <v>1.57</v>
      </c>
      <c r="N20" s="2432">
        <f t="shared" si="118"/>
        <v>4.5599999999999995E-2</v>
      </c>
      <c r="O20" s="2417">
        <f t="shared" si="141"/>
        <v>2.1499999999999998E-2</v>
      </c>
      <c r="P20" s="2417">
        <f t="shared" si="141"/>
        <v>5.3200000000000004E-2</v>
      </c>
      <c r="Q20" s="2417">
        <f t="shared" si="141"/>
        <v>1.5700000000000002E-2</v>
      </c>
      <c r="R20" s="2433"/>
      <c r="S20" s="2446"/>
      <c r="T20" s="2447"/>
      <c r="U20" s="2447"/>
      <c r="V20" s="2447"/>
      <c r="X20" s="2416">
        <f>ROUND(SUMPRODUCT(PRODUCT(1+N20:N$30)),4)</f>
        <v>1.274</v>
      </c>
      <c r="Y20" s="2416">
        <f>ROUND(SUMPRODUCT(PRODUCT(1+O20:O$30)),4)</f>
        <v>1.1740999999999999</v>
      </c>
      <c r="Z20" s="2416">
        <f t="shared" si="0"/>
        <v>1.1740999999999999</v>
      </c>
      <c r="AA20" s="2416">
        <f>ROUND(SUMPRODUCT(PRODUCT(1+P20:P$30)),4)</f>
        <v>1.3087</v>
      </c>
      <c r="AB20" s="2416">
        <f>ROUND(SUMPRODUCT(PRODUCT(1+Q20:Q$30)),4)</f>
        <v>1.1551</v>
      </c>
      <c r="AD20" s="2417">
        <f>ROUND(AVERAGE(I20:I$31)/100,4)</f>
        <v>2.3E-2</v>
      </c>
      <c r="AE20" s="2417">
        <f>ROUND(AVERAGE(J20:J$31)/100,4)</f>
        <v>1.55E-2</v>
      </c>
      <c r="AF20" s="2417">
        <f t="shared" si="1"/>
        <v>1.55E-2</v>
      </c>
      <c r="AG20" s="2417">
        <f>ROUND(AVERAGE(K20:K$31)/100,4)</f>
        <v>2.5600000000000001E-2</v>
      </c>
      <c r="AH20" s="2417">
        <f>ROUND(AVERAGE(L20:L$31)/100,4)</f>
        <v>1.32E-2</v>
      </c>
    </row>
    <row r="21" spans="1:34">
      <c r="A21" s="2429" t="s">
        <v>153</v>
      </c>
      <c r="B21" s="2430">
        <f t="shared" ref="B21:C23" si="143">B20/(1+N20)</f>
        <v>374.90436113236416</v>
      </c>
      <c r="C21" s="2430">
        <f t="shared" si="143"/>
        <v>295.64366128242779</v>
      </c>
      <c r="D21" s="2430">
        <f t="shared" ref="D21:D80" si="144">C21</f>
        <v>295.64366128242779</v>
      </c>
      <c r="E21" s="2430">
        <f t="shared" ref="E21:F23" si="145">E20/(1+P20)</f>
        <v>525.06646410938095</v>
      </c>
      <c r="F21" s="2430">
        <f t="shared" si="145"/>
        <v>261.88835286009646</v>
      </c>
      <c r="G21" s="3433"/>
      <c r="H21" s="2431">
        <v>3</v>
      </c>
      <c r="I21" s="2431">
        <v>4.12</v>
      </c>
      <c r="J21" s="2431">
        <v>2</v>
      </c>
      <c r="K21" s="2431">
        <v>4.79</v>
      </c>
      <c r="L21" s="2437">
        <v>1.97</v>
      </c>
      <c r="N21" s="2432">
        <f t="shared" ref="N21:Q55" si="146">I21/100</f>
        <v>4.1200000000000001E-2</v>
      </c>
      <c r="O21" s="2417">
        <f t="shared" si="141"/>
        <v>0.02</v>
      </c>
      <c r="P21" s="2417">
        <f t="shared" si="141"/>
        <v>4.7899999999999998E-2</v>
      </c>
      <c r="Q21" s="2417">
        <f t="shared" si="141"/>
        <v>1.9699999999999999E-2</v>
      </c>
      <c r="R21" s="2433"/>
      <c r="S21" s="2432"/>
      <c r="T21" s="2417"/>
      <c r="U21" s="2417"/>
      <c r="V21" s="2417"/>
      <c r="X21" s="2416">
        <f>ROUND(SUMPRODUCT(PRODUCT(1+N21:N$30)),4)</f>
        <v>1.2184999999999999</v>
      </c>
      <c r="Y21" s="2416">
        <f>ROUND(SUMPRODUCT(PRODUCT(1+O21:O$30)),4)</f>
        <v>1.1494</v>
      </c>
      <c r="Z21" s="2416">
        <f t="shared" si="0"/>
        <v>1.1494</v>
      </c>
      <c r="AA21" s="2416">
        <f>ROUND(SUMPRODUCT(PRODUCT(1+P21:P$30)),4)</f>
        <v>1.2425999999999999</v>
      </c>
      <c r="AB21" s="2416">
        <f>ROUND(SUMPRODUCT(PRODUCT(1+Q21:Q$30)),4)</f>
        <v>1.1372</v>
      </c>
      <c r="AD21" s="2417">
        <f>ROUND(AVERAGE(I21:I$31)/100,4)</f>
        <v>2.0899999999999998E-2</v>
      </c>
      <c r="AE21" s="2417">
        <f>ROUND(AVERAGE(J21:J$31)/100,4)</f>
        <v>1.49E-2</v>
      </c>
      <c r="AF21" s="2417">
        <f t="shared" si="1"/>
        <v>1.49E-2</v>
      </c>
      <c r="AG21" s="2417">
        <f>ROUND(AVERAGE(K21:K$31)/100,4)</f>
        <v>2.3099999999999999E-2</v>
      </c>
      <c r="AH21" s="2417">
        <f>ROUND(AVERAGE(L21:L$31)/100,4)</f>
        <v>1.2999999999999999E-2</v>
      </c>
    </row>
    <row r="22" spans="1:34">
      <c r="A22" s="2429" t="s">
        <v>143</v>
      </c>
      <c r="B22" s="2430">
        <f t="shared" si="143"/>
        <v>360.06949782209392</v>
      </c>
      <c r="C22" s="2430">
        <f t="shared" si="143"/>
        <v>289.84672674747821</v>
      </c>
      <c r="D22" s="2430">
        <f t="shared" si="144"/>
        <v>289.84672674747821</v>
      </c>
      <c r="E22" s="2430">
        <f t="shared" si="145"/>
        <v>501.06543001181495</v>
      </c>
      <c r="F22" s="2430">
        <f t="shared" si="145"/>
        <v>256.82882500744967</v>
      </c>
      <c r="G22" s="3433"/>
      <c r="H22" s="2442">
        <v>2</v>
      </c>
      <c r="I22" s="2442">
        <v>3.85</v>
      </c>
      <c r="J22" s="2442">
        <v>1.95</v>
      </c>
      <c r="K22" s="2442">
        <v>4.4800000000000004</v>
      </c>
      <c r="L22" s="2443">
        <v>1.41</v>
      </c>
      <c r="N22" s="2432">
        <f t="shared" si="146"/>
        <v>3.85E-2</v>
      </c>
      <c r="O22" s="2417">
        <f t="shared" si="141"/>
        <v>1.95E-2</v>
      </c>
      <c r="P22" s="2417">
        <f t="shared" si="141"/>
        <v>4.4800000000000006E-2</v>
      </c>
      <c r="Q22" s="2417">
        <f t="shared" si="141"/>
        <v>1.41E-2</v>
      </c>
      <c r="R22" s="2433"/>
      <c r="S22" s="2432"/>
      <c r="T22" s="2417"/>
      <c r="U22" s="2417"/>
      <c r="V22" s="2417"/>
      <c r="X22" s="2416">
        <f>ROUND(SUMPRODUCT(PRODUCT(1+N22:N$30)),4)</f>
        <v>1.1702999999999999</v>
      </c>
      <c r="Y22" s="2416">
        <f>ROUND(SUMPRODUCT(PRODUCT(1+O22:O$30)),4)</f>
        <v>1.1269</v>
      </c>
      <c r="Z22" s="2416">
        <f t="shared" si="0"/>
        <v>1.1269</v>
      </c>
      <c r="AA22" s="2416">
        <f>ROUND(SUMPRODUCT(PRODUCT(1+P22:P$30)),4)</f>
        <v>1.1858</v>
      </c>
      <c r="AB22" s="2416">
        <f>ROUND(SUMPRODUCT(PRODUCT(1+Q22:Q$30)),4)</f>
        <v>1.1152</v>
      </c>
      <c r="AD22" s="2417">
        <f>ROUND(AVERAGE(I22:I$31)/100,4)</f>
        <v>1.89E-2</v>
      </c>
      <c r="AE22" s="2417">
        <f>ROUND(AVERAGE(J22:J$31)/100,4)</f>
        <v>1.44E-2</v>
      </c>
      <c r="AF22" s="2417">
        <f t="shared" si="1"/>
        <v>1.44E-2</v>
      </c>
      <c r="AG22" s="2417">
        <f>ROUND(AVERAGE(K22:K$31)/100,4)</f>
        <v>2.06E-2</v>
      </c>
      <c r="AH22" s="2417">
        <f>ROUND(AVERAGE(L22:L$31)/100,4)</f>
        <v>1.23E-2</v>
      </c>
    </row>
    <row r="23" spans="1:34" ht="13.8" thickBot="1">
      <c r="A23" s="2429" t="s">
        <v>152</v>
      </c>
      <c r="B23" s="2430">
        <f t="shared" si="143"/>
        <v>346.720748986128</v>
      </c>
      <c r="C23" s="2430">
        <f t="shared" si="143"/>
        <v>284.30282172386285</v>
      </c>
      <c r="D23" s="2430">
        <f t="shared" si="144"/>
        <v>284.30282172386285</v>
      </c>
      <c r="E23" s="2430">
        <f t="shared" si="145"/>
        <v>479.58023546306947</v>
      </c>
      <c r="F23" s="2430">
        <f t="shared" si="145"/>
        <v>253.25788877571213</v>
      </c>
      <c r="G23" s="3434"/>
      <c r="H23" s="2431">
        <v>1</v>
      </c>
      <c r="I23" s="2431">
        <v>4.09</v>
      </c>
      <c r="J23" s="2431">
        <v>2.93</v>
      </c>
      <c r="K23" s="2431">
        <v>4.54</v>
      </c>
      <c r="L23" s="2437">
        <v>1.48</v>
      </c>
      <c r="N23" s="2432">
        <f t="shared" si="146"/>
        <v>4.0899999999999999E-2</v>
      </c>
      <c r="O23" s="2417">
        <f t="shared" si="141"/>
        <v>2.9300000000000003E-2</v>
      </c>
      <c r="P23" s="2417">
        <f t="shared" si="141"/>
        <v>4.5400000000000003E-2</v>
      </c>
      <c r="Q23" s="2417">
        <f t="shared" si="141"/>
        <v>1.4800000000000001E-2</v>
      </c>
      <c r="R23" s="2433"/>
      <c r="S23" s="2448">
        <f>B23/B24-1</f>
        <v>4.1203450408792808E-2</v>
      </c>
      <c r="T23" s="2449">
        <f>C23/C24-1</f>
        <v>2.6363977342465095E-2</v>
      </c>
      <c r="U23" s="2449">
        <f>E23/E24-1</f>
        <v>4.4837114298626357E-2</v>
      </c>
      <c r="V23" s="2449">
        <f>F23/F24-1</f>
        <v>1.7099954922538574E-2</v>
      </c>
      <c r="X23" s="2416">
        <f>ROUND(SUMPRODUCT(PRODUCT(1+N23:N$30)),4)</f>
        <v>1.1269</v>
      </c>
      <c r="Y23" s="2416">
        <f>ROUND(SUMPRODUCT(PRODUCT(1+O23:O$30)),4)</f>
        <v>1.1052999999999999</v>
      </c>
      <c r="Z23" s="2416">
        <f t="shared" si="0"/>
        <v>1.1052999999999999</v>
      </c>
      <c r="AA23" s="2416">
        <f>ROUND(SUMPRODUCT(PRODUCT(1+P23:P$30)),4)</f>
        <v>1.1349</v>
      </c>
      <c r="AB23" s="2416">
        <f>ROUND(SUMPRODUCT(PRODUCT(1+Q23:Q$30)),4)</f>
        <v>1.0996999999999999</v>
      </c>
      <c r="AD23" s="2417">
        <f>ROUND(AVERAGE(I23:I$31)/100,4)</f>
        <v>1.67E-2</v>
      </c>
      <c r="AE23" s="2417">
        <f>ROUND(AVERAGE(J23:J$31)/100,4)</f>
        <v>1.38E-2</v>
      </c>
      <c r="AF23" s="2417">
        <f t="shared" si="1"/>
        <v>1.38E-2</v>
      </c>
      <c r="AG23" s="2417">
        <f>ROUND(AVERAGE(K23:K$31)/100,4)</f>
        <v>1.7899999999999999E-2</v>
      </c>
      <c r="AH23" s="2417">
        <f>ROUND(AVERAGE(L23:L$31)/100,4)</f>
        <v>1.21E-2</v>
      </c>
    </row>
    <row r="24" spans="1:34" ht="13.8" thickBot="1">
      <c r="A24" s="2429" t="s">
        <v>151</v>
      </c>
      <c r="B24" s="2444">
        <v>333</v>
      </c>
      <c r="C24" s="2444">
        <v>277</v>
      </c>
      <c r="D24" s="2444">
        <f t="shared" si="144"/>
        <v>277</v>
      </c>
      <c r="E24" s="2444">
        <v>459</v>
      </c>
      <c r="F24" s="2445">
        <v>249</v>
      </c>
      <c r="G24" s="3432">
        <v>2015</v>
      </c>
      <c r="H24" s="2450">
        <v>4</v>
      </c>
      <c r="I24" s="2450">
        <v>1.63</v>
      </c>
      <c r="J24" s="2450">
        <v>1.1100000000000001</v>
      </c>
      <c r="K24" s="2450">
        <v>1.77</v>
      </c>
      <c r="L24" s="2451">
        <v>1.89</v>
      </c>
      <c r="N24" s="2452">
        <f t="shared" si="146"/>
        <v>1.6299999999999999E-2</v>
      </c>
      <c r="O24" s="2453">
        <f t="shared" si="141"/>
        <v>1.11E-2</v>
      </c>
      <c r="P24" s="2453">
        <f t="shared" si="141"/>
        <v>1.77E-2</v>
      </c>
      <c r="Q24" s="2453">
        <f t="shared" si="141"/>
        <v>1.89E-2</v>
      </c>
      <c r="R24" s="2433"/>
      <c r="X24" s="2416">
        <f>ROUND(SUMPRODUCT(PRODUCT(1+N24:N$30)),4)</f>
        <v>1.0826</v>
      </c>
      <c r="Y24" s="2416">
        <f>ROUND(SUMPRODUCT(PRODUCT(1+O24:O$30)),4)</f>
        <v>1.0738000000000001</v>
      </c>
      <c r="Z24" s="2416">
        <f t="shared" si="0"/>
        <v>1.0738000000000001</v>
      </c>
      <c r="AA24" s="2416">
        <f>ROUND(SUMPRODUCT(PRODUCT(1+P24:P$30)),4)</f>
        <v>1.0855999999999999</v>
      </c>
      <c r="AB24" s="2416">
        <f>ROUND(SUMPRODUCT(PRODUCT(1+Q24:Q$30)),4)</f>
        <v>1.0837000000000001</v>
      </c>
      <c r="AD24" s="2417">
        <f>ROUND(AVERAGE(I24:I$31)/100,4)</f>
        <v>1.37E-2</v>
      </c>
      <c r="AE24" s="2417">
        <f>ROUND(AVERAGE(J24:J$31)/100,4)</f>
        <v>1.1900000000000001E-2</v>
      </c>
      <c r="AF24" s="2417">
        <f t="shared" si="1"/>
        <v>1.1900000000000001E-2</v>
      </c>
      <c r="AG24" s="2417">
        <f>ROUND(AVERAGE(K24:K$31)/100,4)</f>
        <v>1.4500000000000001E-2</v>
      </c>
      <c r="AH24" s="2417">
        <f>ROUND(AVERAGE(L24:L$31)/100,4)</f>
        <v>1.18E-2</v>
      </c>
    </row>
    <row r="25" spans="1:34">
      <c r="A25" s="2429" t="s">
        <v>150</v>
      </c>
      <c r="B25" s="2430">
        <f t="shared" ref="B25:C27" si="147">B24/(1+N24)</f>
        <v>327.65915576109415</v>
      </c>
      <c r="C25" s="2430">
        <f t="shared" si="147"/>
        <v>273.95905449510434</v>
      </c>
      <c r="D25" s="2430">
        <f t="shared" si="144"/>
        <v>273.95905449510434</v>
      </c>
      <c r="E25" s="2430">
        <f t="shared" ref="E25:F27" si="148">E24/(1+P24)</f>
        <v>451.01699911565294</v>
      </c>
      <c r="F25" s="2430">
        <f t="shared" si="148"/>
        <v>244.38119540681129</v>
      </c>
      <c r="G25" s="3433"/>
      <c r="H25" s="2455">
        <v>3</v>
      </c>
      <c r="I25" s="2455">
        <v>1.65</v>
      </c>
      <c r="J25" s="2455">
        <v>0.92</v>
      </c>
      <c r="K25" s="2455">
        <v>1.88</v>
      </c>
      <c r="L25" s="2456">
        <v>1.26</v>
      </c>
      <c r="N25" s="2432">
        <f t="shared" si="146"/>
        <v>1.6500000000000001E-2</v>
      </c>
      <c r="O25" s="2457">
        <f t="shared" si="141"/>
        <v>9.1999999999999998E-3</v>
      </c>
      <c r="P25" s="2457">
        <f t="shared" si="141"/>
        <v>1.8799999999999997E-2</v>
      </c>
      <c r="Q25" s="2457">
        <f t="shared" si="141"/>
        <v>1.26E-2</v>
      </c>
      <c r="R25" s="2433"/>
      <c r="S25" s="2432"/>
      <c r="T25" s="2417"/>
      <c r="U25" s="2417"/>
      <c r="V25" s="2417"/>
      <c r="X25" s="2416">
        <f>ROUND(SUMPRODUCT(PRODUCT(1+N25:N$30)),4)</f>
        <v>1.0651999999999999</v>
      </c>
      <c r="Y25" s="2416">
        <f>ROUND(SUMPRODUCT(PRODUCT(1+O25:O$30)),4)</f>
        <v>1.0621</v>
      </c>
      <c r="Z25" s="2416">
        <f t="shared" si="0"/>
        <v>1.0621</v>
      </c>
      <c r="AA25" s="2416">
        <f>ROUND(SUMPRODUCT(PRODUCT(1+P25:P$30)),4)</f>
        <v>1.0668</v>
      </c>
      <c r="AB25" s="2416">
        <f>ROUND(SUMPRODUCT(PRODUCT(1+Q25:Q$30)),4)</f>
        <v>1.0636000000000001</v>
      </c>
      <c r="AD25" s="2417">
        <f>ROUND(AVERAGE(I25:I$31)/100,4)</f>
        <v>1.3299999999999999E-2</v>
      </c>
      <c r="AE25" s="2417">
        <f>ROUND(AVERAGE(J25:J$31)/100,4)</f>
        <v>1.2E-2</v>
      </c>
      <c r="AF25" s="2417">
        <f t="shared" si="1"/>
        <v>1.2E-2</v>
      </c>
      <c r="AG25" s="2417">
        <f>ROUND(AVERAGE(K25:K$31)/100,4)</f>
        <v>1.4E-2</v>
      </c>
      <c r="AH25" s="2417">
        <f>ROUND(AVERAGE(L25:L$31)/100,4)</f>
        <v>1.0800000000000001E-2</v>
      </c>
    </row>
    <row r="26" spans="1:34">
      <c r="A26" s="2429" t="s">
        <v>149</v>
      </c>
      <c r="B26" s="2430">
        <f t="shared" si="147"/>
        <v>322.34053690220776</v>
      </c>
      <c r="C26" s="2430">
        <f t="shared" si="147"/>
        <v>271.46160770422546</v>
      </c>
      <c r="D26" s="2430">
        <f t="shared" si="144"/>
        <v>271.46160770422546</v>
      </c>
      <c r="E26" s="2430">
        <f t="shared" si="148"/>
        <v>442.69434542172456</v>
      </c>
      <c r="F26" s="2430">
        <f t="shared" si="148"/>
        <v>241.34030753190925</v>
      </c>
      <c r="G26" s="3433"/>
      <c r="H26" s="2442">
        <v>2</v>
      </c>
      <c r="I26" s="2442">
        <v>0.77</v>
      </c>
      <c r="J26" s="2442">
        <v>0.69</v>
      </c>
      <c r="K26" s="2442">
        <v>0.8</v>
      </c>
      <c r="L26" s="2443">
        <v>0.88</v>
      </c>
      <c r="N26" s="2432">
        <f t="shared" si="146"/>
        <v>7.7000000000000002E-3</v>
      </c>
      <c r="O26" s="2457">
        <f t="shared" si="141"/>
        <v>6.8999999999999999E-3</v>
      </c>
      <c r="P26" s="2457">
        <f t="shared" si="141"/>
        <v>8.0000000000000002E-3</v>
      </c>
      <c r="Q26" s="2457">
        <f t="shared" si="141"/>
        <v>8.8000000000000005E-3</v>
      </c>
      <c r="R26" s="2433"/>
      <c r="S26" s="2432"/>
      <c r="T26" s="2417"/>
      <c r="U26" s="2417"/>
      <c r="V26" s="2417"/>
      <c r="X26" s="2416">
        <f>ROUND(SUMPRODUCT(PRODUCT(1+N26:N$30)),4)</f>
        <v>1.048</v>
      </c>
      <c r="Y26" s="2416">
        <f>ROUND(SUMPRODUCT(PRODUCT(1+O26:O$30)),4)</f>
        <v>1.0524</v>
      </c>
      <c r="Z26" s="2416">
        <f t="shared" si="0"/>
        <v>1.0524</v>
      </c>
      <c r="AA26" s="2416">
        <f>ROUND(SUMPRODUCT(PRODUCT(1+P26:P$30)),4)</f>
        <v>1.0470999999999999</v>
      </c>
      <c r="AB26" s="2416">
        <f>ROUND(SUMPRODUCT(PRODUCT(1+Q26:Q$30)),4)</f>
        <v>1.0504</v>
      </c>
      <c r="AD26" s="2417">
        <f>ROUND(AVERAGE(I26:I$31)/100,4)</f>
        <v>1.2800000000000001E-2</v>
      </c>
      <c r="AE26" s="2417">
        <f>ROUND(AVERAGE(J26:J$31)/100,4)</f>
        <v>1.2500000000000001E-2</v>
      </c>
      <c r="AF26" s="2417">
        <f t="shared" si="1"/>
        <v>1.2500000000000001E-2</v>
      </c>
      <c r="AG26" s="2417">
        <f>ROUND(AVERAGE(K26:K$31)/100,4)</f>
        <v>1.32E-2</v>
      </c>
      <c r="AH26" s="2417">
        <f>ROUND(AVERAGE(L26:L$31)/100,4)</f>
        <v>1.0500000000000001E-2</v>
      </c>
    </row>
    <row r="27" spans="1:34">
      <c r="A27" s="2429" t="s">
        <v>148</v>
      </c>
      <c r="B27" s="2430">
        <f t="shared" si="147"/>
        <v>319.87748030386797</v>
      </c>
      <c r="C27" s="2430">
        <f t="shared" si="147"/>
        <v>269.60135833173649</v>
      </c>
      <c r="D27" s="2430">
        <f t="shared" si="144"/>
        <v>269.60135833173649</v>
      </c>
      <c r="E27" s="2430">
        <f t="shared" si="148"/>
        <v>439.18089823583784</v>
      </c>
      <c r="F27" s="2430">
        <f t="shared" si="148"/>
        <v>239.23503918706311</v>
      </c>
      <c r="G27" s="3434"/>
      <c r="H27" s="2431">
        <v>1</v>
      </c>
      <c r="I27" s="2431">
        <v>0.51</v>
      </c>
      <c r="J27" s="2431">
        <v>0.54</v>
      </c>
      <c r="K27" s="2431">
        <v>0.48</v>
      </c>
      <c r="L27" s="2437">
        <v>0.93</v>
      </c>
      <c r="N27" s="2448">
        <f t="shared" si="146"/>
        <v>5.1000000000000004E-3</v>
      </c>
      <c r="O27" s="2449">
        <f t="shared" si="141"/>
        <v>5.4000000000000003E-3</v>
      </c>
      <c r="P27" s="2449">
        <f t="shared" si="141"/>
        <v>4.7999999999999996E-3</v>
      </c>
      <c r="Q27" s="2449">
        <f t="shared" si="141"/>
        <v>9.300000000000001E-3</v>
      </c>
      <c r="R27" s="2433"/>
      <c r="S27" s="2448">
        <f>B27/B28-1</f>
        <v>5.9040261127922822E-3</v>
      </c>
      <c r="T27" s="2449">
        <f>C27/C28-1</f>
        <v>5.9752176557332781E-3</v>
      </c>
      <c r="U27" s="2449">
        <f>E27/E28-1</f>
        <v>4.9906138119859556E-3</v>
      </c>
      <c r="V27" s="2449">
        <f>F27/F28-1</f>
        <v>9.4305450930933787E-3</v>
      </c>
      <c r="X27" s="2416">
        <f>ROUND(SUMPRODUCT(PRODUCT(1+N27:N$30)),4)</f>
        <v>1.0399</v>
      </c>
      <c r="Y27" s="2416">
        <f>ROUND(SUMPRODUCT(PRODUCT(1+O27:O$30)),4)</f>
        <v>1.0451999999999999</v>
      </c>
      <c r="Z27" s="2416">
        <f t="shared" si="0"/>
        <v>1.0451999999999999</v>
      </c>
      <c r="AA27" s="2416">
        <f>ROUND(SUMPRODUCT(PRODUCT(1+P27:P$30)),4)</f>
        <v>1.0387999999999999</v>
      </c>
      <c r="AB27" s="2416">
        <f>ROUND(SUMPRODUCT(PRODUCT(1+Q27:Q$30)),4)</f>
        <v>1.0411999999999999</v>
      </c>
      <c r="AD27" s="2417">
        <f>ROUND(AVERAGE(I27:I$31)/100,4)</f>
        <v>1.38E-2</v>
      </c>
      <c r="AE27" s="2417">
        <f>ROUND(AVERAGE(J27:J$31)/100,4)</f>
        <v>1.3599999999999999E-2</v>
      </c>
      <c r="AF27" s="2417">
        <f t="shared" si="1"/>
        <v>1.3599999999999999E-2</v>
      </c>
      <c r="AG27" s="2417">
        <f>ROUND(AVERAGE(K27:K$31)/100,4)</f>
        <v>1.4200000000000001E-2</v>
      </c>
      <c r="AH27" s="2417">
        <f>ROUND(AVERAGE(L27:L$31)/100,4)</f>
        <v>1.0800000000000001E-2</v>
      </c>
    </row>
    <row r="28" spans="1:34" ht="13.8" thickBot="1">
      <c r="A28" s="2429" t="s">
        <v>147</v>
      </c>
      <c r="B28" s="2458">
        <v>318</v>
      </c>
      <c r="C28" s="2458">
        <v>268</v>
      </c>
      <c r="D28" s="2458">
        <f t="shared" si="144"/>
        <v>268</v>
      </c>
      <c r="E28" s="2458">
        <v>437</v>
      </c>
      <c r="F28" s="2459">
        <v>237</v>
      </c>
      <c r="G28" s="3432">
        <v>2014</v>
      </c>
      <c r="H28" s="2450">
        <v>4</v>
      </c>
      <c r="I28" s="2450">
        <v>0.21</v>
      </c>
      <c r="J28" s="2450">
        <v>0.41</v>
      </c>
      <c r="K28" s="2450">
        <v>0.12</v>
      </c>
      <c r="L28" s="2451">
        <v>0.89</v>
      </c>
      <c r="N28" s="2432">
        <f t="shared" si="146"/>
        <v>2.0999999999999999E-3</v>
      </c>
      <c r="O28" s="2417">
        <f t="shared" si="141"/>
        <v>4.0999999999999995E-3</v>
      </c>
      <c r="P28" s="2417">
        <f t="shared" si="141"/>
        <v>1.1999999999999999E-3</v>
      </c>
      <c r="Q28" s="2417">
        <f t="shared" si="141"/>
        <v>8.8999999999999999E-3</v>
      </c>
      <c r="R28" s="2433"/>
      <c r="S28" s="2446"/>
      <c r="T28" s="2447"/>
      <c r="U28" s="2447"/>
      <c r="V28" s="2447"/>
      <c r="X28" s="2416">
        <f>ROUND(SUMPRODUCT(PRODUCT(1+N28:N$30)),4)</f>
        <v>1.0347</v>
      </c>
      <c r="Y28" s="2416">
        <f>ROUND(SUMPRODUCT(PRODUCT(1+O28:O$30)),4)</f>
        <v>1.0395000000000001</v>
      </c>
      <c r="Z28" s="2416">
        <f t="shared" si="0"/>
        <v>1.0395000000000001</v>
      </c>
      <c r="AA28" s="2416">
        <f>ROUND(SUMPRODUCT(PRODUCT(1+P28:P$30)),4)</f>
        <v>1.0338000000000001</v>
      </c>
      <c r="AB28" s="2416">
        <f>ROUND(SUMPRODUCT(PRODUCT(1+Q28:Q$30)),4)</f>
        <v>1.0316000000000001</v>
      </c>
      <c r="AD28" s="2417">
        <f>ROUND(AVERAGE(I28:I$31)/100,4)</f>
        <v>1.6E-2</v>
      </c>
      <c r="AE28" s="2417">
        <f>ROUND(AVERAGE(J28:J$31)/100,4)</f>
        <v>1.5599999999999999E-2</v>
      </c>
      <c r="AF28" s="2417">
        <f t="shared" si="1"/>
        <v>1.5599999999999999E-2</v>
      </c>
      <c r="AG28" s="2417">
        <f>ROUND(AVERAGE(K28:K$31)/100,4)</f>
        <v>1.66E-2</v>
      </c>
      <c r="AH28" s="2417">
        <f>ROUND(AVERAGE(L28:L$31)/100,4)</f>
        <v>1.12E-2</v>
      </c>
    </row>
    <row r="29" spans="1:34">
      <c r="A29" s="2429" t="s">
        <v>146</v>
      </c>
      <c r="B29" s="2430">
        <f t="shared" ref="B29:C31" si="149">B28/(1+N28)</f>
        <v>317.33359944117353</v>
      </c>
      <c r="C29" s="2430">
        <f t="shared" si="149"/>
        <v>266.90568668459315</v>
      </c>
      <c r="D29" s="2430">
        <f t="shared" si="144"/>
        <v>266.90568668459315</v>
      </c>
      <c r="E29" s="2430">
        <f t="shared" ref="E29:F31" si="150">E28/(1+P28)</f>
        <v>436.47622852576905</v>
      </c>
      <c r="F29" s="2430">
        <f t="shared" si="150"/>
        <v>234.90930716622066</v>
      </c>
      <c r="G29" s="3433"/>
      <c r="H29" s="2460">
        <v>3</v>
      </c>
      <c r="I29" s="2460">
        <v>0.83</v>
      </c>
      <c r="J29" s="2460">
        <v>1.47</v>
      </c>
      <c r="K29" s="2460">
        <v>0.65</v>
      </c>
      <c r="L29" s="2461">
        <v>0.72</v>
      </c>
      <c r="N29" s="2432">
        <f t="shared" si="146"/>
        <v>8.3000000000000001E-3</v>
      </c>
      <c r="O29" s="2417">
        <f t="shared" si="141"/>
        <v>1.47E-2</v>
      </c>
      <c r="P29" s="2417">
        <f t="shared" si="141"/>
        <v>6.5000000000000006E-3</v>
      </c>
      <c r="Q29" s="2417">
        <f t="shared" si="141"/>
        <v>7.1999999999999998E-3</v>
      </c>
      <c r="R29" s="2433"/>
      <c r="S29" s="2432"/>
      <c r="T29" s="2417"/>
      <c r="U29" s="2417"/>
      <c r="V29" s="2417"/>
      <c r="X29" s="2416">
        <f>ROUND(SUMPRODUCT(PRODUCT(1+N29:N$30)),4)</f>
        <v>1.0325</v>
      </c>
      <c r="Y29" s="2416">
        <f>ROUND(SUMPRODUCT(PRODUCT(1+O29:O$30)),4)</f>
        <v>1.0353000000000001</v>
      </c>
      <c r="Z29" s="2416">
        <f t="shared" ref="Z29:Z30" si="151">Y29</f>
        <v>1.0353000000000001</v>
      </c>
      <c r="AA29" s="2416">
        <f>ROUND(SUMPRODUCT(PRODUCT(1+P29:P$30)),4)</f>
        <v>1.0326</v>
      </c>
      <c r="AB29" s="2416">
        <f>ROUND(SUMPRODUCT(PRODUCT(1+Q29:Q$30)),4)</f>
        <v>1.0225</v>
      </c>
      <c r="AD29" s="2417">
        <f>ROUND(AVERAGE(I29:I$31)/100,4)</f>
        <v>2.07E-2</v>
      </c>
      <c r="AE29" s="2417">
        <f>ROUND(AVERAGE(J29:J$31)/100,4)</f>
        <v>1.95E-2</v>
      </c>
      <c r="AF29" s="2417">
        <f t="shared" si="1"/>
        <v>1.95E-2</v>
      </c>
      <c r="AG29" s="2417">
        <f>ROUND(AVERAGE(K29:K$31)/100,4)</f>
        <v>2.1700000000000001E-2</v>
      </c>
      <c r="AH29" s="2417">
        <f>ROUND(AVERAGE(L29:L$31)/100,4)</f>
        <v>1.2E-2</v>
      </c>
    </row>
    <row r="30" spans="1:34" ht="13.8" thickBot="1">
      <c r="A30" s="2429" t="s">
        <v>145</v>
      </c>
      <c r="B30" s="2430">
        <f t="shared" si="149"/>
        <v>314.72141172386546</v>
      </c>
      <c r="C30" s="2430">
        <f t="shared" si="149"/>
        <v>263.03901319069001</v>
      </c>
      <c r="D30" s="2430">
        <f t="shared" si="144"/>
        <v>263.03901319069001</v>
      </c>
      <c r="E30" s="2430">
        <f t="shared" si="150"/>
        <v>433.65745506782821</v>
      </c>
      <c r="F30" s="2430">
        <f t="shared" si="150"/>
        <v>233.23005080045735</v>
      </c>
      <c r="G30" s="3433"/>
      <c r="H30" s="2450">
        <v>2</v>
      </c>
      <c r="I30" s="2450">
        <v>2.4</v>
      </c>
      <c r="J30" s="2450">
        <v>2.0299999999999998</v>
      </c>
      <c r="K30" s="2450">
        <v>2.59</v>
      </c>
      <c r="L30" s="2451">
        <v>1.52</v>
      </c>
      <c r="N30" s="2432">
        <f t="shared" si="146"/>
        <v>2.4E-2</v>
      </c>
      <c r="O30" s="2417">
        <f t="shared" si="141"/>
        <v>2.0299999999999999E-2</v>
      </c>
      <c r="P30" s="2417">
        <f t="shared" si="141"/>
        <v>2.5899999999999999E-2</v>
      </c>
      <c r="Q30" s="2417">
        <f t="shared" si="141"/>
        <v>1.52E-2</v>
      </c>
      <c r="R30" s="2433"/>
      <c r="S30" s="2432"/>
      <c r="T30" s="2417"/>
      <c r="U30" s="2417"/>
      <c r="V30" s="2417"/>
      <c r="X30" s="2416">
        <f>1+N30</f>
        <v>1.024</v>
      </c>
      <c r="Y30" s="2416">
        <f>1+O30</f>
        <v>1.0203</v>
      </c>
      <c r="Z30" s="2416">
        <f t="shared" si="151"/>
        <v>1.0203</v>
      </c>
      <c r="AA30" s="2416">
        <f>1+P30</f>
        <v>1.0259</v>
      </c>
      <c r="AB30" s="2416">
        <f>1+Q30</f>
        <v>1.0152000000000001</v>
      </c>
      <c r="AD30" s="2417">
        <f>ROUND(AVERAGE(I30:I$31)/100,4)</f>
        <v>2.69E-2</v>
      </c>
      <c r="AE30" s="2417">
        <f>ROUND(AVERAGE(J30:J$31)/100,4)</f>
        <v>2.1899999999999999E-2</v>
      </c>
      <c r="AF30" s="2417">
        <f t="shared" ref="AF30" si="152">AE30</f>
        <v>2.1899999999999999E-2</v>
      </c>
      <c r="AG30" s="2417">
        <f>ROUND(AVERAGE(K30:K$31)/100,4)</f>
        <v>2.9399999999999999E-2</v>
      </c>
      <c r="AH30" s="2417">
        <f>ROUND(AVERAGE(L30:L$31)/100,4)</f>
        <v>1.44E-2</v>
      </c>
    </row>
    <row r="31" spans="1:34" s="2466" customFormat="1" ht="13.8" thickBot="1">
      <c r="A31" s="2462" t="s">
        <v>144</v>
      </c>
      <c r="B31" s="2463">
        <f t="shared" si="149"/>
        <v>307.34512863658733</v>
      </c>
      <c r="C31" s="2463">
        <f t="shared" si="149"/>
        <v>257.80556031626975</v>
      </c>
      <c r="D31" s="2463">
        <f t="shared" si="144"/>
        <v>257.80556031626975</v>
      </c>
      <c r="E31" s="2463">
        <f t="shared" si="150"/>
        <v>422.70928459677179</v>
      </c>
      <c r="F31" s="2463">
        <f t="shared" si="150"/>
        <v>229.73803270336617</v>
      </c>
      <c r="G31" s="3434"/>
      <c r="H31" s="2464">
        <v>1</v>
      </c>
      <c r="I31" s="2464">
        <v>2.97</v>
      </c>
      <c r="J31" s="2464">
        <v>2.34</v>
      </c>
      <c r="K31" s="2464">
        <v>3.28</v>
      </c>
      <c r="L31" s="2465">
        <v>1.36</v>
      </c>
      <c r="N31" s="2467">
        <f t="shared" si="146"/>
        <v>2.9700000000000001E-2</v>
      </c>
      <c r="O31" s="2468">
        <f t="shared" si="141"/>
        <v>2.3399999999999997E-2</v>
      </c>
      <c r="P31" s="2468">
        <f t="shared" si="141"/>
        <v>3.2799999999999996E-2</v>
      </c>
      <c r="Q31" s="2468">
        <f t="shared" si="141"/>
        <v>1.3600000000000001E-2</v>
      </c>
      <c r="R31" s="2469"/>
      <c r="S31" s="2470">
        <f>B31/B32-1</f>
        <v>2.7910129219355539E-2</v>
      </c>
      <c r="T31" s="2471">
        <f>C31/C32-1</f>
        <v>2.3037937762975247E-2</v>
      </c>
      <c r="U31" s="2471">
        <f>E31/E32-1</f>
        <v>3.3519033243940788E-2</v>
      </c>
      <c r="V31" s="2471">
        <f>F31/F32-1</f>
        <v>1.2061818076502862E-2</v>
      </c>
      <c r="W31" s="2472" t="s">
        <v>1129</v>
      </c>
      <c r="X31" s="2473">
        <v>1</v>
      </c>
      <c r="Y31" s="2473">
        <v>1</v>
      </c>
      <c r="Z31" s="2473">
        <v>1</v>
      </c>
      <c r="AA31" s="2473">
        <v>1</v>
      </c>
      <c r="AB31" s="2473">
        <v>1</v>
      </c>
      <c r="AD31" s="2468">
        <f>I31/100</f>
        <v>2.9700000000000001E-2</v>
      </c>
      <c r="AE31" s="2468">
        <f>J31/100</f>
        <v>2.3399999999999997E-2</v>
      </c>
      <c r="AF31" s="2468">
        <f>AE31</f>
        <v>2.3399999999999997E-2</v>
      </c>
      <c r="AG31" s="2468">
        <f>K31/100</f>
        <v>3.2799999999999996E-2</v>
      </c>
      <c r="AH31" s="2468">
        <f>L31/100</f>
        <v>1.3600000000000001E-2</v>
      </c>
    </row>
    <row r="32" spans="1:34" ht="13.8" thickBot="1">
      <c r="A32" s="2429" t="s">
        <v>1130</v>
      </c>
      <c r="B32" s="2444">
        <v>299</v>
      </c>
      <c r="C32" s="2444">
        <v>252</v>
      </c>
      <c r="D32" s="2444">
        <f t="shared" si="144"/>
        <v>252</v>
      </c>
      <c r="E32" s="2444">
        <v>409</v>
      </c>
      <c r="F32" s="2445">
        <v>227</v>
      </c>
      <c r="G32" s="3437">
        <v>2013</v>
      </c>
      <c r="H32" s="2474">
        <v>4</v>
      </c>
      <c r="I32" s="2474">
        <v>1.83</v>
      </c>
      <c r="J32" s="2474">
        <v>1.68</v>
      </c>
      <c r="K32" s="2474">
        <v>1.97</v>
      </c>
      <c r="L32" s="2475">
        <v>0.87</v>
      </c>
      <c r="N32" s="2452">
        <f t="shared" si="146"/>
        <v>1.83E-2</v>
      </c>
      <c r="O32" s="2453">
        <f t="shared" si="141"/>
        <v>1.6799999999999999E-2</v>
      </c>
      <c r="P32" s="2453">
        <f t="shared" si="141"/>
        <v>1.9699999999999999E-2</v>
      </c>
      <c r="Q32" s="2453">
        <f t="shared" si="141"/>
        <v>8.6999999999999994E-3</v>
      </c>
      <c r="R32" s="2433"/>
      <c r="S32" s="2446"/>
      <c r="T32" s="2447"/>
      <c r="U32" s="2447"/>
      <c r="V32" s="2447"/>
      <c r="X32" s="2447"/>
      <c r="Y32" s="2447"/>
      <c r="Z32" s="2447"/>
    </row>
    <row r="33" spans="1:26">
      <c r="A33" s="2429" t="s">
        <v>1131</v>
      </c>
      <c r="B33" s="2430">
        <f t="shared" ref="B33:C35" si="153">B32/(1+N32)</f>
        <v>293.62663262299913</v>
      </c>
      <c r="C33" s="2430">
        <f t="shared" si="153"/>
        <v>247.83634933123525</v>
      </c>
      <c r="D33" s="2430">
        <f t="shared" si="144"/>
        <v>247.83634933123525</v>
      </c>
      <c r="E33" s="2430">
        <f t="shared" ref="E33:F35" si="154">E32/(1+P32)</f>
        <v>401.09836226341076</v>
      </c>
      <c r="F33" s="2430">
        <f t="shared" si="154"/>
        <v>225.04213343908003</v>
      </c>
      <c r="G33" s="3438"/>
      <c r="H33" s="2455">
        <v>3</v>
      </c>
      <c r="I33" s="2455">
        <v>1.86</v>
      </c>
      <c r="J33" s="2455">
        <v>1.72</v>
      </c>
      <c r="K33" s="2455">
        <v>1.98</v>
      </c>
      <c r="L33" s="2456">
        <v>0.88</v>
      </c>
      <c r="N33" s="2432">
        <f t="shared" si="146"/>
        <v>1.8600000000000002E-2</v>
      </c>
      <c r="O33" s="2457">
        <f t="shared" si="141"/>
        <v>1.72E-2</v>
      </c>
      <c r="P33" s="2457">
        <f t="shared" si="141"/>
        <v>1.9799999999999998E-2</v>
      </c>
      <c r="Q33" s="2457">
        <f t="shared" si="141"/>
        <v>8.8000000000000005E-3</v>
      </c>
      <c r="R33" s="2433"/>
      <c r="S33" s="2432"/>
      <c r="T33" s="2417"/>
      <c r="U33" s="2417"/>
      <c r="V33" s="2417"/>
    </row>
    <row r="34" spans="1:26">
      <c r="A34" s="2429" t="s">
        <v>1132</v>
      </c>
      <c r="B34" s="2430">
        <f t="shared" si="153"/>
        <v>288.2649053828776</v>
      </c>
      <c r="C34" s="2430">
        <f t="shared" si="153"/>
        <v>243.64564425013293</v>
      </c>
      <c r="D34" s="2430">
        <f t="shared" si="144"/>
        <v>243.64564425013293</v>
      </c>
      <c r="E34" s="2430">
        <f t="shared" si="154"/>
        <v>393.31080825986544</v>
      </c>
      <c r="F34" s="2430">
        <f t="shared" si="154"/>
        <v>223.07903790551154</v>
      </c>
      <c r="G34" s="3438"/>
      <c r="H34" s="2442">
        <v>2</v>
      </c>
      <c r="I34" s="2442">
        <v>2.04</v>
      </c>
      <c r="J34" s="2442">
        <v>2.33</v>
      </c>
      <c r="K34" s="2442">
        <v>2.0699999999999998</v>
      </c>
      <c r="L34" s="2443">
        <v>0.69</v>
      </c>
      <c r="N34" s="2432">
        <f t="shared" si="146"/>
        <v>2.0400000000000001E-2</v>
      </c>
      <c r="O34" s="2457">
        <f t="shared" si="141"/>
        <v>2.3300000000000001E-2</v>
      </c>
      <c r="P34" s="2457">
        <f t="shared" si="141"/>
        <v>2.07E-2</v>
      </c>
      <c r="Q34" s="2457">
        <f t="shared" si="141"/>
        <v>6.8999999999999999E-3</v>
      </c>
      <c r="R34" s="2433"/>
      <c r="S34" s="2432"/>
      <c r="T34" s="2417"/>
      <c r="U34" s="2417"/>
      <c r="V34" s="2417"/>
      <c r="X34" s="2476"/>
      <c r="Y34" s="2477"/>
    </row>
    <row r="35" spans="1:26">
      <c r="A35" s="2429" t="s">
        <v>1133</v>
      </c>
      <c r="B35" s="2430">
        <f t="shared" si="153"/>
        <v>282.50186729015837</v>
      </c>
      <c r="C35" s="2430">
        <f t="shared" si="153"/>
        <v>238.09796174155468</v>
      </c>
      <c r="D35" s="2430">
        <f t="shared" si="144"/>
        <v>238.09796174155468</v>
      </c>
      <c r="E35" s="2430">
        <f t="shared" si="154"/>
        <v>385.33438646014054</v>
      </c>
      <c r="F35" s="2430">
        <f t="shared" si="154"/>
        <v>221.55034055567739</v>
      </c>
      <c r="G35" s="3439"/>
      <c r="H35" s="2431">
        <v>1</v>
      </c>
      <c r="I35" s="2431">
        <v>1.67</v>
      </c>
      <c r="J35" s="2431">
        <v>1.31</v>
      </c>
      <c r="K35" s="2431">
        <v>1.85</v>
      </c>
      <c r="L35" s="2437">
        <v>0.96</v>
      </c>
      <c r="N35" s="2448">
        <f t="shared" si="146"/>
        <v>1.67E-2</v>
      </c>
      <c r="O35" s="2449">
        <f t="shared" si="146"/>
        <v>1.3100000000000001E-2</v>
      </c>
      <c r="P35" s="2449">
        <f t="shared" si="146"/>
        <v>1.8500000000000003E-2</v>
      </c>
      <c r="Q35" s="2449">
        <f t="shared" si="146"/>
        <v>9.5999999999999992E-3</v>
      </c>
      <c r="R35" s="2433"/>
      <c r="S35" s="2448">
        <f>B35/B36-1</f>
        <v>1.6193767230785472E-2</v>
      </c>
      <c r="T35" s="2449">
        <f>C35/C36-1</f>
        <v>1.7512657015190891E-2</v>
      </c>
      <c r="U35" s="2449">
        <f>E35/E36-1</f>
        <v>1.6713420739157048E-2</v>
      </c>
      <c r="V35" s="2449">
        <f>F35/F36-1</f>
        <v>7.0470025258062563E-3</v>
      </c>
      <c r="X35" s="2478"/>
      <c r="Y35" s="2417"/>
      <c r="Z35" s="2417"/>
    </row>
    <row r="36" spans="1:26" ht="13.8" thickBot="1">
      <c r="A36" s="2429" t="s">
        <v>1134</v>
      </c>
      <c r="B36" s="2479">
        <v>278</v>
      </c>
      <c r="C36" s="2479">
        <v>234</v>
      </c>
      <c r="D36" s="2479">
        <f t="shared" si="144"/>
        <v>234</v>
      </c>
      <c r="E36" s="2479">
        <v>379</v>
      </c>
      <c r="F36" s="2480">
        <v>220</v>
      </c>
      <c r="G36" s="3432">
        <v>2012</v>
      </c>
      <c r="H36" s="2450">
        <v>4</v>
      </c>
      <c r="I36" s="2450">
        <v>0.91</v>
      </c>
      <c r="J36" s="2450">
        <v>0.68</v>
      </c>
      <c r="K36" s="2450">
        <v>0.98</v>
      </c>
      <c r="L36" s="2451">
        <v>0.9</v>
      </c>
      <c r="N36" s="2432">
        <f t="shared" si="146"/>
        <v>9.1000000000000004E-3</v>
      </c>
      <c r="O36" s="2417">
        <f t="shared" si="146"/>
        <v>6.8000000000000005E-3</v>
      </c>
      <c r="P36" s="2417">
        <f t="shared" si="146"/>
        <v>9.7999999999999997E-3</v>
      </c>
      <c r="Q36" s="2417">
        <f t="shared" si="146"/>
        <v>9.0000000000000011E-3</v>
      </c>
      <c r="R36" s="2433"/>
      <c r="S36" s="2446"/>
      <c r="T36" s="2447"/>
      <c r="U36" s="2447"/>
      <c r="V36" s="2447"/>
      <c r="X36" s="2447"/>
      <c r="Y36" s="2447"/>
      <c r="Z36" s="2447"/>
    </row>
    <row r="37" spans="1:26">
      <c r="A37" s="2429" t="s">
        <v>1135</v>
      </c>
      <c r="B37" s="2430">
        <f>B36/(1+N36)</f>
        <v>275.49301357645425</v>
      </c>
      <c r="C37" s="2430">
        <f>C36/(1+O36)</f>
        <v>232.41954707985698</v>
      </c>
      <c r="D37" s="2430">
        <f t="shared" si="144"/>
        <v>232.41954707985698</v>
      </c>
      <c r="E37" s="2430">
        <f t="shared" ref="E37:F39" si="155">E36/(1+P36)</f>
        <v>375.32184591008121</v>
      </c>
      <c r="F37" s="2430">
        <f t="shared" si="155"/>
        <v>218.03766105054513</v>
      </c>
      <c r="G37" s="3433"/>
      <c r="H37" s="2455">
        <v>3</v>
      </c>
      <c r="I37" s="2455">
        <v>0.09</v>
      </c>
      <c r="J37" s="2455">
        <v>0.28999999999999998</v>
      </c>
      <c r="K37" s="2455">
        <v>-0.01</v>
      </c>
      <c r="L37" s="2456">
        <v>0.57999999999999996</v>
      </c>
      <c r="N37" s="2432">
        <f t="shared" si="146"/>
        <v>8.9999999999999998E-4</v>
      </c>
      <c r="O37" s="2417">
        <f t="shared" si="146"/>
        <v>2.8999999999999998E-3</v>
      </c>
      <c r="P37" s="2417">
        <f t="shared" si="146"/>
        <v>-1E-4</v>
      </c>
      <c r="Q37" s="2417">
        <f t="shared" si="146"/>
        <v>5.7999999999999996E-3</v>
      </c>
      <c r="R37" s="2433"/>
      <c r="S37" s="2432"/>
      <c r="T37" s="2417"/>
      <c r="U37" s="2417"/>
      <c r="V37" s="2417"/>
    </row>
    <row r="38" spans="1:26">
      <c r="A38" s="2429" t="s">
        <v>1136</v>
      </c>
      <c r="B38" s="2430">
        <f>B37/(1+N37)</f>
        <v>275.24529281292263</v>
      </c>
      <c r="C38" s="2430">
        <f>C37/(1+O37)</f>
        <v>231.74747938962707</v>
      </c>
      <c r="D38" s="2430">
        <f t="shared" si="144"/>
        <v>231.74747938962707</v>
      </c>
      <c r="E38" s="2430">
        <f t="shared" si="155"/>
        <v>375.35938184826603</v>
      </c>
      <c r="F38" s="2430">
        <f t="shared" si="155"/>
        <v>216.78033510692495</v>
      </c>
      <c r="G38" s="3433"/>
      <c r="H38" s="2442">
        <v>2</v>
      </c>
      <c r="I38" s="2442">
        <v>0.02</v>
      </c>
      <c r="J38" s="2442">
        <v>0.12</v>
      </c>
      <c r="K38" s="2442">
        <v>-0.08</v>
      </c>
      <c r="L38" s="2443">
        <v>1.24</v>
      </c>
      <c r="N38" s="2432">
        <f t="shared" si="146"/>
        <v>2.0000000000000001E-4</v>
      </c>
      <c r="O38" s="2417">
        <f t="shared" si="146"/>
        <v>1.1999999999999999E-3</v>
      </c>
      <c r="P38" s="2417">
        <f t="shared" si="146"/>
        <v>-8.0000000000000004E-4</v>
      </c>
      <c r="Q38" s="2417">
        <f t="shared" si="146"/>
        <v>1.24E-2</v>
      </c>
      <c r="R38" s="2433"/>
      <c r="S38" s="2432"/>
      <c r="T38" s="2417"/>
      <c r="U38" s="2417"/>
      <c r="V38" s="2417"/>
    </row>
    <row r="39" spans="1:26" ht="13.8" thickBot="1">
      <c r="A39" s="2429" t="s">
        <v>1137</v>
      </c>
      <c r="B39" s="2430">
        <f>B38/(1+N38)</f>
        <v>275.19025476197027</v>
      </c>
      <c r="C39" s="2481">
        <v>232</v>
      </c>
      <c r="D39" s="2481">
        <f t="shared" si="144"/>
        <v>232</v>
      </c>
      <c r="E39" s="2430">
        <f t="shared" si="155"/>
        <v>375.65990977608692</v>
      </c>
      <c r="F39" s="2430">
        <f t="shared" si="155"/>
        <v>214.12518283971252</v>
      </c>
      <c r="G39" s="3434"/>
      <c r="H39" s="2431">
        <v>1</v>
      </c>
      <c r="I39" s="2431">
        <v>0.02</v>
      </c>
      <c r="J39" s="2431">
        <v>0.13</v>
      </c>
      <c r="K39" s="2431">
        <v>-0.04</v>
      </c>
      <c r="L39" s="2437">
        <v>0.46</v>
      </c>
      <c r="N39" s="2432">
        <f t="shared" si="146"/>
        <v>2.0000000000000001E-4</v>
      </c>
      <c r="O39" s="2417">
        <f t="shared" si="146"/>
        <v>1.2999999999999999E-3</v>
      </c>
      <c r="P39" s="2417">
        <f t="shared" si="146"/>
        <v>-4.0000000000000002E-4</v>
      </c>
      <c r="Q39" s="2417">
        <f t="shared" si="146"/>
        <v>4.5999999999999999E-3</v>
      </c>
      <c r="R39" s="2433"/>
      <c r="S39" s="2448">
        <f>B39/B40-1</f>
        <v>6.9183549807361189E-4</v>
      </c>
      <c r="T39" s="2449">
        <f>C39/C40-1</f>
        <v>0</v>
      </c>
      <c r="U39" s="2449">
        <f>E39/E40-1</f>
        <v>-9.0449527636460303E-4</v>
      </c>
      <c r="V39" s="2449">
        <f>F39/F40-1</f>
        <v>5.2825485432512753E-3</v>
      </c>
      <c r="X39" s="2417"/>
      <c r="Y39" s="2417"/>
      <c r="Z39" s="2417"/>
    </row>
    <row r="40" spans="1:26" ht="13.8" thickBot="1">
      <c r="A40" s="2429" t="s">
        <v>1138</v>
      </c>
      <c r="B40" s="2444">
        <v>275</v>
      </c>
      <c r="C40" s="2444">
        <v>232</v>
      </c>
      <c r="D40" s="2444">
        <f t="shared" si="144"/>
        <v>232</v>
      </c>
      <c r="E40" s="2444">
        <v>376</v>
      </c>
      <c r="F40" s="2445">
        <v>213</v>
      </c>
      <c r="G40" s="3432">
        <v>2011</v>
      </c>
      <c r="H40" s="2450">
        <v>4</v>
      </c>
      <c r="I40" s="2450">
        <v>-0.2</v>
      </c>
      <c r="J40" s="2450">
        <v>0.04</v>
      </c>
      <c r="K40" s="2450">
        <v>-0.34</v>
      </c>
      <c r="L40" s="2451">
        <v>0.46</v>
      </c>
      <c r="N40" s="2452">
        <f t="shared" si="146"/>
        <v>-2E-3</v>
      </c>
      <c r="O40" s="2453">
        <f t="shared" si="146"/>
        <v>4.0000000000000002E-4</v>
      </c>
      <c r="P40" s="2453">
        <f t="shared" si="146"/>
        <v>-3.4000000000000002E-3</v>
      </c>
      <c r="Q40" s="2453">
        <f t="shared" si="146"/>
        <v>4.5999999999999999E-3</v>
      </c>
      <c r="R40" s="2433"/>
      <c r="S40" s="2446"/>
      <c r="T40" s="2447"/>
      <c r="U40" s="2447"/>
      <c r="V40" s="2447"/>
      <c r="X40" s="2447"/>
      <c r="Y40" s="2447"/>
      <c r="Z40" s="2447"/>
    </row>
    <row r="41" spans="1:26">
      <c r="A41" s="2429" t="s">
        <v>1139</v>
      </c>
      <c r="B41" s="2430">
        <f t="shared" ref="B41:C43" si="156">B40/(1+N40)</f>
        <v>275.55110220440883</v>
      </c>
      <c r="C41" s="2430">
        <f t="shared" si="156"/>
        <v>231.90723710515795</v>
      </c>
      <c r="D41" s="2430">
        <f t="shared" si="144"/>
        <v>231.90723710515795</v>
      </c>
      <c r="E41" s="2430">
        <f t="shared" ref="E41:F43" si="157">E40/(1+P40)</f>
        <v>377.28276138872161</v>
      </c>
      <c r="F41" s="2430">
        <f t="shared" si="157"/>
        <v>212.02468644236512</v>
      </c>
      <c r="G41" s="3433">
        <v>2011</v>
      </c>
      <c r="H41" s="2455">
        <v>3</v>
      </c>
      <c r="I41" s="2455">
        <v>0.13</v>
      </c>
      <c r="J41" s="2455">
        <v>0.75</v>
      </c>
      <c r="K41" s="2455">
        <v>-0.08</v>
      </c>
      <c r="L41" s="2456">
        <v>0.53</v>
      </c>
      <c r="N41" s="2432">
        <f t="shared" si="146"/>
        <v>1.2999999999999999E-3</v>
      </c>
      <c r="O41" s="2457">
        <f t="shared" si="146"/>
        <v>7.4999999999999997E-3</v>
      </c>
      <c r="P41" s="2457">
        <f t="shared" si="146"/>
        <v>-8.0000000000000004E-4</v>
      </c>
      <c r="Q41" s="2457">
        <f t="shared" si="146"/>
        <v>5.3E-3</v>
      </c>
      <c r="R41" s="2433"/>
      <c r="S41" s="2432"/>
      <c r="T41" s="2417"/>
      <c r="U41" s="2417"/>
      <c r="V41" s="2417"/>
    </row>
    <row r="42" spans="1:26">
      <c r="A42" s="2429" t="s">
        <v>1140</v>
      </c>
      <c r="B42" s="2430">
        <f t="shared" si="156"/>
        <v>275.19335084830601</v>
      </c>
      <c r="C42" s="2430">
        <f t="shared" si="156"/>
        <v>230.18088050139744</v>
      </c>
      <c r="D42" s="2430">
        <f t="shared" si="144"/>
        <v>230.18088050139744</v>
      </c>
      <c r="E42" s="2430">
        <f t="shared" si="157"/>
        <v>377.58482925212331</v>
      </c>
      <c r="F42" s="2430">
        <f t="shared" si="157"/>
        <v>210.90687997847917</v>
      </c>
      <c r="G42" s="3433">
        <v>2011</v>
      </c>
      <c r="H42" s="2442">
        <v>2</v>
      </c>
      <c r="I42" s="2442">
        <v>-0.4</v>
      </c>
      <c r="J42" s="2442">
        <v>0.17</v>
      </c>
      <c r="K42" s="2442">
        <v>-0.57999999999999996</v>
      </c>
      <c r="L42" s="2443">
        <v>-0.2</v>
      </c>
      <c r="N42" s="2432">
        <f t="shared" si="146"/>
        <v>-4.0000000000000001E-3</v>
      </c>
      <c r="O42" s="2457">
        <f t="shared" si="146"/>
        <v>1.7000000000000001E-3</v>
      </c>
      <c r="P42" s="2457">
        <f t="shared" si="146"/>
        <v>-5.7999999999999996E-3</v>
      </c>
      <c r="Q42" s="2457">
        <f t="shared" si="146"/>
        <v>-2E-3</v>
      </c>
      <c r="R42" s="2433"/>
      <c r="S42" s="2432"/>
      <c r="T42" s="2417"/>
      <c r="U42" s="2417"/>
      <c r="V42" s="2417"/>
    </row>
    <row r="43" spans="1:26" ht="13.8" thickBot="1">
      <c r="A43" s="2429" t="s">
        <v>1141</v>
      </c>
      <c r="B43" s="2430">
        <f t="shared" si="156"/>
        <v>276.29854502841971</v>
      </c>
      <c r="C43" s="2430">
        <f t="shared" si="156"/>
        <v>229.79023709833027</v>
      </c>
      <c r="D43" s="2430">
        <f t="shared" si="144"/>
        <v>229.79023709833027</v>
      </c>
      <c r="E43" s="2430">
        <f t="shared" si="157"/>
        <v>379.78759731655936</v>
      </c>
      <c r="F43" s="2430">
        <f t="shared" si="157"/>
        <v>211.32953905659235</v>
      </c>
      <c r="G43" s="3434">
        <v>2011</v>
      </c>
      <c r="H43" s="2431">
        <v>1</v>
      </c>
      <c r="I43" s="2431">
        <v>2.65</v>
      </c>
      <c r="J43" s="2431">
        <v>3.76</v>
      </c>
      <c r="K43" s="2431">
        <v>1.89</v>
      </c>
      <c r="L43" s="2437">
        <v>7.95</v>
      </c>
      <c r="N43" s="2448">
        <f t="shared" si="146"/>
        <v>2.6499999999999999E-2</v>
      </c>
      <c r="O43" s="2449">
        <f t="shared" si="146"/>
        <v>3.7599999999999995E-2</v>
      </c>
      <c r="P43" s="2449">
        <f t="shared" si="146"/>
        <v>1.89E-2</v>
      </c>
      <c r="Q43" s="2449">
        <f t="shared" si="146"/>
        <v>7.9500000000000001E-2</v>
      </c>
      <c r="R43" s="2433"/>
      <c r="S43" s="2448">
        <f>B43/B44-1</f>
        <v>2.713213765211786E-2</v>
      </c>
      <c r="T43" s="2449">
        <f>C43/C44-1</f>
        <v>3.9774828499231862E-2</v>
      </c>
      <c r="U43" s="2449">
        <f>E43/E44-1</f>
        <v>1.8197311840641772E-2</v>
      </c>
      <c r="V43" s="2449">
        <f>F43/F44-1</f>
        <v>7.8211933962205826E-2</v>
      </c>
      <c r="X43" s="2417"/>
      <c r="Y43" s="2417"/>
      <c r="Z43" s="2417"/>
    </row>
    <row r="44" spans="1:26" ht="13.8" thickBot="1">
      <c r="A44" s="2429" t="s">
        <v>1142</v>
      </c>
      <c r="B44" s="2444">
        <v>269</v>
      </c>
      <c r="C44" s="2444">
        <v>221</v>
      </c>
      <c r="D44" s="2444">
        <f t="shared" si="144"/>
        <v>221</v>
      </c>
      <c r="E44" s="2444">
        <v>373</v>
      </c>
      <c r="F44" s="2445">
        <v>196</v>
      </c>
      <c r="G44" s="3432">
        <v>2010</v>
      </c>
      <c r="H44" s="2450">
        <v>4</v>
      </c>
      <c r="I44" s="2450">
        <v>5.72</v>
      </c>
      <c r="J44" s="2450">
        <v>6.57</v>
      </c>
      <c r="K44" s="2450">
        <v>5.72</v>
      </c>
      <c r="L44" s="2451">
        <v>2.72</v>
      </c>
      <c r="N44" s="2432">
        <f t="shared" si="146"/>
        <v>5.7200000000000001E-2</v>
      </c>
      <c r="O44" s="2417">
        <f t="shared" si="146"/>
        <v>6.5700000000000008E-2</v>
      </c>
      <c r="P44" s="2417">
        <f t="shared" si="146"/>
        <v>5.7200000000000001E-2</v>
      </c>
      <c r="Q44" s="2417">
        <f t="shared" si="146"/>
        <v>2.7200000000000002E-2</v>
      </c>
      <c r="R44" s="2433"/>
      <c r="S44" s="2446"/>
      <c r="T44" s="2447"/>
      <c r="U44" s="2447"/>
      <c r="V44" s="2447"/>
      <c r="X44" s="2447"/>
      <c r="Y44" s="2447"/>
      <c r="Z44" s="2447"/>
    </row>
    <row r="45" spans="1:26">
      <c r="A45" s="2429" t="s">
        <v>1143</v>
      </c>
      <c r="B45" s="2430">
        <f t="shared" ref="B45:C47" si="158">B44/(1+N44)</f>
        <v>254.44570563753314</v>
      </c>
      <c r="C45" s="2430">
        <f t="shared" si="158"/>
        <v>207.37543398705074</v>
      </c>
      <c r="D45" s="2430">
        <f t="shared" si="144"/>
        <v>207.37543398705074</v>
      </c>
      <c r="E45" s="2430">
        <f t="shared" ref="E45:F47" si="159">E44/(1+P44)</f>
        <v>352.81876655315932</v>
      </c>
      <c r="F45" s="2430">
        <f t="shared" si="159"/>
        <v>190.809968847352</v>
      </c>
      <c r="G45" s="3433">
        <v>2010</v>
      </c>
      <c r="H45" s="2455">
        <v>3</v>
      </c>
      <c r="I45" s="2455">
        <v>4.7300000000000004</v>
      </c>
      <c r="J45" s="2455">
        <v>3.9</v>
      </c>
      <c r="K45" s="2455">
        <v>5.03</v>
      </c>
      <c r="L45" s="2456">
        <v>4.21</v>
      </c>
      <c r="N45" s="2432">
        <f t="shared" si="146"/>
        <v>4.7300000000000002E-2</v>
      </c>
      <c r="O45" s="2417">
        <f t="shared" si="146"/>
        <v>3.9E-2</v>
      </c>
      <c r="P45" s="2417">
        <f t="shared" si="146"/>
        <v>5.0300000000000004E-2</v>
      </c>
      <c r="Q45" s="2417">
        <f t="shared" si="146"/>
        <v>4.2099999999999999E-2</v>
      </c>
      <c r="R45" s="2433"/>
      <c r="S45" s="2432"/>
      <c r="T45" s="2417"/>
      <c r="U45" s="2417"/>
      <c r="V45" s="2417"/>
    </row>
    <row r="46" spans="1:26">
      <c r="A46" s="2429" t="s">
        <v>1144</v>
      </c>
      <c r="B46" s="2430">
        <f t="shared" si="158"/>
        <v>242.95398227588385</v>
      </c>
      <c r="C46" s="2430">
        <f t="shared" si="158"/>
        <v>199.59137053614126</v>
      </c>
      <c r="D46" s="2430">
        <f t="shared" si="144"/>
        <v>199.59137053614126</v>
      </c>
      <c r="E46" s="2430">
        <f t="shared" si="159"/>
        <v>335.92189522342125</v>
      </c>
      <c r="F46" s="2430">
        <f t="shared" si="159"/>
        <v>183.10139991109489</v>
      </c>
      <c r="G46" s="3433">
        <v>2010</v>
      </c>
      <c r="H46" s="2442">
        <v>2</v>
      </c>
      <c r="I46" s="2442">
        <v>4.6900000000000004</v>
      </c>
      <c r="J46" s="2442">
        <v>3.55</v>
      </c>
      <c r="K46" s="2442">
        <v>5.07</v>
      </c>
      <c r="L46" s="2443">
        <v>4.2300000000000004</v>
      </c>
      <c r="N46" s="2432">
        <f t="shared" si="146"/>
        <v>4.6900000000000004E-2</v>
      </c>
      <c r="O46" s="2417">
        <f t="shared" si="146"/>
        <v>3.5499999999999997E-2</v>
      </c>
      <c r="P46" s="2417">
        <f t="shared" si="146"/>
        <v>5.0700000000000002E-2</v>
      </c>
      <c r="Q46" s="2417">
        <f t="shared" si="146"/>
        <v>4.2300000000000004E-2</v>
      </c>
      <c r="R46" s="2433"/>
      <c r="S46" s="2432"/>
      <c r="T46" s="2417"/>
      <c r="U46" s="2417"/>
      <c r="V46" s="2417"/>
    </row>
    <row r="47" spans="1:26" ht="13.8" thickBot="1">
      <c r="A47" s="2429" t="s">
        <v>1145</v>
      </c>
      <c r="B47" s="2430">
        <f t="shared" si="158"/>
        <v>232.06990378821649</v>
      </c>
      <c r="C47" s="2430">
        <f t="shared" si="158"/>
        <v>192.74878854286936</v>
      </c>
      <c r="D47" s="2430">
        <f t="shared" si="144"/>
        <v>192.74878854286936</v>
      </c>
      <c r="E47" s="2430">
        <f t="shared" si="159"/>
        <v>319.71247284992984</v>
      </c>
      <c r="F47" s="2430">
        <f t="shared" si="159"/>
        <v>175.67053622862409</v>
      </c>
      <c r="G47" s="3434">
        <v>2010</v>
      </c>
      <c r="H47" s="2431">
        <v>1</v>
      </c>
      <c r="I47" s="2431">
        <v>5.4</v>
      </c>
      <c r="J47" s="2431">
        <v>3.2</v>
      </c>
      <c r="K47" s="2431">
        <v>6.16</v>
      </c>
      <c r="L47" s="2437">
        <v>4.51</v>
      </c>
      <c r="N47" s="2432">
        <f t="shared" si="146"/>
        <v>5.4000000000000006E-2</v>
      </c>
      <c r="O47" s="2417">
        <f t="shared" si="146"/>
        <v>3.2000000000000001E-2</v>
      </c>
      <c r="P47" s="2417">
        <f t="shared" si="146"/>
        <v>6.1600000000000002E-2</v>
      </c>
      <c r="Q47" s="2417">
        <f t="shared" si="146"/>
        <v>4.5100000000000001E-2</v>
      </c>
      <c r="R47" s="2433"/>
      <c r="S47" s="2448">
        <f>B47/B48-1</f>
        <v>5.4863199037347599E-2</v>
      </c>
      <c r="T47" s="2449">
        <f>C47/C48-1</f>
        <v>3.0742184721226584E-2</v>
      </c>
      <c r="U47" s="2449">
        <f>E47/E48-1</f>
        <v>6.2167683886810154E-2</v>
      </c>
      <c r="V47" s="2449">
        <f>F47/F48-1</f>
        <v>4.5657953741810031E-2</v>
      </c>
      <c r="X47" s="2417"/>
      <c r="Y47" s="2417"/>
      <c r="Z47" s="2417"/>
    </row>
    <row r="48" spans="1:26" ht="13.8" thickBot="1">
      <c r="A48" s="2429" t="s">
        <v>1146</v>
      </c>
      <c r="B48" s="2444">
        <v>220</v>
      </c>
      <c r="C48" s="2444">
        <v>187</v>
      </c>
      <c r="D48" s="2444">
        <f t="shared" si="144"/>
        <v>187</v>
      </c>
      <c r="E48" s="2444">
        <v>301</v>
      </c>
      <c r="F48" s="2445">
        <v>168</v>
      </c>
      <c r="G48" s="3432">
        <v>2009</v>
      </c>
      <c r="H48" s="2450">
        <v>4</v>
      </c>
      <c r="I48" s="2450">
        <v>2.2999999999999998</v>
      </c>
      <c r="J48" s="2450">
        <v>1.04</v>
      </c>
      <c r="K48" s="2450">
        <v>2.84</v>
      </c>
      <c r="L48" s="2451">
        <v>0.67</v>
      </c>
      <c r="N48" s="2452">
        <f t="shared" si="146"/>
        <v>2.3E-2</v>
      </c>
      <c r="O48" s="2453">
        <f t="shared" si="146"/>
        <v>1.04E-2</v>
      </c>
      <c r="P48" s="2453">
        <f t="shared" si="146"/>
        <v>2.8399999999999998E-2</v>
      </c>
      <c r="Q48" s="2453">
        <f t="shared" si="146"/>
        <v>6.7000000000000002E-3</v>
      </c>
      <c r="R48" s="2433"/>
      <c r="S48" s="2446"/>
      <c r="T48" s="2447"/>
      <c r="U48" s="2447"/>
      <c r="V48" s="2447"/>
      <c r="X48" s="2447"/>
      <c r="Y48" s="2447"/>
      <c r="Z48" s="2447"/>
    </row>
    <row r="49" spans="1:26">
      <c r="A49" s="2429" t="s">
        <v>1147</v>
      </c>
      <c r="B49" s="2430">
        <f t="shared" ref="B49:C51" si="160">B48/(1+N48)</f>
        <v>215.05376344086022</v>
      </c>
      <c r="C49" s="2430">
        <f t="shared" si="160"/>
        <v>185.0752177355503</v>
      </c>
      <c r="D49" s="2430">
        <f t="shared" si="144"/>
        <v>185.0752177355503</v>
      </c>
      <c r="E49" s="2430">
        <f t="shared" ref="E49:F51" si="161">E48/(1+P48)</f>
        <v>292.68767016725008</v>
      </c>
      <c r="F49" s="2430">
        <f t="shared" si="161"/>
        <v>166.88189132810174</v>
      </c>
      <c r="G49" s="3433">
        <v>2009</v>
      </c>
      <c r="H49" s="2455">
        <v>3</v>
      </c>
      <c r="I49" s="2455">
        <v>2.1</v>
      </c>
      <c r="J49" s="2455">
        <v>1.86</v>
      </c>
      <c r="K49" s="2455">
        <v>2.29</v>
      </c>
      <c r="L49" s="2456">
        <v>0.85</v>
      </c>
      <c r="N49" s="2432">
        <f t="shared" si="146"/>
        <v>2.1000000000000001E-2</v>
      </c>
      <c r="O49" s="2457">
        <f t="shared" si="146"/>
        <v>1.8600000000000002E-2</v>
      </c>
      <c r="P49" s="2457">
        <f t="shared" si="146"/>
        <v>2.29E-2</v>
      </c>
      <c r="Q49" s="2457">
        <f t="shared" si="146"/>
        <v>8.5000000000000006E-3</v>
      </c>
      <c r="R49" s="2433"/>
      <c r="S49" s="2432"/>
      <c r="T49" s="2417"/>
      <c r="U49" s="2417"/>
      <c r="V49" s="2417"/>
    </row>
    <row r="50" spans="1:26">
      <c r="A50" s="2429" t="s">
        <v>1148</v>
      </c>
      <c r="B50" s="2430">
        <f t="shared" si="160"/>
        <v>210.630522469011</v>
      </c>
      <c r="C50" s="2430">
        <f t="shared" si="160"/>
        <v>181.69567812247232</v>
      </c>
      <c r="D50" s="2430">
        <f t="shared" si="144"/>
        <v>181.69567812247232</v>
      </c>
      <c r="E50" s="2430">
        <f t="shared" si="161"/>
        <v>286.13517466736738</v>
      </c>
      <c r="F50" s="2430">
        <f t="shared" si="161"/>
        <v>165.47535084591149</v>
      </c>
      <c r="G50" s="3433">
        <v>2009</v>
      </c>
      <c r="H50" s="2442">
        <v>2</v>
      </c>
      <c r="I50" s="2442">
        <v>0.86</v>
      </c>
      <c r="J50" s="2442">
        <v>-1.1299999999999999</v>
      </c>
      <c r="K50" s="2442">
        <v>1.79</v>
      </c>
      <c r="L50" s="2443">
        <v>-2.0699999999999998</v>
      </c>
      <c r="N50" s="2432">
        <f t="shared" si="146"/>
        <v>8.6E-3</v>
      </c>
      <c r="O50" s="2457">
        <f t="shared" si="146"/>
        <v>-1.1299999999999999E-2</v>
      </c>
      <c r="P50" s="2457">
        <f t="shared" si="146"/>
        <v>1.7899999999999999E-2</v>
      </c>
      <c r="Q50" s="2457">
        <f t="shared" si="146"/>
        <v>-2.07E-2</v>
      </c>
      <c r="R50" s="2433"/>
      <c r="S50" s="2432"/>
      <c r="T50" s="2417"/>
      <c r="U50" s="2417"/>
      <c r="V50" s="2417"/>
    </row>
    <row r="51" spans="1:26">
      <c r="A51" s="2429" t="s">
        <v>1149</v>
      </c>
      <c r="B51" s="2430">
        <f t="shared" si="160"/>
        <v>208.83454537875372</v>
      </c>
      <c r="C51" s="2430">
        <f t="shared" si="160"/>
        <v>183.77230517090351</v>
      </c>
      <c r="D51" s="2430">
        <f t="shared" si="144"/>
        <v>183.77230517090351</v>
      </c>
      <c r="E51" s="2430">
        <f t="shared" si="161"/>
        <v>281.10342338870947</v>
      </c>
      <c r="F51" s="2430">
        <f t="shared" si="161"/>
        <v>168.97309388942256</v>
      </c>
      <c r="G51" s="3434">
        <v>2009</v>
      </c>
      <c r="H51" s="2431">
        <v>1</v>
      </c>
      <c r="I51" s="2431">
        <v>-2.64</v>
      </c>
      <c r="J51" s="2431">
        <v>-2.5299999999999998</v>
      </c>
      <c r="K51" s="2431">
        <v>-3.02</v>
      </c>
      <c r="L51" s="2437">
        <v>1.52</v>
      </c>
      <c r="N51" s="2448">
        <f t="shared" si="146"/>
        <v>-2.64E-2</v>
      </c>
      <c r="O51" s="2449">
        <f t="shared" si="146"/>
        <v>-2.53E-2</v>
      </c>
      <c r="P51" s="2449">
        <f t="shared" si="146"/>
        <v>-3.0200000000000001E-2</v>
      </c>
      <c r="Q51" s="2449">
        <f t="shared" si="146"/>
        <v>1.52E-2</v>
      </c>
      <c r="R51" s="2433"/>
      <c r="S51" s="2448">
        <f>B51/B52-1</f>
        <v>-2.4137638417038754E-2</v>
      </c>
      <c r="T51" s="2449">
        <f>C51/C52-1</f>
        <v>-2.248773845264096E-2</v>
      </c>
      <c r="U51" s="2449">
        <f>E51/E52-1</f>
        <v>-2.7323794502735366E-2</v>
      </c>
      <c r="V51" s="2449">
        <f>F51/F52-1</f>
        <v>1.7910204153148035E-2</v>
      </c>
      <c r="X51" s="2417"/>
      <c r="Y51" s="2417"/>
      <c r="Z51" s="2417"/>
    </row>
    <row r="52" spans="1:26" ht="13.8" thickBot="1">
      <c r="A52" s="2429" t="s">
        <v>1150</v>
      </c>
      <c r="B52" s="2479">
        <v>214</v>
      </c>
      <c r="C52" s="2479">
        <v>188</v>
      </c>
      <c r="D52" s="2479">
        <f t="shared" si="144"/>
        <v>188</v>
      </c>
      <c r="E52" s="2479">
        <v>289</v>
      </c>
      <c r="F52" s="2480">
        <v>166</v>
      </c>
      <c r="G52" s="3432">
        <v>2008</v>
      </c>
      <c r="H52" s="2450">
        <v>4</v>
      </c>
      <c r="I52" s="2450">
        <v>1.73</v>
      </c>
      <c r="J52" s="2450">
        <v>0.03</v>
      </c>
      <c r="K52" s="2450">
        <v>2.59</v>
      </c>
      <c r="L52" s="2451">
        <v>-1.66</v>
      </c>
      <c r="N52" s="2432">
        <f t="shared" si="146"/>
        <v>1.7299999999999999E-2</v>
      </c>
      <c r="O52" s="2417">
        <f t="shared" si="146"/>
        <v>2.9999999999999997E-4</v>
      </c>
      <c r="P52" s="2417">
        <f t="shared" si="146"/>
        <v>2.5899999999999999E-2</v>
      </c>
      <c r="Q52" s="2417">
        <f t="shared" si="146"/>
        <v>-1.66E-2</v>
      </c>
      <c r="R52" s="2433"/>
      <c r="S52" s="2446"/>
      <c r="T52" s="2447"/>
      <c r="U52" s="2447"/>
      <c r="V52" s="2447"/>
      <c r="X52" s="2447"/>
      <c r="Y52" s="2447"/>
      <c r="Z52" s="2447"/>
    </row>
    <row r="53" spans="1:26">
      <c r="A53" s="2429" t="s">
        <v>1151</v>
      </c>
      <c r="B53" s="2430">
        <f t="shared" ref="B53:C55" si="162">B52/(1+N52)</f>
        <v>210.36075887152265</v>
      </c>
      <c r="C53" s="2430">
        <f t="shared" si="162"/>
        <v>187.94361691492554</v>
      </c>
      <c r="D53" s="2430">
        <f t="shared" si="144"/>
        <v>187.94361691492554</v>
      </c>
      <c r="E53" s="2430">
        <f t="shared" ref="E53:F55" si="163">E52/(1+P52)</f>
        <v>281.70386977288234</v>
      </c>
      <c r="F53" s="2430">
        <f t="shared" si="163"/>
        <v>168.80211511083994</v>
      </c>
      <c r="G53" s="3433">
        <v>2008</v>
      </c>
      <c r="H53" s="2455">
        <v>3</v>
      </c>
      <c r="I53" s="2455">
        <v>1.96</v>
      </c>
      <c r="J53" s="2455">
        <v>2.36</v>
      </c>
      <c r="K53" s="2455">
        <v>1.82</v>
      </c>
      <c r="L53" s="2456">
        <v>2.2200000000000002</v>
      </c>
      <c r="N53" s="2432">
        <f t="shared" si="146"/>
        <v>1.9599999999999999E-2</v>
      </c>
      <c r="O53" s="2417">
        <f t="shared" si="146"/>
        <v>2.3599999999999999E-2</v>
      </c>
      <c r="P53" s="2417">
        <f t="shared" si="146"/>
        <v>1.8200000000000001E-2</v>
      </c>
      <c r="Q53" s="2417">
        <f t="shared" si="146"/>
        <v>2.2200000000000001E-2</v>
      </c>
      <c r="R53" s="2433"/>
      <c r="S53" s="2432"/>
      <c r="T53" s="2417"/>
      <c r="U53" s="2417"/>
      <c r="V53" s="2417"/>
    </row>
    <row r="54" spans="1:26">
      <c r="A54" s="2429" t="s">
        <v>1152</v>
      </c>
      <c r="B54" s="2430">
        <f t="shared" si="162"/>
        <v>206.31694671589116</v>
      </c>
      <c r="C54" s="2430">
        <f t="shared" si="162"/>
        <v>183.61041121036101</v>
      </c>
      <c r="D54" s="2430">
        <f t="shared" si="144"/>
        <v>183.61041121036101</v>
      </c>
      <c r="E54" s="2430">
        <f t="shared" si="163"/>
        <v>276.66850301795557</v>
      </c>
      <c r="F54" s="2430">
        <f t="shared" si="163"/>
        <v>165.1360938278614</v>
      </c>
      <c r="G54" s="3433">
        <v>2008</v>
      </c>
      <c r="H54" s="2442">
        <v>2</v>
      </c>
      <c r="I54" s="2442">
        <v>4.93</v>
      </c>
      <c r="J54" s="2442">
        <v>7.38</v>
      </c>
      <c r="K54" s="2442">
        <v>3.98</v>
      </c>
      <c r="L54" s="2443">
        <v>6.86</v>
      </c>
      <c r="N54" s="2432">
        <f t="shared" si="146"/>
        <v>4.9299999999999997E-2</v>
      </c>
      <c r="O54" s="2417">
        <f t="shared" si="146"/>
        <v>7.3800000000000004E-2</v>
      </c>
      <c r="P54" s="2417">
        <f t="shared" si="146"/>
        <v>3.9800000000000002E-2</v>
      </c>
      <c r="Q54" s="2417">
        <f t="shared" si="146"/>
        <v>6.8600000000000008E-2</v>
      </c>
      <c r="R54" s="2433"/>
      <c r="S54" s="2432"/>
      <c r="T54" s="2417"/>
      <c r="U54" s="2417"/>
      <c r="V54" s="2417"/>
    </row>
    <row r="55" spans="1:26" s="2485" customFormat="1" ht="13.8" thickBot="1">
      <c r="A55" s="2429" t="s">
        <v>1153</v>
      </c>
      <c r="B55" s="2482">
        <f t="shared" si="162"/>
        <v>196.62341248059772</v>
      </c>
      <c r="C55" s="2482">
        <f t="shared" si="162"/>
        <v>170.99125648199012</v>
      </c>
      <c r="D55" s="2482">
        <f t="shared" si="144"/>
        <v>170.99125648199012</v>
      </c>
      <c r="E55" s="2482">
        <f t="shared" si="163"/>
        <v>266.07857570490052</v>
      </c>
      <c r="F55" s="2482">
        <f t="shared" si="163"/>
        <v>154.53499328828505</v>
      </c>
      <c r="G55" s="3434">
        <v>2008</v>
      </c>
      <c r="H55" s="2483">
        <v>1</v>
      </c>
      <c r="I55" s="2483">
        <v>4.1399999999999997</v>
      </c>
      <c r="J55" s="2483">
        <v>3.45</v>
      </c>
      <c r="K55" s="2483">
        <v>4.95</v>
      </c>
      <c r="L55" s="2484">
        <v>4.82</v>
      </c>
      <c r="N55" s="2486">
        <f t="shared" si="146"/>
        <v>4.1399999999999999E-2</v>
      </c>
      <c r="O55" s="2487">
        <f t="shared" si="146"/>
        <v>3.4500000000000003E-2</v>
      </c>
      <c r="P55" s="2487">
        <f t="shared" si="146"/>
        <v>4.9500000000000002E-2</v>
      </c>
      <c r="Q55" s="2487">
        <f t="shared" si="146"/>
        <v>4.82E-2</v>
      </c>
      <c r="R55" s="2488"/>
      <c r="S55" s="2486">
        <f>B55/B56-1</f>
        <v>4.5869215322328349E-2</v>
      </c>
      <c r="T55" s="2487">
        <f>C55/C56-1</f>
        <v>3.6310645345394743E-2</v>
      </c>
      <c r="U55" s="2487">
        <f>E55/E56-1</f>
        <v>4.7553447657088688E-2</v>
      </c>
      <c r="V55" s="2487">
        <f>F55/F56-1</f>
        <v>4.4155360055980086E-2</v>
      </c>
      <c r="X55" s="2487"/>
      <c r="Y55" s="2487"/>
      <c r="Z55" s="2487"/>
    </row>
    <row r="56" spans="1:26" ht="13.8" thickBot="1">
      <c r="A56" s="2429" t="s">
        <v>1154</v>
      </c>
      <c r="B56" s="2444">
        <v>188</v>
      </c>
      <c r="C56" s="2444">
        <v>165</v>
      </c>
      <c r="D56" s="2444">
        <f t="shared" si="144"/>
        <v>165</v>
      </c>
      <c r="E56" s="2444">
        <v>254</v>
      </c>
      <c r="F56" s="2445">
        <v>148</v>
      </c>
      <c r="G56" s="3432">
        <v>2007</v>
      </c>
      <c r="H56" s="2489">
        <v>4</v>
      </c>
      <c r="I56" s="2489">
        <v>5.51</v>
      </c>
      <c r="J56" s="2489">
        <v>4.8899999999999997</v>
      </c>
      <c r="K56" s="2489">
        <v>6.43</v>
      </c>
      <c r="L56" s="2490">
        <v>5.36</v>
      </c>
      <c r="N56" s="2491">
        <f t="shared" ref="N56:O59" si="164">B56/B57-1</f>
        <v>4.1339718365245526E-2</v>
      </c>
      <c r="O56" s="2492">
        <f t="shared" si="164"/>
        <v>4.0324492593776018E-2</v>
      </c>
      <c r="P56" s="2492">
        <f t="shared" ref="P56:Q59" si="165">E56/E57-1</f>
        <v>6.1625555347990968E-2</v>
      </c>
      <c r="Q56" s="2492">
        <f t="shared" si="165"/>
        <v>4.6757569250590603E-2</v>
      </c>
      <c r="R56" s="2433"/>
      <c r="S56" s="2446"/>
      <c r="T56" s="2447"/>
      <c r="U56" s="2447"/>
      <c r="V56" s="2447"/>
      <c r="X56" s="2447"/>
      <c r="Y56" s="2447"/>
      <c r="Z56" s="2447"/>
    </row>
    <row r="57" spans="1:26">
      <c r="A57" s="2429" t="s">
        <v>1155</v>
      </c>
      <c r="B57" s="2430">
        <f t="shared" ref="B57:C59" si="166">B58+(B$56-B$60)*I57/SUM(I$56:I$59)</f>
        <v>180.5366651097618</v>
      </c>
      <c r="C57" s="2430">
        <f t="shared" si="166"/>
        <v>158.60435967302453</v>
      </c>
      <c r="D57" s="2430">
        <f t="shared" si="144"/>
        <v>158.60435967302453</v>
      </c>
      <c r="E57" s="2430">
        <f t="shared" ref="E57:F59" si="167">E58+(E$56-E$60)*K57/SUM(K$56:K$59)</f>
        <v>239.25573260785075</v>
      </c>
      <c r="F57" s="2430">
        <f t="shared" si="167"/>
        <v>141.38899430740037</v>
      </c>
      <c r="G57" s="3433">
        <v>2007</v>
      </c>
      <c r="H57" s="2455">
        <v>3</v>
      </c>
      <c r="I57" s="2455">
        <v>8.65</v>
      </c>
      <c r="J57" s="2455">
        <v>8.06</v>
      </c>
      <c r="K57" s="2455">
        <v>9.94</v>
      </c>
      <c r="L57" s="2456">
        <v>5.8</v>
      </c>
      <c r="N57" s="2491">
        <f t="shared" si="164"/>
        <v>6.940217571740015E-2</v>
      </c>
      <c r="O57" s="2492">
        <f t="shared" si="164"/>
        <v>7.1197482471153428E-2</v>
      </c>
      <c r="P57" s="2492">
        <f t="shared" si="165"/>
        <v>0.10529679922579582</v>
      </c>
      <c r="Q57" s="2492">
        <f t="shared" si="165"/>
        <v>5.3292245059512133E-2</v>
      </c>
      <c r="R57" s="2433"/>
      <c r="S57" s="2432"/>
      <c r="T57" s="2417"/>
      <c r="U57" s="2417"/>
      <c r="V57" s="2417"/>
      <c r="X57" s="2493"/>
      <c r="Y57" s="2493"/>
      <c r="Z57" s="2493"/>
    </row>
    <row r="58" spans="1:26">
      <c r="A58" s="2429" t="s">
        <v>1156</v>
      </c>
      <c r="B58" s="2430">
        <f t="shared" si="166"/>
        <v>168.82017748715555</v>
      </c>
      <c r="C58" s="2430">
        <f t="shared" si="166"/>
        <v>148.06267029972753</v>
      </c>
      <c r="D58" s="2430">
        <f t="shared" si="144"/>
        <v>148.06267029972753</v>
      </c>
      <c r="E58" s="2430">
        <f t="shared" si="167"/>
        <v>216.46288379323747</v>
      </c>
      <c r="F58" s="2430">
        <f t="shared" si="167"/>
        <v>134.23529411764704</v>
      </c>
      <c r="G58" s="3433">
        <v>2007</v>
      </c>
      <c r="H58" s="2442">
        <v>2</v>
      </c>
      <c r="I58" s="2442">
        <v>3.67</v>
      </c>
      <c r="J58" s="2442">
        <v>2.3199999999999998</v>
      </c>
      <c r="K58" s="2442">
        <v>5.0199999999999996</v>
      </c>
      <c r="L58" s="2443">
        <v>6.71</v>
      </c>
      <c r="N58" s="2491">
        <f t="shared" si="164"/>
        <v>3.0339138143848032E-2</v>
      </c>
      <c r="O58" s="2492">
        <f t="shared" si="164"/>
        <v>2.0922341588790472E-2</v>
      </c>
      <c r="P58" s="2492">
        <f t="shared" si="165"/>
        <v>5.6164796592717003E-2</v>
      </c>
      <c r="Q58" s="2492">
        <f t="shared" si="165"/>
        <v>6.5704536723887319E-2</v>
      </c>
      <c r="R58" s="2433"/>
      <c r="S58" s="2432"/>
      <c r="T58" s="2417"/>
      <c r="U58" s="2417"/>
      <c r="V58" s="2417"/>
      <c r="X58" s="2493"/>
      <c r="Y58" s="2493"/>
      <c r="Z58" s="2493"/>
    </row>
    <row r="59" spans="1:26">
      <c r="A59" s="2429" t="s">
        <v>1157</v>
      </c>
      <c r="B59" s="2430">
        <f t="shared" si="166"/>
        <v>163.84913591779542</v>
      </c>
      <c r="C59" s="2430">
        <f t="shared" si="166"/>
        <v>145.0283378746594</v>
      </c>
      <c r="D59" s="2430">
        <f t="shared" si="144"/>
        <v>145.0283378746594</v>
      </c>
      <c r="E59" s="2430">
        <f t="shared" si="167"/>
        <v>204.95180722891567</v>
      </c>
      <c r="F59" s="2430">
        <f t="shared" si="167"/>
        <v>125.95920303605313</v>
      </c>
      <c r="G59" s="3434">
        <v>2007</v>
      </c>
      <c r="H59" s="2431">
        <v>1</v>
      </c>
      <c r="I59" s="2431">
        <v>3.58</v>
      </c>
      <c r="J59" s="2431">
        <v>3.08</v>
      </c>
      <c r="K59" s="2431">
        <v>4.34</v>
      </c>
      <c r="L59" s="2437">
        <v>3.21</v>
      </c>
      <c r="N59" s="2494">
        <f t="shared" si="164"/>
        <v>3.0497710174814063E-2</v>
      </c>
      <c r="O59" s="2495">
        <f t="shared" si="164"/>
        <v>2.8569772160704998E-2</v>
      </c>
      <c r="P59" s="2495">
        <f t="shared" si="165"/>
        <v>5.1034908866234296E-2</v>
      </c>
      <c r="Q59" s="2495">
        <f t="shared" si="165"/>
        <v>3.245248390207478E-2</v>
      </c>
      <c r="R59" s="2433"/>
      <c r="S59" s="2448">
        <f>B59/B60-1</f>
        <v>3.0497710174814063E-2</v>
      </c>
      <c r="T59" s="2449">
        <f>C59/C60-1</f>
        <v>2.8569772160704998E-2</v>
      </c>
      <c r="U59" s="2449">
        <f>E59/E60-1</f>
        <v>5.1034908866234296E-2</v>
      </c>
      <c r="V59" s="2449">
        <f>F59/F60-1</f>
        <v>3.245248390207478E-2</v>
      </c>
      <c r="X59" s="2493"/>
      <c r="Y59" s="2493"/>
      <c r="Z59" s="2493"/>
    </row>
    <row r="60" spans="1:26" ht="13.8" thickBot="1">
      <c r="A60" s="2429" t="s">
        <v>1158</v>
      </c>
      <c r="B60" s="2458">
        <v>159</v>
      </c>
      <c r="C60" s="2458">
        <v>141</v>
      </c>
      <c r="D60" s="2458">
        <f t="shared" si="144"/>
        <v>141</v>
      </c>
      <c r="E60" s="2458">
        <v>195</v>
      </c>
      <c r="F60" s="2459">
        <v>122</v>
      </c>
      <c r="G60" s="3432">
        <v>2006</v>
      </c>
      <c r="H60" s="2450">
        <v>4</v>
      </c>
      <c r="I60" s="2450">
        <v>3.79</v>
      </c>
      <c r="J60" s="2450">
        <v>2.21</v>
      </c>
      <c r="K60" s="2450">
        <v>5.65</v>
      </c>
      <c r="L60" s="2451">
        <v>5.41</v>
      </c>
      <c r="N60" s="2491">
        <f t="shared" ref="N60:O63" si="168">I60/SUM(I$60:I$63)*(B$60/B$64-1)</f>
        <v>7.245466462748526E-2</v>
      </c>
      <c r="O60" s="2492">
        <f t="shared" si="168"/>
        <v>2.3237230038062766E-2</v>
      </c>
      <c r="P60" s="2492">
        <f t="shared" ref="P60:Q63" si="169">K60/SUM(K$60:K$63)*(E$60/E$64-1)</f>
        <v>0.16146893866323722</v>
      </c>
      <c r="Q60" s="2492">
        <f t="shared" si="169"/>
        <v>5.0755230321793784E-2</v>
      </c>
      <c r="R60" s="2433"/>
      <c r="S60" s="2446"/>
      <c r="T60" s="2447"/>
      <c r="U60" s="2447"/>
      <c r="V60" s="2447"/>
      <c r="X60" s="2493"/>
      <c r="Y60" s="2493"/>
      <c r="Z60" s="2493"/>
    </row>
    <row r="61" spans="1:26">
      <c r="A61" s="2429" t="s">
        <v>1159</v>
      </c>
      <c r="B61" s="2430">
        <f t="shared" ref="B61:C63" si="170">B62+(B$60-B$64)*I61/SUM(I$60:I$63)</f>
        <v>149.00125628140702</v>
      </c>
      <c r="C61" s="2430">
        <f t="shared" si="170"/>
        <v>137.95592286501378</v>
      </c>
      <c r="D61" s="2430">
        <f t="shared" si="144"/>
        <v>137.95592286501378</v>
      </c>
      <c r="E61" s="2430">
        <f t="shared" ref="E61:F63" si="171">E62+(E$60-E$64)*K61/SUM(K$60:K$63)</f>
        <v>169.97231450719823</v>
      </c>
      <c r="F61" s="2430">
        <f t="shared" si="171"/>
        <v>116.21390374331551</v>
      </c>
      <c r="G61" s="3433">
        <v>2006</v>
      </c>
      <c r="H61" s="2455">
        <v>3</v>
      </c>
      <c r="I61" s="2455">
        <v>0.92</v>
      </c>
      <c r="J61" s="2455">
        <v>1.08</v>
      </c>
      <c r="K61" s="2455">
        <v>0.73</v>
      </c>
      <c r="L61" s="2456">
        <v>1.08</v>
      </c>
      <c r="N61" s="2491">
        <f t="shared" si="168"/>
        <v>1.7587939698492462E-2</v>
      </c>
      <c r="O61" s="2492">
        <f t="shared" si="168"/>
        <v>1.1355750425840628E-2</v>
      </c>
      <c r="P61" s="2492">
        <f t="shared" si="169"/>
        <v>2.0862358446754544E-2</v>
      </c>
      <c r="Q61" s="2492">
        <f t="shared" si="169"/>
        <v>1.0132282578103011E-2</v>
      </c>
      <c r="R61" s="2433"/>
      <c r="S61" s="2432"/>
      <c r="T61" s="2417"/>
      <c r="U61" s="2417"/>
      <c r="V61" s="2417"/>
      <c r="X61" s="2493"/>
      <c r="Y61" s="2493"/>
      <c r="Z61" s="2493"/>
    </row>
    <row r="62" spans="1:26">
      <c r="A62" s="2429" t="s">
        <v>1160</v>
      </c>
      <c r="B62" s="2430">
        <f t="shared" si="170"/>
        <v>146.57412060301507</v>
      </c>
      <c r="C62" s="2430">
        <f t="shared" si="170"/>
        <v>136.46831955922866</v>
      </c>
      <c r="D62" s="2430">
        <f t="shared" si="144"/>
        <v>136.46831955922866</v>
      </c>
      <c r="E62" s="2430">
        <f t="shared" si="171"/>
        <v>166.73864894795128</v>
      </c>
      <c r="F62" s="2430">
        <f t="shared" si="171"/>
        <v>115.05882352941177</v>
      </c>
      <c r="G62" s="3433">
        <v>2006</v>
      </c>
      <c r="H62" s="2442">
        <v>2</v>
      </c>
      <c r="I62" s="2442">
        <v>0.96</v>
      </c>
      <c r="J62" s="2442">
        <v>0.25</v>
      </c>
      <c r="K62" s="2442">
        <v>1.9</v>
      </c>
      <c r="L62" s="2443">
        <v>0.95</v>
      </c>
      <c r="N62" s="2491">
        <f t="shared" si="168"/>
        <v>1.8352632728861701E-2</v>
      </c>
      <c r="O62" s="2492">
        <f t="shared" si="168"/>
        <v>2.6286459319075526E-3</v>
      </c>
      <c r="P62" s="2492">
        <f t="shared" si="169"/>
        <v>5.4299289107991269E-2</v>
      </c>
      <c r="Q62" s="2492">
        <f t="shared" si="169"/>
        <v>8.9126559714794995E-3</v>
      </c>
      <c r="R62" s="2433"/>
      <c r="S62" s="2432"/>
      <c r="T62" s="2417"/>
      <c r="U62" s="2417"/>
      <c r="V62" s="2417"/>
      <c r="X62" s="2493"/>
      <c r="Y62" s="2493"/>
      <c r="Z62" s="2493"/>
    </row>
    <row r="63" spans="1:26">
      <c r="A63" s="2429" t="s">
        <v>1161</v>
      </c>
      <c r="B63" s="2430">
        <f t="shared" si="170"/>
        <v>144.04145728643215</v>
      </c>
      <c r="C63" s="2430">
        <f t="shared" si="170"/>
        <v>136.12396694214877</v>
      </c>
      <c r="D63" s="2430">
        <f t="shared" si="144"/>
        <v>136.12396694214877</v>
      </c>
      <c r="E63" s="2430">
        <f t="shared" si="171"/>
        <v>158.32225913621264</v>
      </c>
      <c r="F63" s="2430">
        <f t="shared" si="171"/>
        <v>114.04278074866311</v>
      </c>
      <c r="G63" s="3434">
        <v>2006</v>
      </c>
      <c r="H63" s="2431">
        <v>1</v>
      </c>
      <c r="I63" s="2431">
        <v>2.29</v>
      </c>
      <c r="J63" s="2431">
        <v>3.72</v>
      </c>
      <c r="K63" s="2431">
        <v>0.75</v>
      </c>
      <c r="L63" s="2437">
        <v>0.04</v>
      </c>
      <c r="N63" s="2494">
        <f t="shared" si="168"/>
        <v>4.3778675988638847E-2</v>
      </c>
      <c r="O63" s="2495">
        <f t="shared" si="168"/>
        <v>3.9114251466784385E-2</v>
      </c>
      <c r="P63" s="2495">
        <f t="shared" si="169"/>
        <v>2.1433929911049188E-2</v>
      </c>
      <c r="Q63" s="2495">
        <f t="shared" si="169"/>
        <v>3.7526972511492629E-4</v>
      </c>
      <c r="R63" s="2433"/>
      <c r="S63" s="2448">
        <f>B63/B64-1</f>
        <v>4.3778675988638716E-2</v>
      </c>
      <c r="T63" s="2449">
        <f>C63/C64-1</f>
        <v>3.91142514667846E-2</v>
      </c>
      <c r="U63" s="2449">
        <f>E63/E64-1</f>
        <v>2.143392991104931E-2</v>
      </c>
      <c r="V63" s="2449">
        <f>F63/F64-1</f>
        <v>3.7526972511492396E-4</v>
      </c>
      <c r="X63" s="2493"/>
      <c r="Y63" s="2493"/>
      <c r="Z63" s="2493"/>
    </row>
    <row r="64" spans="1:26" ht="13.8" thickBot="1">
      <c r="A64" s="2429" t="s">
        <v>1162</v>
      </c>
      <c r="B64" s="2458">
        <v>138</v>
      </c>
      <c r="C64" s="2458">
        <v>131</v>
      </c>
      <c r="D64" s="2458">
        <f t="shared" si="144"/>
        <v>131</v>
      </c>
      <c r="E64" s="2458">
        <v>155</v>
      </c>
      <c r="F64" s="2459">
        <v>114</v>
      </c>
      <c r="G64" s="3432">
        <v>2005</v>
      </c>
      <c r="H64" s="2450">
        <v>4</v>
      </c>
      <c r="I64" s="2450">
        <v>3.29</v>
      </c>
      <c r="J64" s="2450">
        <v>1.44</v>
      </c>
      <c r="K64" s="2450">
        <v>0.66</v>
      </c>
      <c r="L64" s="2451">
        <v>7.78</v>
      </c>
      <c r="N64" s="2491">
        <f t="shared" ref="N64:O67" si="172">I64/SUM(I$64:I$67)*(B$64/B$68-1)</f>
        <v>9.9404603216919935E-2</v>
      </c>
      <c r="O64" s="2492">
        <f t="shared" si="172"/>
        <v>4.7636550760861554E-2</v>
      </c>
      <c r="P64" s="2492">
        <f t="shared" ref="P64:Q67" si="173">K64/SUM(K$64:K$67)*(E$64/E$68-1)</f>
        <v>8.3756345177664976E-2</v>
      </c>
      <c r="Q64" s="2492">
        <f t="shared" si="173"/>
        <v>5.2148766661559584E-2</v>
      </c>
      <c r="R64" s="2433"/>
      <c r="S64" s="2446"/>
      <c r="T64" s="2447"/>
      <c r="U64" s="2447"/>
      <c r="V64" s="2447"/>
      <c r="X64" s="2493"/>
      <c r="Y64" s="2493"/>
      <c r="Z64" s="2493"/>
    </row>
    <row r="65" spans="1:26">
      <c r="A65" s="2429" t="s">
        <v>1163</v>
      </c>
      <c r="B65" s="2430">
        <f t="shared" ref="B65:C67" si="174">B66+(B$64-B$68)*I65/SUM(I$64:I$67)</f>
        <v>125.9720430107527</v>
      </c>
      <c r="C65" s="2430">
        <f t="shared" si="174"/>
        <v>125.1883408071749</v>
      </c>
      <c r="D65" s="2430">
        <f t="shared" si="144"/>
        <v>125.1883408071749</v>
      </c>
      <c r="E65" s="2430">
        <f t="shared" ref="E65:F67" si="175">E66+(E$64-E$68)*K65/SUM(K$64:K$67)</f>
        <v>144.61421319796952</v>
      </c>
      <c r="F65" s="2430">
        <f t="shared" si="175"/>
        <v>108.42008196721311</v>
      </c>
      <c r="G65" s="3433">
        <v>2005</v>
      </c>
      <c r="H65" s="2455">
        <v>3</v>
      </c>
      <c r="I65" s="2455">
        <v>0.46</v>
      </c>
      <c r="J65" s="2455">
        <v>0.32</v>
      </c>
      <c r="K65" s="2455">
        <v>0.42</v>
      </c>
      <c r="L65" s="2456">
        <v>0.64</v>
      </c>
      <c r="N65" s="2491">
        <f t="shared" si="172"/>
        <v>1.3898515951301874E-2</v>
      </c>
      <c r="O65" s="2492">
        <f t="shared" si="172"/>
        <v>1.0585900169080346E-2</v>
      </c>
      <c r="P65" s="2492">
        <f t="shared" si="173"/>
        <v>5.3299492385786795E-2</v>
      </c>
      <c r="Q65" s="2492">
        <f t="shared" si="173"/>
        <v>4.2898728359123568E-3</v>
      </c>
      <c r="R65" s="2433"/>
      <c r="S65" s="2432"/>
      <c r="T65" s="2417"/>
      <c r="U65" s="2417"/>
      <c r="V65" s="2417"/>
      <c r="X65" s="2493"/>
      <c r="Y65" s="2493"/>
      <c r="Z65" s="2493"/>
    </row>
    <row r="66" spans="1:26">
      <c r="A66" s="2429" t="s">
        <v>1164</v>
      </c>
      <c r="B66" s="2430">
        <f t="shared" si="174"/>
        <v>124.29032258064517</v>
      </c>
      <c r="C66" s="2430">
        <f t="shared" si="174"/>
        <v>123.8968609865471</v>
      </c>
      <c r="D66" s="2430">
        <f t="shared" si="144"/>
        <v>123.8968609865471</v>
      </c>
      <c r="E66" s="2430">
        <f t="shared" si="175"/>
        <v>138.00507614213197</v>
      </c>
      <c r="F66" s="2430">
        <f t="shared" si="175"/>
        <v>107.96106557377048</v>
      </c>
      <c r="G66" s="3433">
        <v>2005</v>
      </c>
      <c r="H66" s="2442">
        <v>2</v>
      </c>
      <c r="I66" s="2442">
        <v>0.47</v>
      </c>
      <c r="J66" s="2442">
        <v>0.1</v>
      </c>
      <c r="K66" s="2442">
        <v>0.52</v>
      </c>
      <c r="L66" s="2443">
        <v>0.79</v>
      </c>
      <c r="N66" s="2491">
        <f t="shared" si="172"/>
        <v>1.420065760241713E-2</v>
      </c>
      <c r="O66" s="2492">
        <f t="shared" si="172"/>
        <v>3.3080938028376083E-3</v>
      </c>
      <c r="P66" s="2492">
        <f t="shared" si="173"/>
        <v>6.598984771573603E-2</v>
      </c>
      <c r="Q66" s="2492">
        <f t="shared" si="173"/>
        <v>5.2953117818293153E-3</v>
      </c>
      <c r="R66" s="2433"/>
      <c r="S66" s="2432"/>
      <c r="T66" s="2417"/>
      <c r="U66" s="2417"/>
      <c r="V66" s="2417"/>
      <c r="X66" s="2493"/>
      <c r="Y66" s="2493"/>
      <c r="Z66" s="2493"/>
    </row>
    <row r="67" spans="1:26">
      <c r="A67" s="2429" t="s">
        <v>1165</v>
      </c>
      <c r="B67" s="2430">
        <f t="shared" si="174"/>
        <v>122.57204301075269</v>
      </c>
      <c r="C67" s="2430">
        <f t="shared" si="174"/>
        <v>123.4932735426009</v>
      </c>
      <c r="D67" s="2430">
        <f t="shared" si="144"/>
        <v>123.4932735426009</v>
      </c>
      <c r="E67" s="2430">
        <f t="shared" si="175"/>
        <v>129.82233502538071</v>
      </c>
      <c r="F67" s="2430">
        <f t="shared" si="175"/>
        <v>107.39446721311475</v>
      </c>
      <c r="G67" s="3434">
        <v>2005</v>
      </c>
      <c r="H67" s="2431">
        <v>1</v>
      </c>
      <c r="I67" s="2431">
        <v>0.43</v>
      </c>
      <c r="J67" s="2431">
        <v>0.37</v>
      </c>
      <c r="K67" s="2431">
        <v>0.37</v>
      </c>
      <c r="L67" s="2437">
        <v>0.55000000000000004</v>
      </c>
      <c r="N67" s="2494">
        <f t="shared" si="172"/>
        <v>1.2992090997956099E-2</v>
      </c>
      <c r="O67" s="2495">
        <f t="shared" si="172"/>
        <v>1.2239947070499151E-2</v>
      </c>
      <c r="P67" s="2495">
        <f t="shared" si="173"/>
        <v>4.6954314720812178E-2</v>
      </c>
      <c r="Q67" s="2495">
        <f t="shared" si="173"/>
        <v>3.6866094683621815E-3</v>
      </c>
      <c r="R67" s="2433"/>
      <c r="S67" s="2448">
        <f>B67/B68-1</f>
        <v>1.2992090997956174E-2</v>
      </c>
      <c r="T67" s="2449">
        <f>C67/C68-1</f>
        <v>1.2239947070499246E-2</v>
      </c>
      <c r="U67" s="2449">
        <f>E67/E68-1</f>
        <v>4.695431472081224E-2</v>
      </c>
      <c r="V67" s="2449">
        <f>F67/F68-1</f>
        <v>3.6866094683620787E-3</v>
      </c>
      <c r="X67" s="2493"/>
      <c r="Y67" s="2493"/>
      <c r="Z67" s="2493"/>
    </row>
    <row r="68" spans="1:26" ht="13.8" thickBot="1">
      <c r="A68" s="2429" t="s">
        <v>1166</v>
      </c>
      <c r="B68" s="2479">
        <v>121</v>
      </c>
      <c r="C68" s="2479">
        <v>122</v>
      </c>
      <c r="D68" s="2479">
        <f t="shared" si="144"/>
        <v>122</v>
      </c>
      <c r="E68" s="2479">
        <v>124</v>
      </c>
      <c r="F68" s="2480">
        <v>107</v>
      </c>
      <c r="G68" s="3432">
        <v>2004</v>
      </c>
      <c r="H68" s="2450">
        <v>4</v>
      </c>
      <c r="I68" s="2450">
        <v>0.33</v>
      </c>
      <c r="J68" s="2450">
        <v>0.5</v>
      </c>
      <c r="K68" s="2450">
        <v>0.5</v>
      </c>
      <c r="L68" s="2451">
        <v>0</v>
      </c>
      <c r="N68" s="2491">
        <f t="shared" ref="N68:O71" si="176">I68/SUM(I$68:I$71)*(B$68/B$72-1)</f>
        <v>1.3391770148526898E-2</v>
      </c>
      <c r="O68" s="2492">
        <f t="shared" si="176"/>
        <v>1.063264221158958E-2</v>
      </c>
      <c r="P68" s="2492">
        <f t="shared" ref="P68:Q71" si="177">K68/SUM(K$68:K$71)*(E$68/E$72-1)</f>
        <v>2.2244466688911134E-2</v>
      </c>
      <c r="Q68" s="2492">
        <f t="shared" si="177"/>
        <v>0</v>
      </c>
      <c r="R68" s="2433"/>
      <c r="S68" s="2446"/>
      <c r="T68" s="2447"/>
      <c r="U68" s="2447"/>
      <c r="V68" s="2447"/>
      <c r="X68" s="2493"/>
      <c r="Y68" s="2493"/>
      <c r="Z68" s="2493"/>
    </row>
    <row r="69" spans="1:26">
      <c r="A69" s="2429" t="s">
        <v>1167</v>
      </c>
      <c r="B69" s="2430">
        <f t="shared" ref="B69:C71" si="178">B70+(B$68-B$72)*I69/SUM(I$68:I$71)</f>
        <v>119.51351351351352</v>
      </c>
      <c r="C69" s="2430">
        <f t="shared" si="178"/>
        <v>120.7878787878788</v>
      </c>
      <c r="D69" s="2430">
        <f t="shared" si="144"/>
        <v>120.7878787878788</v>
      </c>
      <c r="E69" s="2430">
        <f t="shared" ref="E69:F71" si="179">E70+(E$68-E$72)*K69/SUM(K$68:K$71)</f>
        <v>121.5975975975976</v>
      </c>
      <c r="F69" s="2430">
        <f t="shared" si="179"/>
        <v>107</v>
      </c>
      <c r="G69" s="3433">
        <v>2004</v>
      </c>
      <c r="H69" s="2455">
        <v>3</v>
      </c>
      <c r="I69" s="2455">
        <v>0.56000000000000005</v>
      </c>
      <c r="J69" s="2455">
        <v>0.8</v>
      </c>
      <c r="K69" s="2455">
        <v>0.83</v>
      </c>
      <c r="L69" s="2456">
        <v>0.06</v>
      </c>
      <c r="N69" s="2491">
        <f t="shared" si="176"/>
        <v>2.2725428130833527E-2</v>
      </c>
      <c r="O69" s="2492">
        <f t="shared" si="176"/>
        <v>1.7012227538543329E-2</v>
      </c>
      <c r="P69" s="2492">
        <f t="shared" si="177"/>
        <v>3.6925814703592477E-2</v>
      </c>
      <c r="Q69" s="2492">
        <f t="shared" si="177"/>
        <v>2.8846153846153744E-2</v>
      </c>
      <c r="R69" s="2433"/>
      <c r="S69" s="2432"/>
      <c r="T69" s="2417"/>
      <c r="U69" s="2417"/>
      <c r="V69" s="2417"/>
      <c r="X69" s="2493"/>
      <c r="Y69" s="2493"/>
      <c r="Z69" s="2493"/>
    </row>
    <row r="70" spans="1:26">
      <c r="A70" s="2429" t="s">
        <v>1168</v>
      </c>
      <c r="B70" s="2430">
        <f t="shared" si="178"/>
        <v>116.99099099099099</v>
      </c>
      <c r="C70" s="2430">
        <f t="shared" si="178"/>
        <v>118.84848484848486</v>
      </c>
      <c r="D70" s="2430">
        <f t="shared" si="144"/>
        <v>118.84848484848486</v>
      </c>
      <c r="E70" s="2430">
        <f t="shared" si="179"/>
        <v>117.60960960960961</v>
      </c>
      <c r="F70" s="2430">
        <f t="shared" si="179"/>
        <v>104</v>
      </c>
      <c r="G70" s="3433">
        <v>2004</v>
      </c>
      <c r="H70" s="2442">
        <v>2</v>
      </c>
      <c r="I70" s="2442">
        <v>1</v>
      </c>
      <c r="J70" s="2442">
        <v>1.5</v>
      </c>
      <c r="K70" s="2442">
        <v>1.5</v>
      </c>
      <c r="L70" s="2443">
        <v>0</v>
      </c>
      <c r="N70" s="2491">
        <f t="shared" si="176"/>
        <v>4.0581121662202721E-2</v>
      </c>
      <c r="O70" s="2492">
        <f t="shared" si="176"/>
        <v>3.1897926634768738E-2</v>
      </c>
      <c r="P70" s="2492">
        <f t="shared" si="177"/>
        <v>6.6733400066733395E-2</v>
      </c>
      <c r="Q70" s="2492">
        <f t="shared" si="177"/>
        <v>0</v>
      </c>
      <c r="R70" s="2433"/>
      <c r="S70" s="2432"/>
      <c r="T70" s="2417"/>
      <c r="U70" s="2417"/>
      <c r="V70" s="2417"/>
      <c r="X70" s="2493"/>
      <c r="Y70" s="2493"/>
      <c r="Z70" s="2493"/>
    </row>
    <row r="71" spans="1:26" s="2485" customFormat="1" ht="13.8" thickBot="1">
      <c r="A71" s="2429" t="s">
        <v>1169</v>
      </c>
      <c r="B71" s="2482">
        <f t="shared" si="178"/>
        <v>112.48648648648648</v>
      </c>
      <c r="C71" s="2482">
        <f t="shared" si="178"/>
        <v>115.21212121212122</v>
      </c>
      <c r="D71" s="2482">
        <f t="shared" si="144"/>
        <v>115.21212121212122</v>
      </c>
      <c r="E71" s="2482">
        <f t="shared" si="179"/>
        <v>110.4024024024024</v>
      </c>
      <c r="F71" s="2482">
        <f t="shared" si="179"/>
        <v>104</v>
      </c>
      <c r="G71" s="3434">
        <v>2004</v>
      </c>
      <c r="H71" s="2483">
        <v>1</v>
      </c>
      <c r="I71" s="2483">
        <v>0.33</v>
      </c>
      <c r="J71" s="2483">
        <v>0.5</v>
      </c>
      <c r="K71" s="2483">
        <v>0.5</v>
      </c>
      <c r="L71" s="2484">
        <v>0</v>
      </c>
      <c r="N71" s="2496">
        <f t="shared" si="176"/>
        <v>1.3391770148526898E-2</v>
      </c>
      <c r="O71" s="2497">
        <f t="shared" si="176"/>
        <v>1.063264221158958E-2</v>
      </c>
      <c r="P71" s="2497">
        <f t="shared" si="177"/>
        <v>2.2244466688911134E-2</v>
      </c>
      <c r="Q71" s="2497">
        <f t="shared" si="177"/>
        <v>0</v>
      </c>
      <c r="R71" s="2488"/>
      <c r="S71" s="2486">
        <f>B71/B72-1</f>
        <v>1.3391770148526883E-2</v>
      </c>
      <c r="T71" s="2487">
        <f>C71/C72-1</f>
        <v>1.063264221158966E-2</v>
      </c>
      <c r="U71" s="2487">
        <f>E71/E72-1</f>
        <v>2.2244466688911224E-2</v>
      </c>
      <c r="V71" s="2487">
        <f>F71/F72-1</f>
        <v>0</v>
      </c>
      <c r="X71" s="2498"/>
      <c r="Y71" s="2498"/>
      <c r="Z71" s="2498"/>
    </row>
    <row r="72" spans="1:26" ht="13.8" thickBot="1">
      <c r="A72" s="2429" t="s">
        <v>1170</v>
      </c>
      <c r="B72" s="2499">
        <v>111</v>
      </c>
      <c r="C72" s="2499">
        <v>114</v>
      </c>
      <c r="D72" s="2499">
        <f t="shared" si="144"/>
        <v>114</v>
      </c>
      <c r="E72" s="2499">
        <v>108</v>
      </c>
      <c r="F72" s="2500">
        <v>104</v>
      </c>
      <c r="G72" s="3432">
        <v>2003</v>
      </c>
      <c r="H72" s="2489">
        <v>4</v>
      </c>
      <c r="I72" s="2501"/>
      <c r="J72" s="2501"/>
      <c r="K72" s="2501"/>
      <c r="L72" s="2501"/>
      <c r="N72" s="2502"/>
      <c r="O72" s="2501"/>
      <c r="P72" s="2501"/>
      <c r="Q72" s="2501"/>
      <c r="S72" s="2502"/>
      <c r="T72" s="2501"/>
      <c r="U72" s="2501"/>
      <c r="V72" s="2501"/>
      <c r="X72" s="2493"/>
      <c r="Y72" s="2493"/>
      <c r="Z72" s="2493"/>
    </row>
    <row r="73" spans="1:26">
      <c r="A73" s="2429" t="s">
        <v>1171</v>
      </c>
      <c r="B73" s="2503">
        <f t="shared" ref="B73:C75" si="180">B74+(B$72-B$76)/4</f>
        <v>109.75</v>
      </c>
      <c r="C73" s="2503">
        <f t="shared" si="180"/>
        <v>112.25</v>
      </c>
      <c r="D73" s="2503">
        <f t="shared" si="144"/>
        <v>112.25</v>
      </c>
      <c r="E73" s="2503">
        <f t="shared" ref="E73:F75" si="181">E74+(E$72-E$76)/4</f>
        <v>107.25</v>
      </c>
      <c r="F73" s="2503">
        <f t="shared" si="181"/>
        <v>103.5</v>
      </c>
      <c r="G73" s="3433">
        <v>2003</v>
      </c>
      <c r="H73" s="2455">
        <v>3</v>
      </c>
      <c r="I73" s="2501"/>
      <c r="J73" s="2501"/>
      <c r="K73" s="2501"/>
      <c r="L73" s="2501"/>
      <c r="X73" s="2493"/>
      <c r="Y73" s="2493"/>
      <c r="Z73" s="2493"/>
    </row>
    <row r="74" spans="1:26">
      <c r="A74" s="2429" t="s">
        <v>1172</v>
      </c>
      <c r="B74" s="2503">
        <f t="shared" si="180"/>
        <v>108.5</v>
      </c>
      <c r="C74" s="2503">
        <f t="shared" si="180"/>
        <v>110.5</v>
      </c>
      <c r="D74" s="2503">
        <f t="shared" si="144"/>
        <v>110.5</v>
      </c>
      <c r="E74" s="2503">
        <f t="shared" si="181"/>
        <v>106.5</v>
      </c>
      <c r="F74" s="2503">
        <f t="shared" si="181"/>
        <v>103</v>
      </c>
      <c r="G74" s="3433">
        <v>2003</v>
      </c>
      <c r="H74" s="2442">
        <v>2</v>
      </c>
      <c r="I74" s="2501"/>
      <c r="J74" s="2501"/>
      <c r="K74" s="2501"/>
      <c r="L74" s="2501"/>
      <c r="X74" s="2493"/>
      <c r="Y74" s="2493"/>
      <c r="Z74" s="2493"/>
    </row>
    <row r="75" spans="1:26" ht="13.8" thickBot="1">
      <c r="A75" s="2429" t="s">
        <v>1173</v>
      </c>
      <c r="B75" s="2503">
        <f t="shared" si="180"/>
        <v>107.25</v>
      </c>
      <c r="C75" s="2503">
        <f t="shared" si="180"/>
        <v>108.75</v>
      </c>
      <c r="D75" s="2503">
        <f t="shared" si="144"/>
        <v>108.75</v>
      </c>
      <c r="E75" s="2503">
        <f t="shared" si="181"/>
        <v>105.75</v>
      </c>
      <c r="F75" s="2503">
        <f t="shared" si="181"/>
        <v>102.5</v>
      </c>
      <c r="G75" s="3434">
        <v>2003</v>
      </c>
      <c r="H75" s="2504">
        <v>1</v>
      </c>
      <c r="I75" s="2501"/>
      <c r="J75" s="2501"/>
      <c r="K75" s="2501"/>
      <c r="L75" s="2501"/>
      <c r="S75" s="2432"/>
      <c r="T75" s="2417"/>
      <c r="U75" s="2417"/>
      <c r="X75" s="2493"/>
      <c r="Y75" s="2493"/>
      <c r="Z75" s="2493"/>
    </row>
    <row r="76" spans="1:26" ht="13.8" thickBot="1">
      <c r="A76" s="2429" t="s">
        <v>1174</v>
      </c>
      <c r="B76" s="2505">
        <v>106</v>
      </c>
      <c r="C76" s="2505">
        <v>107</v>
      </c>
      <c r="D76" s="2505">
        <f t="shared" si="144"/>
        <v>107</v>
      </c>
      <c r="E76" s="2505">
        <v>105</v>
      </c>
      <c r="F76" s="2506">
        <v>102</v>
      </c>
      <c r="G76" s="3432">
        <v>2002</v>
      </c>
      <c r="H76" s="2450">
        <v>4</v>
      </c>
      <c r="I76" s="2501"/>
      <c r="J76" s="2501"/>
      <c r="K76" s="2501"/>
      <c r="L76" s="2501"/>
      <c r="N76" s="2502"/>
      <c r="O76" s="2501"/>
      <c r="P76" s="2501"/>
      <c r="Q76" s="2501"/>
      <c r="S76" s="2502"/>
      <c r="T76" s="2501"/>
      <c r="U76" s="2501"/>
      <c r="V76" s="2501"/>
      <c r="X76" s="2493"/>
      <c r="Y76" s="2493"/>
      <c r="Z76" s="2493"/>
    </row>
    <row r="77" spans="1:26">
      <c r="A77" s="2429" t="s">
        <v>1175</v>
      </c>
      <c r="B77" s="2503">
        <f t="shared" ref="B77:C79" si="182">B78+(B$76-B$80)/4</f>
        <v>105</v>
      </c>
      <c r="C77" s="2503">
        <f t="shared" si="182"/>
        <v>106</v>
      </c>
      <c r="D77" s="2503">
        <f t="shared" si="144"/>
        <v>106</v>
      </c>
      <c r="E77" s="2503">
        <f t="shared" ref="E77:F79" si="183">E78+(E$76-E$80)/4</f>
        <v>104.5</v>
      </c>
      <c r="F77" s="2503">
        <f t="shared" si="183"/>
        <v>101.5</v>
      </c>
      <c r="G77" s="3433">
        <v>2002</v>
      </c>
      <c r="H77" s="2455">
        <v>3</v>
      </c>
      <c r="I77" s="2501"/>
      <c r="J77" s="2501"/>
      <c r="K77" s="2501"/>
      <c r="L77" s="2501"/>
      <c r="X77" s="2493"/>
      <c r="Y77" s="2493"/>
      <c r="Z77" s="2493"/>
    </row>
    <row r="78" spans="1:26">
      <c r="A78" s="2429" t="s">
        <v>1176</v>
      </c>
      <c r="B78" s="2503">
        <f t="shared" si="182"/>
        <v>104</v>
      </c>
      <c r="C78" s="2503">
        <f t="shared" si="182"/>
        <v>105</v>
      </c>
      <c r="D78" s="2503">
        <f t="shared" si="144"/>
        <v>105</v>
      </c>
      <c r="E78" s="2503">
        <f t="shared" si="183"/>
        <v>104</v>
      </c>
      <c r="F78" s="2503">
        <f t="shared" si="183"/>
        <v>101</v>
      </c>
      <c r="G78" s="3433">
        <v>2002</v>
      </c>
      <c r="H78" s="2442">
        <v>2</v>
      </c>
      <c r="I78" s="2501"/>
      <c r="J78" s="2501"/>
      <c r="K78" s="2501"/>
      <c r="L78" s="2501"/>
      <c r="X78" s="2493"/>
      <c r="Y78" s="2493"/>
      <c r="Z78" s="2493"/>
    </row>
    <row r="79" spans="1:26" s="2466" customFormat="1" ht="13.8" thickBot="1">
      <c r="A79" s="2462" t="s">
        <v>1177</v>
      </c>
      <c r="B79" s="2469">
        <f t="shared" si="182"/>
        <v>103</v>
      </c>
      <c r="C79" s="2469">
        <f t="shared" si="182"/>
        <v>104</v>
      </c>
      <c r="D79" s="2469">
        <f t="shared" si="144"/>
        <v>104</v>
      </c>
      <c r="E79" s="2469">
        <f t="shared" si="183"/>
        <v>103.5</v>
      </c>
      <c r="F79" s="2469">
        <f t="shared" si="183"/>
        <v>100.5</v>
      </c>
      <c r="G79" s="3434">
        <v>2002</v>
      </c>
      <c r="H79" s="2507">
        <v>1</v>
      </c>
      <c r="I79" s="2508"/>
      <c r="J79" s="2508"/>
      <c r="K79" s="2508"/>
      <c r="L79" s="2508"/>
      <c r="N79" s="2509"/>
      <c r="S79" s="2509"/>
      <c r="X79" s="2510"/>
      <c r="Y79" s="2510"/>
      <c r="Z79" s="2510"/>
    </row>
    <row r="80" spans="1:26" ht="13.8" thickBot="1">
      <c r="B80" s="2511">
        <v>102</v>
      </c>
      <c r="C80" s="2512">
        <v>103</v>
      </c>
      <c r="D80" s="2512">
        <f t="shared" si="144"/>
        <v>103</v>
      </c>
      <c r="E80" s="2512">
        <v>103</v>
      </c>
      <c r="F80" s="2513">
        <v>100</v>
      </c>
      <c r="I80" s="2501"/>
      <c r="J80" s="2501"/>
      <c r="K80" s="2501"/>
      <c r="L80" s="2501"/>
      <c r="N80" s="2502"/>
      <c r="O80" s="2501"/>
      <c r="P80" s="2501"/>
      <c r="Q80" s="2501"/>
      <c r="S80" s="2502"/>
      <c r="T80" s="2501"/>
      <c r="U80" s="2501"/>
      <c r="V80" s="2501"/>
      <c r="X80" s="2447"/>
      <c r="Y80" s="2447"/>
      <c r="Z80" s="2447"/>
    </row>
    <row r="82" spans="1:22" s="2515" customFormat="1">
      <c r="A82" s="2514" t="s">
        <v>1178</v>
      </c>
      <c r="G82" s="2516"/>
      <c r="N82" s="2516"/>
      <c r="S82" s="2516"/>
    </row>
    <row r="83" spans="1:22" s="2515" customFormat="1">
      <c r="A83" s="2515" t="s">
        <v>1179</v>
      </c>
      <c r="G83" s="2516"/>
      <c r="N83" s="2516"/>
      <c r="S83" s="2516"/>
    </row>
    <row r="84" spans="1:22" s="2515" customFormat="1">
      <c r="A84" s="2515" t="s">
        <v>1180</v>
      </c>
      <c r="G84" s="2516"/>
      <c r="I84" s="2517"/>
      <c r="J84" s="2517"/>
      <c r="K84" s="2517"/>
      <c r="L84" s="2517"/>
      <c r="N84" s="2518"/>
      <c r="O84" s="2517"/>
      <c r="P84" s="2517"/>
      <c r="Q84" s="2517"/>
      <c r="S84" s="2518"/>
      <c r="T84" s="2517"/>
      <c r="U84" s="2517"/>
      <c r="V84" s="2517"/>
    </row>
    <row r="85" spans="1:22" s="2515" customFormat="1">
      <c r="A85" s="2515" t="s">
        <v>1181</v>
      </c>
      <c r="G85" s="2516"/>
      <c r="N85" s="2516"/>
      <c r="S85" s="2516"/>
    </row>
    <row r="92" spans="1:22" ht="13.8" thickBot="1"/>
    <row r="93" spans="1:22">
      <c r="G93" s="2416"/>
      <c r="S93" s="2519" t="s">
        <v>1182</v>
      </c>
      <c r="T93" s="2520" t="s">
        <v>1183</v>
      </c>
      <c r="U93" s="2520" t="s">
        <v>1184</v>
      </c>
      <c r="V93" s="2520" t="s">
        <v>1185</v>
      </c>
    </row>
    <row r="94" spans="1:22">
      <c r="G94" s="2416"/>
      <c r="N94" s="2446"/>
      <c r="O94" s="2447"/>
      <c r="P94" s="2447"/>
      <c r="Q94" s="2447"/>
      <c r="S94" s="2521">
        <v>2006</v>
      </c>
      <c r="T94" s="2522">
        <v>15.1</v>
      </c>
      <c r="U94" s="2522">
        <v>7.43</v>
      </c>
      <c r="V94" s="2522">
        <v>26.26</v>
      </c>
    </row>
    <row r="95" spans="1:22">
      <c r="G95" s="2416"/>
      <c r="N95" s="2446"/>
      <c r="O95" s="2447"/>
      <c r="P95" s="2447"/>
      <c r="Q95" s="2447"/>
      <c r="S95" s="2523">
        <v>2005</v>
      </c>
      <c r="T95" s="2524">
        <v>13.9</v>
      </c>
      <c r="U95" s="2524">
        <v>7.49</v>
      </c>
      <c r="V95" s="2524">
        <v>24.92</v>
      </c>
    </row>
    <row r="96" spans="1:22">
      <c r="G96" s="2416"/>
      <c r="N96" s="2446"/>
      <c r="O96" s="2447"/>
      <c r="P96" s="2447"/>
      <c r="Q96" s="2447"/>
      <c r="S96" s="2521">
        <v>2004</v>
      </c>
      <c r="T96" s="2522">
        <v>9.48</v>
      </c>
      <c r="U96" s="2522">
        <v>7.2</v>
      </c>
      <c r="V96" s="2522">
        <v>14.68</v>
      </c>
    </row>
    <row r="97" spans="7:22">
      <c r="G97" s="2416"/>
      <c r="N97" s="2446"/>
      <c r="O97" s="2447"/>
      <c r="P97" s="2447"/>
      <c r="Q97" s="2447"/>
      <c r="S97" s="2523">
        <v>2003</v>
      </c>
      <c r="T97" s="2524">
        <v>4.5</v>
      </c>
      <c r="U97" s="2524">
        <v>6.12</v>
      </c>
      <c r="V97" s="2524">
        <v>2.34</v>
      </c>
    </row>
    <row r="98" spans="7:22" ht="13.8" thickBot="1">
      <c r="G98" s="2416"/>
      <c r="N98" s="2446"/>
      <c r="O98" s="2447"/>
      <c r="P98" s="2447"/>
      <c r="Q98" s="2447"/>
      <c r="S98" s="2525">
        <v>2002</v>
      </c>
      <c r="T98" s="2526">
        <v>3.59</v>
      </c>
      <c r="U98" s="2526">
        <v>4.54</v>
      </c>
      <c r="V98" s="2526">
        <v>2.5499999999999998</v>
      </c>
    </row>
    <row r="99" spans="7:22">
      <c r="G99" s="2416"/>
      <c r="N99" s="2446"/>
      <c r="O99" s="2447"/>
      <c r="P99" s="2447"/>
      <c r="Q99" s="2447"/>
    </row>
    <row r="100" spans="7:22">
      <c r="G100" s="2416"/>
      <c r="N100" s="2446"/>
      <c r="O100" s="2447"/>
      <c r="P100" s="2447"/>
      <c r="Q100" s="2447"/>
    </row>
    <row r="101" spans="7:22">
      <c r="G101" s="2416"/>
      <c r="N101" s="2446"/>
      <c r="O101" s="2447"/>
      <c r="P101" s="2447"/>
      <c r="Q101" s="2447"/>
    </row>
    <row r="102" spans="7:22">
      <c r="G102" s="2416"/>
      <c r="N102" s="2446"/>
      <c r="O102" s="2447"/>
      <c r="P102" s="2447"/>
      <c r="Q102" s="2447"/>
    </row>
    <row r="103" spans="7:22">
      <c r="G103" s="2416"/>
      <c r="N103" s="2446"/>
      <c r="O103" s="2447"/>
      <c r="P103" s="2447"/>
      <c r="Q103" s="2447"/>
    </row>
    <row r="104" spans="7:22">
      <c r="G104" s="2416"/>
      <c r="N104" s="2446"/>
      <c r="O104" s="2447"/>
      <c r="P104" s="2447"/>
      <c r="Q104" s="2447"/>
    </row>
    <row r="105" spans="7:22">
      <c r="G105" s="2416"/>
      <c r="N105" s="2446"/>
      <c r="O105" s="2447"/>
      <c r="P105" s="2447"/>
      <c r="Q105" s="2447"/>
    </row>
    <row r="106" spans="7:22">
      <c r="G106" s="2416"/>
      <c r="N106" s="2446"/>
      <c r="O106" s="2447"/>
      <c r="P106" s="2447"/>
      <c r="Q106" s="2447"/>
    </row>
    <row r="107" spans="7:22">
      <c r="G107" s="2416"/>
      <c r="N107" s="2446"/>
      <c r="O107" s="2447"/>
      <c r="P107" s="2447"/>
      <c r="Q107" s="2447"/>
    </row>
    <row r="108" spans="7:22">
      <c r="G108" s="2416"/>
      <c r="N108" s="2446"/>
      <c r="O108" s="2447"/>
      <c r="P108" s="2447"/>
      <c r="Q108" s="2447"/>
    </row>
    <row r="109" spans="7:22">
      <c r="G109" s="2416"/>
      <c r="N109" s="2446"/>
      <c r="O109" s="2447"/>
      <c r="P109" s="2447"/>
      <c r="Q109" s="2447"/>
      <c r="S109" s="2416"/>
    </row>
    <row r="110" spans="7:22">
      <c r="G110" s="2416"/>
      <c r="N110" s="2446"/>
      <c r="O110" s="2447"/>
      <c r="P110" s="2447"/>
      <c r="Q110" s="2447"/>
      <c r="S110" s="2416"/>
    </row>
    <row r="111" spans="7:22">
      <c r="G111" s="2416"/>
      <c r="N111" s="2446"/>
      <c r="O111" s="2447"/>
      <c r="P111" s="2447"/>
      <c r="Q111" s="2447"/>
      <c r="S111" s="2416"/>
    </row>
    <row r="112" spans="7:22">
      <c r="G112" s="2416"/>
      <c r="N112" s="2446"/>
      <c r="O112" s="2447"/>
      <c r="P112" s="2447"/>
      <c r="Q112" s="2447"/>
      <c r="S112" s="2416"/>
    </row>
    <row r="113" spans="7:19">
      <c r="G113" s="2416"/>
      <c r="N113" s="2446"/>
      <c r="O113" s="2447"/>
      <c r="P113" s="2447"/>
      <c r="Q113" s="2447"/>
      <c r="S113" s="2416"/>
    </row>
    <row r="114" spans="7:19">
      <c r="G114" s="2416"/>
      <c r="N114" s="2446"/>
      <c r="O114" s="2447"/>
      <c r="P114" s="2447"/>
      <c r="Q114" s="2447"/>
      <c r="S114" s="2416"/>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3" sqref="H3"/>
      <selection pane="bottomLeft" activeCell="H3" sqref="H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2"/>
    <col min="19" max="19" width="9" style="139"/>
    <col min="20" max="45" width="9" style="738"/>
    <col min="46" max="16384" width="9" style="139"/>
  </cols>
  <sheetData>
    <row r="1" spans="1:45" ht="14.25" customHeight="1" thickBot="1">
      <c r="A1" s="155"/>
      <c r="B1" s="1118" t="s">
        <v>2833</v>
      </c>
      <c r="C1" s="3444" t="s">
        <v>2834</v>
      </c>
      <c r="D1" s="3445"/>
      <c r="E1" s="3445"/>
      <c r="F1" s="3445"/>
      <c r="G1" s="3445"/>
      <c r="H1" s="3445"/>
      <c r="I1" s="3445"/>
      <c r="J1" s="3445"/>
      <c r="K1" s="3445"/>
      <c r="L1" s="3445"/>
      <c r="M1" s="3445"/>
      <c r="N1" s="3445"/>
      <c r="O1" s="3445"/>
      <c r="P1" s="3445"/>
      <c r="Q1" s="3445"/>
      <c r="R1" s="3445"/>
      <c r="S1" s="3446"/>
      <c r="T1" s="1118" t="s">
        <v>2835</v>
      </c>
    </row>
    <row r="2" spans="1:45" s="667" customFormat="1">
      <c r="A2" s="1119"/>
      <c r="B2" s="663" t="s">
        <v>2836</v>
      </c>
      <c r="C2" s="664" t="str">
        <f t="shared" ref="C2:L2" si="0">C3&amp;"(含)"&amp;"-"&amp;D3</f>
        <v>(含)-</v>
      </c>
      <c r="D2" s="665" t="str">
        <f t="shared" si="0"/>
        <v>(含)-</v>
      </c>
      <c r="E2" s="665" t="str">
        <f t="shared" si="0"/>
        <v>(含)-</v>
      </c>
      <c r="F2" s="665" t="str">
        <f t="shared" si="0"/>
        <v>(含)-</v>
      </c>
      <c r="G2" s="665" t="str">
        <f t="shared" si="0"/>
        <v>(含)-</v>
      </c>
      <c r="H2" s="665" t="str">
        <f t="shared" si="0"/>
        <v>(含)-</v>
      </c>
      <c r="I2" s="665" t="str">
        <f t="shared" si="0"/>
        <v>(含)-</v>
      </c>
      <c r="J2" s="665" t="str">
        <f t="shared" si="0"/>
        <v>(含)-</v>
      </c>
      <c r="K2" s="665" t="str">
        <f t="shared" si="0"/>
        <v>(含)-</v>
      </c>
      <c r="L2" s="665" t="str">
        <f t="shared" si="0"/>
        <v>(含)-</v>
      </c>
      <c r="M2" s="665" t="str">
        <f t="shared" ref="M2" si="1">M3&amp;"(含)"&amp;"-"&amp;N3</f>
        <v>(含)-</v>
      </c>
      <c r="N2" s="665" t="str">
        <f t="shared" ref="N2" si="2">N3&amp;"(含)"&amp;"-"&amp;O3</f>
        <v>(含)-</v>
      </c>
      <c r="O2" s="665" t="str">
        <f t="shared" ref="O2" si="3">O3&amp;"(含)"&amp;"-"&amp;P3</f>
        <v>(含)-</v>
      </c>
      <c r="P2" s="665" t="str">
        <f t="shared" ref="P2" si="4">P3&amp;"(含)"&amp;"-"&amp;Q3</f>
        <v>(含)-</v>
      </c>
      <c r="Q2" s="665" t="str">
        <f t="shared" ref="Q2" si="5">Q3&amp;"(含)"&amp;"-"&amp;R3</f>
        <v>(含)-</v>
      </c>
      <c r="R2" s="665" t="str">
        <f t="shared" ref="R2" si="6">R3&amp;"(含)"&amp;"-"&amp;S3</f>
        <v>(含)-</v>
      </c>
      <c r="S2" s="1120" t="str">
        <f>S3&amp;"(含)"&amp;"-"</f>
        <v>(含)-</v>
      </c>
      <c r="T2" s="666"/>
      <c r="U2" s="739"/>
      <c r="V2" s="739"/>
      <c r="W2" s="739"/>
      <c r="X2" s="739"/>
      <c r="Y2" s="739"/>
      <c r="Z2" s="739"/>
      <c r="AA2" s="739"/>
      <c r="AB2" s="739"/>
      <c r="AC2" s="739"/>
      <c r="AD2" s="739"/>
      <c r="AE2" s="739"/>
      <c r="AF2" s="739"/>
      <c r="AG2" s="739"/>
      <c r="AH2" s="739"/>
      <c r="AI2" s="739"/>
      <c r="AJ2" s="739"/>
      <c r="AK2" s="739"/>
      <c r="AL2" s="739"/>
      <c r="AM2" s="739"/>
      <c r="AN2" s="739"/>
      <c r="AO2" s="739"/>
      <c r="AP2" s="739"/>
      <c r="AQ2" s="739"/>
      <c r="AR2" s="739"/>
      <c r="AS2" s="739"/>
    </row>
    <row r="3" spans="1:45" s="672" customFormat="1">
      <c r="A3" s="1121"/>
      <c r="B3" s="668"/>
      <c r="C3" s="669"/>
      <c r="D3" s="670"/>
      <c r="E3" s="670"/>
      <c r="F3" s="1479"/>
      <c r="G3" s="1479"/>
      <c r="H3" s="1479"/>
      <c r="I3" s="1479"/>
      <c r="J3" s="1479"/>
      <c r="K3" s="1479"/>
      <c r="L3" s="1480"/>
      <c r="M3" s="1481"/>
      <c r="N3" s="1481"/>
      <c r="O3" s="1479"/>
      <c r="P3" s="1479"/>
      <c r="Q3" s="1479"/>
      <c r="R3" s="1479"/>
      <c r="S3" s="1482"/>
      <c r="T3" s="671"/>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row>
    <row r="4" spans="1:45" s="672" customFormat="1" ht="13.8" thickBot="1">
      <c r="A4" s="1122"/>
      <c r="B4" s="1123"/>
      <c r="C4" s="1124"/>
      <c r="D4" s="1125"/>
      <c r="E4" s="1125"/>
      <c r="F4" s="1483"/>
      <c r="G4" s="1483"/>
      <c r="H4" s="1483"/>
      <c r="I4" s="1483"/>
      <c r="J4" s="1483"/>
      <c r="K4" s="1483"/>
      <c r="L4" s="1483"/>
      <c r="M4" s="1484"/>
      <c r="N4" s="1484"/>
      <c r="O4" s="1483"/>
      <c r="P4" s="1483"/>
      <c r="Q4" s="1483"/>
      <c r="R4" s="1483"/>
      <c r="S4" s="1485"/>
      <c r="T4" s="1128"/>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row>
    <row r="5" spans="1:45" s="118" customFormat="1">
      <c r="A5" s="1129"/>
      <c r="B5" s="1512" t="s">
        <v>2837</v>
      </c>
      <c r="C5" s="1130"/>
      <c r="D5" s="1131"/>
      <c r="E5" s="1131"/>
      <c r="F5" s="1486"/>
      <c r="G5" s="1486"/>
      <c r="H5" s="1486"/>
      <c r="I5" s="1486"/>
      <c r="J5" s="1486"/>
      <c r="K5" s="1486"/>
      <c r="L5" s="1487"/>
      <c r="M5" s="1488"/>
      <c r="N5" s="1488"/>
      <c r="O5" s="1486"/>
      <c r="P5" s="1486"/>
      <c r="Q5" s="1486"/>
      <c r="R5" s="1486"/>
      <c r="S5" s="1489"/>
      <c r="T5" s="1133"/>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row>
    <row r="6" spans="1:45" s="118" customFormat="1" ht="13.8" thickBot="1">
      <c r="A6" s="1129"/>
      <c r="B6" s="1034"/>
      <c r="C6" s="1040">
        <v>100</v>
      </c>
      <c r="D6" s="1037">
        <f>C6-$T5</f>
        <v>100</v>
      </c>
      <c r="E6" s="1037">
        <f t="shared" ref="E6:S6" si="7">D6-$T5</f>
        <v>100</v>
      </c>
      <c r="F6" s="1490">
        <f t="shared" si="7"/>
        <v>100</v>
      </c>
      <c r="G6" s="1490">
        <f t="shared" si="7"/>
        <v>100</v>
      </c>
      <c r="H6" s="1490">
        <f t="shared" si="7"/>
        <v>100</v>
      </c>
      <c r="I6" s="1490">
        <f t="shared" si="7"/>
        <v>100</v>
      </c>
      <c r="J6" s="1490">
        <f t="shared" si="7"/>
        <v>100</v>
      </c>
      <c r="K6" s="1490">
        <f t="shared" si="7"/>
        <v>100</v>
      </c>
      <c r="L6" s="1490">
        <f t="shared" si="7"/>
        <v>100</v>
      </c>
      <c r="M6" s="1490">
        <f t="shared" si="7"/>
        <v>100</v>
      </c>
      <c r="N6" s="1490">
        <f t="shared" si="7"/>
        <v>100</v>
      </c>
      <c r="O6" s="1490">
        <f t="shared" si="7"/>
        <v>100</v>
      </c>
      <c r="P6" s="1490">
        <f t="shared" si="7"/>
        <v>100</v>
      </c>
      <c r="Q6" s="1490">
        <f t="shared" si="7"/>
        <v>100</v>
      </c>
      <c r="R6" s="1490">
        <f t="shared" si="7"/>
        <v>100</v>
      </c>
      <c r="S6" s="1490">
        <f t="shared" si="7"/>
        <v>100</v>
      </c>
      <c r="T6" s="1036"/>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row>
    <row r="7" spans="1:45" s="118" customFormat="1">
      <c r="A7" s="1129"/>
      <c r="B7" s="1513" t="s">
        <v>2838</v>
      </c>
      <c r="C7" s="1039"/>
      <c r="D7" s="1033"/>
      <c r="E7" s="1033"/>
      <c r="F7" s="1491"/>
      <c r="G7" s="1491"/>
      <c r="H7" s="1491"/>
      <c r="I7" s="1491"/>
      <c r="J7" s="1491"/>
      <c r="K7" s="1491"/>
      <c r="L7" s="1491"/>
      <c r="M7" s="1492"/>
      <c r="N7" s="1493"/>
      <c r="O7" s="1494"/>
      <c r="P7" s="1495"/>
      <c r="Q7" s="1496"/>
      <c r="R7" s="1497"/>
      <c r="S7" s="1498"/>
      <c r="T7" s="673"/>
      <c r="U7" s="741"/>
      <c r="V7" s="741"/>
      <c r="W7" s="741"/>
      <c r="X7" s="741"/>
      <c r="Y7" s="741"/>
      <c r="Z7" s="741"/>
      <c r="AA7" s="741"/>
      <c r="AB7" s="741"/>
      <c r="AC7" s="741"/>
      <c r="AD7" s="741"/>
      <c r="AE7" s="741"/>
      <c r="AF7" s="741"/>
      <c r="AG7" s="741"/>
      <c r="AH7" s="741"/>
      <c r="AI7" s="741"/>
      <c r="AJ7" s="741"/>
      <c r="AK7" s="741"/>
      <c r="AL7" s="741"/>
      <c r="AM7" s="741"/>
      <c r="AN7" s="741"/>
      <c r="AO7" s="741"/>
      <c r="AP7" s="741"/>
      <c r="AQ7" s="741"/>
      <c r="AR7" s="741"/>
      <c r="AS7" s="741"/>
    </row>
    <row r="8" spans="1:45" s="118" customFormat="1" ht="13.8" thickBot="1">
      <c r="A8" s="1129"/>
      <c r="B8" s="1034"/>
      <c r="C8" s="1040">
        <v>100</v>
      </c>
      <c r="D8" s="1037">
        <f>C8-$T7</f>
        <v>100</v>
      </c>
      <c r="E8" s="1037">
        <f t="shared" ref="E8:S8" si="8">D8-$T7</f>
        <v>100</v>
      </c>
      <c r="F8" s="1490">
        <f t="shared" si="8"/>
        <v>100</v>
      </c>
      <c r="G8" s="1490">
        <f t="shared" si="8"/>
        <v>100</v>
      </c>
      <c r="H8" s="1490">
        <f t="shared" si="8"/>
        <v>100</v>
      </c>
      <c r="I8" s="1490">
        <f t="shared" si="8"/>
        <v>100</v>
      </c>
      <c r="J8" s="1490">
        <f t="shared" si="8"/>
        <v>100</v>
      </c>
      <c r="K8" s="1490">
        <f t="shared" si="8"/>
        <v>100</v>
      </c>
      <c r="L8" s="1490">
        <f t="shared" si="8"/>
        <v>100</v>
      </c>
      <c r="M8" s="1490">
        <f t="shared" si="8"/>
        <v>100</v>
      </c>
      <c r="N8" s="1490">
        <f t="shared" si="8"/>
        <v>100</v>
      </c>
      <c r="O8" s="1490">
        <f t="shared" si="8"/>
        <v>100</v>
      </c>
      <c r="P8" s="1490">
        <f t="shared" si="8"/>
        <v>100</v>
      </c>
      <c r="Q8" s="1490">
        <f t="shared" si="8"/>
        <v>100</v>
      </c>
      <c r="R8" s="1490">
        <f t="shared" si="8"/>
        <v>100</v>
      </c>
      <c r="S8" s="1490">
        <f t="shared" si="8"/>
        <v>100</v>
      </c>
      <c r="T8" s="1036"/>
      <c r="U8" s="741"/>
      <c r="V8" s="741"/>
      <c r="W8" s="741"/>
      <c r="X8" s="741"/>
      <c r="Y8" s="741"/>
      <c r="Z8" s="741"/>
      <c r="AA8" s="741"/>
      <c r="AB8" s="741"/>
      <c r="AC8" s="741"/>
      <c r="AD8" s="741"/>
      <c r="AE8" s="741"/>
      <c r="AF8" s="741"/>
      <c r="AG8" s="741"/>
      <c r="AH8" s="741"/>
      <c r="AI8" s="741"/>
      <c r="AJ8" s="741"/>
      <c r="AK8" s="741"/>
      <c r="AL8" s="741"/>
      <c r="AM8" s="741"/>
      <c r="AN8" s="741"/>
      <c r="AO8" s="741"/>
      <c r="AP8" s="741"/>
      <c r="AQ8" s="741"/>
      <c r="AR8" s="741"/>
      <c r="AS8" s="741"/>
    </row>
    <row r="9" spans="1:45" s="118" customFormat="1">
      <c r="A9" s="1129"/>
      <c r="B9" s="1513" t="s">
        <v>2839</v>
      </c>
      <c r="C9" s="1039"/>
      <c r="D9" s="1033"/>
      <c r="E9" s="1033"/>
      <c r="F9" s="1491"/>
      <c r="G9" s="1491"/>
      <c r="H9" s="1491"/>
      <c r="I9" s="1491"/>
      <c r="J9" s="1491"/>
      <c r="K9" s="1491"/>
      <c r="L9" s="1499"/>
      <c r="M9" s="1492"/>
      <c r="N9" s="1493"/>
      <c r="O9" s="1494"/>
      <c r="P9" s="1495"/>
      <c r="Q9" s="1496"/>
      <c r="R9" s="1497"/>
      <c r="S9" s="1498"/>
      <c r="T9" s="673"/>
      <c r="U9" s="741"/>
      <c r="V9" s="741"/>
      <c r="W9" s="741"/>
      <c r="X9" s="741"/>
      <c r="Y9" s="741"/>
      <c r="Z9" s="741"/>
      <c r="AA9" s="741"/>
      <c r="AB9" s="741"/>
      <c r="AC9" s="741"/>
      <c r="AD9" s="741"/>
      <c r="AE9" s="741"/>
      <c r="AF9" s="741"/>
      <c r="AG9" s="741"/>
      <c r="AH9" s="741"/>
      <c r="AI9" s="741"/>
      <c r="AJ9" s="741"/>
      <c r="AK9" s="741"/>
      <c r="AL9" s="741"/>
      <c r="AM9" s="741"/>
      <c r="AN9" s="741"/>
      <c r="AO9" s="741"/>
      <c r="AP9" s="741"/>
      <c r="AQ9" s="741"/>
      <c r="AR9" s="741"/>
      <c r="AS9" s="741"/>
    </row>
    <row r="10" spans="1:45" s="118" customFormat="1" ht="13.8" thickBot="1">
      <c r="A10" s="1129"/>
      <c r="B10" s="1123"/>
      <c r="C10" s="1134">
        <v>100</v>
      </c>
      <c r="D10" s="1135">
        <f>C10-$T9</f>
        <v>100</v>
      </c>
      <c r="E10" s="1135">
        <f t="shared" ref="E10:S10" si="9">D10-$T9</f>
        <v>100</v>
      </c>
      <c r="F10" s="1500">
        <f t="shared" si="9"/>
        <v>100</v>
      </c>
      <c r="G10" s="1500">
        <f t="shared" si="9"/>
        <v>100</v>
      </c>
      <c r="H10" s="1500">
        <f t="shared" si="9"/>
        <v>100</v>
      </c>
      <c r="I10" s="1500">
        <f t="shared" si="9"/>
        <v>100</v>
      </c>
      <c r="J10" s="1500">
        <f t="shared" si="9"/>
        <v>100</v>
      </c>
      <c r="K10" s="1500">
        <f t="shared" si="9"/>
        <v>100</v>
      </c>
      <c r="L10" s="1500">
        <f t="shared" si="9"/>
        <v>100</v>
      </c>
      <c r="M10" s="1500">
        <f t="shared" si="9"/>
        <v>100</v>
      </c>
      <c r="N10" s="1500">
        <f t="shared" si="9"/>
        <v>100</v>
      </c>
      <c r="O10" s="1500">
        <f t="shared" si="9"/>
        <v>100</v>
      </c>
      <c r="P10" s="1500">
        <f t="shared" si="9"/>
        <v>100</v>
      </c>
      <c r="Q10" s="1500">
        <f t="shared" si="9"/>
        <v>100</v>
      </c>
      <c r="R10" s="1500">
        <f t="shared" si="9"/>
        <v>100</v>
      </c>
      <c r="S10" s="1500">
        <f t="shared" si="9"/>
        <v>100</v>
      </c>
      <c r="T10" s="1128"/>
      <c r="U10" s="741"/>
      <c r="V10" s="741"/>
      <c r="W10" s="741"/>
      <c r="X10" s="741"/>
      <c r="Y10" s="741"/>
      <c r="Z10" s="741"/>
      <c r="AA10" s="741"/>
      <c r="AB10" s="741"/>
      <c r="AC10" s="741"/>
      <c r="AD10" s="741"/>
      <c r="AE10" s="741"/>
      <c r="AF10" s="741"/>
      <c r="AG10" s="741"/>
      <c r="AH10" s="741"/>
      <c r="AI10" s="741"/>
      <c r="AJ10" s="741"/>
      <c r="AK10" s="741"/>
      <c r="AL10" s="741"/>
      <c r="AM10" s="741"/>
      <c r="AN10" s="741"/>
      <c r="AO10" s="741"/>
      <c r="AP10" s="741"/>
      <c r="AQ10" s="741"/>
      <c r="AR10" s="741"/>
      <c r="AS10" s="741"/>
    </row>
    <row r="11" spans="1:45" s="118" customFormat="1">
      <c r="A11" s="1129"/>
      <c r="B11" s="1512" t="s">
        <v>2840</v>
      </c>
      <c r="C11" s="1130"/>
      <c r="D11" s="1131"/>
      <c r="E11" s="1131"/>
      <c r="F11" s="1131"/>
      <c r="G11" s="1131"/>
      <c r="H11" s="1131"/>
      <c r="I11" s="1131"/>
      <c r="J11" s="1131"/>
      <c r="K11" s="1131"/>
      <c r="L11" s="1131"/>
      <c r="M11" s="1132"/>
      <c r="N11" s="1136"/>
      <c r="O11" s="1137"/>
      <c r="P11" s="1138"/>
      <c r="Q11" s="1139"/>
      <c r="R11" s="1140"/>
      <c r="S11" s="1141"/>
      <c r="T11" s="1133"/>
      <c r="U11" s="741"/>
      <c r="V11" s="741"/>
      <c r="W11" s="741"/>
      <c r="X11" s="741"/>
      <c r="Y11" s="741"/>
      <c r="Z11" s="741"/>
      <c r="AA11" s="741"/>
      <c r="AB11" s="741"/>
      <c r="AC11" s="741"/>
      <c r="AD11" s="741"/>
      <c r="AE11" s="741"/>
      <c r="AF11" s="741"/>
      <c r="AG11" s="741"/>
      <c r="AH11" s="741"/>
      <c r="AI11" s="741"/>
      <c r="AJ11" s="741"/>
      <c r="AK11" s="741"/>
      <c r="AL11" s="741"/>
      <c r="AM11" s="741"/>
      <c r="AN11" s="741"/>
      <c r="AO11" s="741"/>
      <c r="AP11" s="741"/>
      <c r="AQ11" s="741"/>
      <c r="AR11" s="741"/>
      <c r="AS11" s="741"/>
    </row>
    <row r="12" spans="1:45" s="118" customFormat="1" ht="13.8" thickBot="1">
      <c r="A12" s="1129"/>
      <c r="B12" s="1034"/>
      <c r="C12" s="1040">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Q12-$T11</f>
        <v>100</v>
      </c>
      <c r="S12" s="1037">
        <f t="shared" si="10"/>
        <v>100</v>
      </c>
      <c r="T12" s="1036"/>
      <c r="U12" s="741"/>
      <c r="V12" s="741"/>
      <c r="W12" s="741"/>
      <c r="X12" s="741"/>
      <c r="Y12" s="741"/>
      <c r="Z12" s="741"/>
      <c r="AA12" s="741"/>
      <c r="AB12" s="741"/>
      <c r="AC12" s="741"/>
      <c r="AD12" s="741"/>
      <c r="AE12" s="741"/>
      <c r="AF12" s="741"/>
      <c r="AG12" s="741"/>
      <c r="AH12" s="741"/>
      <c r="AI12" s="741"/>
      <c r="AJ12" s="741"/>
      <c r="AK12" s="741"/>
      <c r="AL12" s="741"/>
      <c r="AM12" s="741"/>
      <c r="AN12" s="741"/>
      <c r="AO12" s="741"/>
      <c r="AP12" s="741"/>
      <c r="AQ12" s="741"/>
      <c r="AR12" s="741"/>
      <c r="AS12" s="741"/>
    </row>
    <row r="13" spans="1:45" s="118" customFormat="1">
      <c r="A13" s="1129"/>
      <c r="B13" s="1512" t="s">
        <v>2841</v>
      </c>
      <c r="C13" s="1130"/>
      <c r="D13" s="1131"/>
      <c r="E13" s="1131"/>
      <c r="F13" s="1131"/>
      <c r="G13" s="1131"/>
      <c r="H13" s="1131"/>
      <c r="I13" s="1131"/>
      <c r="J13" s="1131"/>
      <c r="K13" s="1131"/>
      <c r="L13" s="1131"/>
      <c r="M13" s="1132"/>
      <c r="N13" s="1136"/>
      <c r="O13" s="1137"/>
      <c r="P13" s="1138"/>
      <c r="Q13" s="1139"/>
      <c r="R13" s="1140"/>
      <c r="S13" s="1141"/>
      <c r="T13" s="1142"/>
      <c r="U13" s="741"/>
      <c r="V13" s="741"/>
      <c r="W13" s="741"/>
      <c r="X13" s="741"/>
      <c r="Y13" s="741"/>
      <c r="Z13" s="741"/>
      <c r="AA13" s="741"/>
      <c r="AB13" s="741"/>
      <c r="AC13" s="741"/>
      <c r="AD13" s="741"/>
      <c r="AE13" s="741"/>
      <c r="AF13" s="741"/>
      <c r="AG13" s="741"/>
      <c r="AH13" s="741"/>
      <c r="AI13" s="741"/>
      <c r="AJ13" s="741"/>
      <c r="AK13" s="741"/>
      <c r="AL13" s="741"/>
      <c r="AM13" s="741"/>
      <c r="AN13" s="741"/>
      <c r="AO13" s="741"/>
      <c r="AP13" s="741"/>
      <c r="AQ13" s="741"/>
      <c r="AR13" s="741"/>
      <c r="AS13" s="741"/>
    </row>
    <row r="14" spans="1:45" s="118" customFormat="1" ht="13.8" thickBot="1">
      <c r="A14" s="1129"/>
      <c r="B14" s="1034"/>
      <c r="C14" s="1038"/>
      <c r="D14" s="1035"/>
      <c r="E14" s="1035"/>
      <c r="F14" s="1035"/>
      <c r="G14" s="1035"/>
      <c r="H14" s="1035"/>
      <c r="I14" s="1035"/>
      <c r="J14" s="1035"/>
      <c r="K14" s="1035"/>
      <c r="L14" s="1035"/>
      <c r="M14" s="1143"/>
      <c r="N14" s="1143"/>
      <c r="O14" s="1035"/>
      <c r="P14" s="1035"/>
      <c r="Q14" s="1035"/>
      <c r="R14" s="1035"/>
      <c r="S14" s="1144"/>
      <c r="T14" s="1036"/>
      <c r="U14" s="741"/>
      <c r="V14" s="741"/>
      <c r="W14" s="741"/>
      <c r="X14" s="741"/>
      <c r="Y14" s="741"/>
      <c r="Z14" s="741"/>
      <c r="AA14" s="741"/>
      <c r="AB14" s="741"/>
      <c r="AC14" s="741"/>
      <c r="AD14" s="741"/>
      <c r="AE14" s="741"/>
      <c r="AF14" s="741"/>
      <c r="AG14" s="741"/>
      <c r="AH14" s="741"/>
      <c r="AI14" s="741"/>
      <c r="AJ14" s="741"/>
      <c r="AK14" s="741"/>
      <c r="AL14" s="741"/>
      <c r="AM14" s="741"/>
      <c r="AN14" s="741"/>
      <c r="AO14" s="741"/>
      <c r="AP14" s="741"/>
      <c r="AQ14" s="741"/>
      <c r="AR14" s="741"/>
      <c r="AS14" s="741"/>
    </row>
    <row r="15" spans="1:45" s="118" customFormat="1">
      <c r="A15" s="1129"/>
      <c r="B15" s="1512" t="s">
        <v>2842</v>
      </c>
      <c r="C15" s="1130"/>
      <c r="D15" s="1131"/>
      <c r="E15" s="1131"/>
      <c r="F15" s="1131"/>
      <c r="G15" s="1131"/>
      <c r="H15" s="1131"/>
      <c r="I15" s="1131"/>
      <c r="J15" s="1131"/>
      <c r="K15" s="1131"/>
      <c r="L15" s="1131"/>
      <c r="M15" s="1132"/>
      <c r="N15" s="1136"/>
      <c r="O15" s="1137"/>
      <c r="P15" s="1138"/>
      <c r="Q15" s="1139"/>
      <c r="R15" s="1140"/>
      <c r="S15" s="1141"/>
      <c r="T15" s="1142"/>
      <c r="U15" s="741"/>
      <c r="V15" s="741"/>
      <c r="W15" s="741"/>
      <c r="X15" s="741"/>
      <c r="Y15" s="741"/>
      <c r="Z15" s="741"/>
      <c r="AA15" s="741"/>
      <c r="AB15" s="741"/>
      <c r="AC15" s="741"/>
      <c r="AD15" s="741"/>
      <c r="AE15" s="741"/>
      <c r="AF15" s="741"/>
      <c r="AG15" s="741"/>
      <c r="AH15" s="741"/>
      <c r="AI15" s="741"/>
      <c r="AJ15" s="741"/>
      <c r="AK15" s="741"/>
      <c r="AL15" s="741"/>
      <c r="AM15" s="741"/>
      <c r="AN15" s="741"/>
      <c r="AO15" s="741"/>
      <c r="AP15" s="741"/>
      <c r="AQ15" s="741"/>
      <c r="AR15" s="741"/>
      <c r="AS15" s="741"/>
    </row>
    <row r="16" spans="1:45" s="118" customFormat="1" ht="13.8" thickBot="1">
      <c r="A16" s="1129"/>
      <c r="B16" s="1123"/>
      <c r="C16" s="1124"/>
      <c r="D16" s="1125"/>
      <c r="E16" s="1125"/>
      <c r="F16" s="1125"/>
      <c r="G16" s="1125"/>
      <c r="H16" s="1125"/>
      <c r="I16" s="1125"/>
      <c r="J16" s="1125"/>
      <c r="K16" s="1125"/>
      <c r="L16" s="1125"/>
      <c r="M16" s="1126"/>
      <c r="N16" s="1126"/>
      <c r="O16" s="1125"/>
      <c r="P16" s="1125"/>
      <c r="Q16" s="1125"/>
      <c r="R16" s="1125"/>
      <c r="S16" s="1127"/>
      <c r="T16" s="1128"/>
      <c r="U16" s="741"/>
      <c r="V16" s="741"/>
      <c r="W16" s="741"/>
      <c r="X16" s="741"/>
      <c r="Y16" s="741"/>
      <c r="Z16" s="741"/>
      <c r="AA16" s="741"/>
      <c r="AB16" s="741"/>
      <c r="AC16" s="741"/>
      <c r="AD16" s="741"/>
      <c r="AE16" s="741"/>
      <c r="AF16" s="741"/>
      <c r="AG16" s="741"/>
      <c r="AH16" s="741"/>
      <c r="AI16" s="741"/>
      <c r="AJ16" s="741"/>
      <c r="AK16" s="741"/>
      <c r="AL16" s="741"/>
      <c r="AM16" s="741"/>
      <c r="AN16" s="741"/>
      <c r="AO16" s="741"/>
      <c r="AP16" s="741"/>
      <c r="AQ16" s="741"/>
      <c r="AR16" s="741"/>
      <c r="AS16" s="741"/>
    </row>
    <row r="17" spans="1:45" s="667" customFormat="1">
      <c r="A17" s="2370" t="s">
        <v>2843</v>
      </c>
      <c r="B17" s="2371" t="s">
        <v>2844</v>
      </c>
      <c r="C17" s="1145"/>
      <c r="D17" s="1146"/>
      <c r="E17" s="1146"/>
      <c r="F17" s="1146"/>
      <c r="G17" s="1146"/>
      <c r="H17" s="1146"/>
      <c r="I17" s="1146"/>
      <c r="J17" s="1146"/>
      <c r="K17" s="1146"/>
      <c r="L17" s="1147"/>
      <c r="M17" s="1148"/>
      <c r="N17" s="1149"/>
      <c r="O17" s="1150"/>
      <c r="P17" s="1151"/>
      <c r="Q17" s="1152"/>
      <c r="R17" s="1153"/>
      <c r="S17" s="1154"/>
      <c r="T17" s="1154"/>
      <c r="U17" s="1154"/>
      <c r="V17" s="1154"/>
      <c r="W17" s="1154"/>
      <c r="X17" s="1154"/>
      <c r="Y17" s="1154"/>
      <c r="Z17" s="1154"/>
      <c r="AA17" s="1154"/>
      <c r="AB17" s="1154"/>
      <c r="AC17" s="1154"/>
      <c r="AD17" s="1154"/>
      <c r="AE17" s="1154"/>
      <c r="AF17" s="1154"/>
      <c r="AG17" s="1154"/>
      <c r="AH17" s="1154"/>
      <c r="AI17" s="1154"/>
      <c r="AJ17" s="1154"/>
      <c r="AK17" s="1154"/>
      <c r="AL17" s="1154"/>
      <c r="AM17" s="1154"/>
      <c r="AN17" s="1154"/>
      <c r="AO17" s="1154"/>
      <c r="AP17" s="1154"/>
      <c r="AQ17" s="1154"/>
      <c r="AR17" s="739"/>
      <c r="AS17" s="739"/>
    </row>
    <row r="18" spans="1:45" s="667" customFormat="1" ht="13.8" thickBot="1">
      <c r="A18" s="1155"/>
      <c r="B18" s="1156"/>
      <c r="C18" s="1157"/>
      <c r="D18" s="1158"/>
      <c r="E18" s="1158"/>
      <c r="F18" s="1158"/>
      <c r="G18" s="1158"/>
      <c r="H18" s="1158"/>
      <c r="I18" s="1158"/>
      <c r="J18" s="1158"/>
      <c r="K18" s="1158"/>
      <c r="L18" s="1158"/>
      <c r="M18" s="1159"/>
      <c r="N18" s="1159"/>
      <c r="O18" s="1158"/>
      <c r="P18" s="1158"/>
      <c r="Q18" s="1158"/>
      <c r="R18" s="1158"/>
      <c r="S18" s="1160"/>
      <c r="T18" s="1160"/>
      <c r="U18" s="1160"/>
      <c r="V18" s="1160"/>
      <c r="W18" s="1160"/>
      <c r="X18" s="1160"/>
      <c r="Y18" s="1160"/>
      <c r="Z18" s="1160"/>
      <c r="AA18" s="1160"/>
      <c r="AB18" s="1160"/>
      <c r="AC18" s="1160"/>
      <c r="AD18" s="1160"/>
      <c r="AE18" s="1160"/>
      <c r="AF18" s="1160"/>
      <c r="AG18" s="1160"/>
      <c r="AH18" s="1160"/>
      <c r="AI18" s="1160"/>
      <c r="AJ18" s="1160"/>
      <c r="AK18" s="1160"/>
      <c r="AL18" s="1160"/>
      <c r="AM18" s="1160"/>
      <c r="AN18" s="1160"/>
      <c r="AO18" s="1160"/>
      <c r="AP18" s="1160"/>
      <c r="AQ18" s="1160"/>
      <c r="AR18" s="739"/>
      <c r="AS18" s="739"/>
    </row>
    <row r="19" spans="1:45">
      <c r="A19" s="138"/>
      <c r="B19" s="168"/>
      <c r="C19" s="168"/>
      <c r="D19" s="2372" t="s">
        <v>2845</v>
      </c>
      <c r="E19" s="1530"/>
      <c r="F19" s="1530"/>
      <c r="G19" s="1530"/>
      <c r="H19" s="1194"/>
      <c r="I19" s="168"/>
      <c r="J19" s="168"/>
      <c r="K19" s="168"/>
      <c r="L19" s="168"/>
      <c r="M19" s="168"/>
      <c r="N19" s="168"/>
      <c r="O19" s="168"/>
      <c r="P19" s="168"/>
      <c r="Q19" s="168"/>
      <c r="R19" s="731"/>
      <c r="S19" s="138"/>
    </row>
    <row r="20" spans="1:45" ht="16.2" thickBot="1">
      <c r="A20" s="675" t="s">
        <v>2846</v>
      </c>
      <c r="B20" s="304" t="e">
        <f ca="1">IF(D20="——",S22,S22-F20)</f>
        <v>#REF!</v>
      </c>
      <c r="C20" s="168"/>
      <c r="D20" s="2373"/>
      <c r="E20" s="1531"/>
      <c r="F20" s="1118" t="e">
        <f ca="1">SUMIF(INDIRECT("'"&amp;H20&amp;"'"&amp;"!A:A"),"承租人权益价值",INDIRECT("'"&amp;H20&amp;"'"&amp;"!c:c"))</f>
        <v>#REF!</v>
      </c>
      <c r="G20" s="1118" t="s">
        <v>2847</v>
      </c>
      <c r="H20" s="2374"/>
      <c r="I20" s="168"/>
      <c r="J20" s="168"/>
      <c r="K20" s="168"/>
      <c r="L20" s="168"/>
      <c r="M20" s="168"/>
      <c r="N20" s="168"/>
      <c r="O20" s="168"/>
      <c r="P20" s="168"/>
      <c r="Q20" s="168"/>
      <c r="R20" s="731"/>
      <c r="S20" s="138"/>
    </row>
    <row r="21" spans="1:45" ht="15.6">
      <c r="A21" s="675" t="s">
        <v>2848</v>
      </c>
      <c r="B21" s="304" t="e">
        <f ca="1">ROUND(B20*10000/B22,0)</f>
        <v>#REF!</v>
      </c>
      <c r="C21" s="168"/>
      <c r="D21" s="168"/>
      <c r="E21" s="168"/>
      <c r="F21" s="168"/>
      <c r="G21" s="168"/>
      <c r="H21" s="168"/>
      <c r="I21" s="168"/>
      <c r="J21" s="168"/>
      <c r="K21" s="168"/>
      <c r="L21" s="168"/>
      <c r="M21" s="168"/>
      <c r="N21" s="168"/>
      <c r="O21" s="168"/>
      <c r="P21" s="168"/>
      <c r="Q21" s="168"/>
      <c r="R21" s="731"/>
      <c r="S21" s="138"/>
    </row>
    <row r="22" spans="1:45">
      <c r="A22" s="326" t="s">
        <v>2849</v>
      </c>
      <c r="B22" s="24">
        <f>SUM(B24:B10000)</f>
        <v>100</v>
      </c>
      <c r="C22" s="3441" t="s">
        <v>33</v>
      </c>
      <c r="D22" s="3442"/>
      <c r="E22" s="3442"/>
      <c r="F22" s="3442"/>
      <c r="G22" s="3442"/>
      <c r="H22" s="3442"/>
      <c r="I22" s="3442"/>
      <c r="J22" s="3442"/>
      <c r="K22" s="3442"/>
      <c r="L22" s="3442"/>
      <c r="M22" s="3442"/>
      <c r="N22" s="3442"/>
      <c r="O22" s="3442"/>
      <c r="P22" s="3442"/>
      <c r="Q22" s="3443"/>
      <c r="R22" s="676">
        <f>ROUND(S22*10000/B22,0)</f>
        <v>10000</v>
      </c>
      <c r="S22" s="24">
        <f>SUM(S24:S10000)</f>
        <v>100</v>
      </c>
    </row>
    <row r="23" spans="1:45" s="12" customFormat="1" ht="24">
      <c r="A23" s="11" t="s">
        <v>2850</v>
      </c>
      <c r="B23" s="11" t="s">
        <v>2851</v>
      </c>
      <c r="C23" s="11" t="s">
        <v>2852</v>
      </c>
      <c r="D23" s="11" t="str">
        <f>B5</f>
        <v>修正项2</v>
      </c>
      <c r="E23" s="11" t="s">
        <v>2852</v>
      </c>
      <c r="F23" s="11" t="str">
        <f>B7</f>
        <v>修正项3</v>
      </c>
      <c r="G23" s="11" t="s">
        <v>2852</v>
      </c>
      <c r="H23" s="11" t="str">
        <f>B9</f>
        <v>修正项4</v>
      </c>
      <c r="I23" s="11" t="s">
        <v>2852</v>
      </c>
      <c r="J23" s="11" t="str">
        <f>B11</f>
        <v>修正项5</v>
      </c>
      <c r="K23" s="11" t="s">
        <v>2852</v>
      </c>
      <c r="L23" s="11" t="str">
        <f>B13</f>
        <v>修正项6</v>
      </c>
      <c r="M23" s="11" t="s">
        <v>2852</v>
      </c>
      <c r="N23" s="11" t="str">
        <f>B15</f>
        <v>修正项7</v>
      </c>
      <c r="O23" s="11" t="s">
        <v>2852</v>
      </c>
      <c r="P23" s="11" t="str">
        <f>B17</f>
        <v>楼层</v>
      </c>
      <c r="Q23" s="11" t="s">
        <v>2852</v>
      </c>
      <c r="R23" s="677" t="s">
        <v>2853</v>
      </c>
      <c r="S23" s="11" t="s">
        <v>2854</v>
      </c>
      <c r="T23" s="742"/>
      <c r="U23" s="742"/>
      <c r="V23" s="742"/>
      <c r="W23" s="742"/>
      <c r="X23" s="742"/>
      <c r="Y23" s="742"/>
      <c r="Z23" s="742"/>
      <c r="AA23" s="742"/>
      <c r="AB23" s="742"/>
      <c r="AC23" s="742"/>
      <c r="AD23" s="742"/>
      <c r="AE23" s="742"/>
      <c r="AF23" s="742"/>
      <c r="AG23" s="742"/>
      <c r="AH23" s="742"/>
      <c r="AI23" s="742"/>
      <c r="AJ23" s="742"/>
      <c r="AK23" s="742"/>
      <c r="AL23" s="742"/>
      <c r="AM23" s="742"/>
      <c r="AN23" s="742"/>
      <c r="AO23" s="742"/>
      <c r="AP23" s="742"/>
      <c r="AQ23" s="742"/>
      <c r="AR23" s="742"/>
      <c r="AS23" s="742"/>
    </row>
    <row r="24" spans="1:45" s="682" customFormat="1">
      <c r="A24" s="678" t="s">
        <v>2855</v>
      </c>
      <c r="B24" s="678">
        <v>100</v>
      </c>
      <c r="C24" s="679">
        <v>1</v>
      </c>
      <c r="D24" s="680"/>
      <c r="E24" s="679">
        <v>1</v>
      </c>
      <c r="F24" s="680"/>
      <c r="G24" s="679">
        <v>1</v>
      </c>
      <c r="H24" s="680"/>
      <c r="I24" s="679">
        <v>1</v>
      </c>
      <c r="J24" s="680"/>
      <c r="K24" s="679">
        <v>1</v>
      </c>
      <c r="L24" s="680"/>
      <c r="M24" s="679">
        <v>1</v>
      </c>
      <c r="N24" s="680"/>
      <c r="O24" s="679">
        <v>1</v>
      </c>
      <c r="P24" s="680"/>
      <c r="Q24" s="679">
        <v>1</v>
      </c>
      <c r="R24" s="681">
        <v>10000</v>
      </c>
      <c r="S24" s="679">
        <f t="shared" ref="S24:S54" si="11">ROUND(R24*B24/10000,0)</f>
        <v>100</v>
      </c>
      <c r="T24" s="743"/>
      <c r="U24" s="743"/>
      <c r="V24" s="743"/>
      <c r="W24" s="743"/>
      <c r="X24" s="743"/>
      <c r="Y24" s="743"/>
      <c r="Z24" s="743"/>
      <c r="AA24" s="743"/>
      <c r="AB24" s="743"/>
      <c r="AC24" s="743"/>
      <c r="AD24" s="743"/>
      <c r="AE24" s="743"/>
      <c r="AF24" s="743"/>
      <c r="AG24" s="743"/>
      <c r="AH24" s="743"/>
      <c r="AI24" s="743"/>
      <c r="AJ24" s="743"/>
      <c r="AK24" s="743"/>
      <c r="AL24" s="743"/>
      <c r="AM24" s="743"/>
      <c r="AN24" s="743"/>
      <c r="AO24" s="743"/>
      <c r="AP24" s="743"/>
      <c r="AQ24" s="743"/>
      <c r="AR24" s="743"/>
      <c r="AS24" s="743"/>
    </row>
    <row r="25" spans="1:45">
      <c r="A25" s="159"/>
      <c r="B25" s="59"/>
      <c r="C25" s="24">
        <f>IF(B25="",1,(LOOKUP(B25,$3:$3,$4:$4)-LOOKUP($B$24,$3:$3,$4:$4)+100)/100)</f>
        <v>1</v>
      </c>
      <c r="D25" s="680"/>
      <c r="E25" s="24">
        <f>(SUMIF($5:$5,D25,$6:$6)-SUMIF($5:$5,$D$24,$6:$6)+100)/100</f>
        <v>1</v>
      </c>
      <c r="F25" s="680"/>
      <c r="G25" s="24">
        <f>(SUMIF($7:$7,F25,$8:$8)-SUMIF($7:$7,$F$24,$8:$8)+100)/100</f>
        <v>1</v>
      </c>
      <c r="H25" s="680"/>
      <c r="I25" s="24">
        <f>(SUMIF($9:$9,H25,$10:$10)-SUMIF($9:$9,$H$24,$10:$10)+100)/100</f>
        <v>1</v>
      </c>
      <c r="J25" s="680"/>
      <c r="K25" s="24">
        <f>(SUMIF($11:$11,J25,$12:$12)-SUMIF($11:$11,$J$24,$12:$12)+100)/100</f>
        <v>1</v>
      </c>
      <c r="L25" s="680"/>
      <c r="M25" s="24">
        <f>(SUMIF($13:$13,L25,$14:$14)-SUMIF($13:$13,$L$24,$14:$14)+100)/100</f>
        <v>1</v>
      </c>
      <c r="N25" s="680"/>
      <c r="O25" s="24">
        <f>(SUMIF($15:$15,N25,$16:$16)-SUMIF($15:$15,$N$24,$16:$16)+100)/100</f>
        <v>1</v>
      </c>
      <c r="P25" s="680"/>
      <c r="Q25" s="24">
        <f>(SUMIF($17:$17,P25,$18:$18)-SUMIF($17:$17,$P$24,$18:$18)+100)/100</f>
        <v>1</v>
      </c>
      <c r="R25" s="676">
        <f>IF(B25="",0,ROUND($R$24*C25*E25*G25*I25*K25*M25*O25*Q25,0))</f>
        <v>0</v>
      </c>
      <c r="S25" s="326">
        <f t="shared" si="11"/>
        <v>0</v>
      </c>
    </row>
    <row r="26" spans="1:45">
      <c r="A26" s="159"/>
      <c r="B26" s="59"/>
      <c r="C26" s="24">
        <f t="shared" ref="C26:C89" si="12">IF(B26="",1,(LOOKUP(B26,$3:$3,$4:$4)-LOOKUP($B$24,$3:$3,$4:$4)+100)/100)</f>
        <v>1</v>
      </c>
      <c r="D26" s="680"/>
      <c r="E26" s="24">
        <f t="shared" ref="E26:E89" si="13">(SUMIF($5:$5,D26,$6:$6)-SUMIF($5:$5,$D$24,$6:$6)+100)/100</f>
        <v>1</v>
      </c>
      <c r="F26" s="680"/>
      <c r="G26" s="24">
        <f t="shared" ref="G26:G89" si="14">(SUMIF($7:$7,F26,$8:$8)-SUMIF($7:$7,$F$24,$8:$8)+100)/100</f>
        <v>1</v>
      </c>
      <c r="H26" s="680"/>
      <c r="I26" s="24">
        <f t="shared" ref="I26:I89" si="15">(SUMIF($9:$9,H26,$10:$10)-SUMIF($9:$9,$H$24,$10:$10)+100)/100</f>
        <v>1</v>
      </c>
      <c r="J26" s="680"/>
      <c r="K26" s="24">
        <f t="shared" ref="K26:K89" si="16">(SUMIF($11:$11,J26,$12:$12)-SUMIF($11:$11,$J$24,$12:$12)+100)/100</f>
        <v>1</v>
      </c>
      <c r="L26" s="680"/>
      <c r="M26" s="24">
        <f t="shared" ref="M26:M89" si="17">(SUMIF($13:$13,L26,$14:$14)-SUMIF($13:$13,$L$24,$14:$14)+100)/100</f>
        <v>1</v>
      </c>
      <c r="N26" s="680"/>
      <c r="O26" s="24">
        <f t="shared" ref="O26:O89" si="18">(SUMIF($15:$15,N26,$16:$16)-SUMIF($15:$15,$N$24,$16:$16)+100)/100</f>
        <v>1</v>
      </c>
      <c r="P26" s="680"/>
      <c r="Q26" s="24">
        <f t="shared" ref="Q26:Q89" si="19">(SUMIF($17:$17,P26,$18:$18)-SUMIF($17:$17,$P$24,$18:$18)+100)/100</f>
        <v>1</v>
      </c>
      <c r="R26" s="676">
        <f t="shared" ref="R26:R89" si="20">IF(B26="",0,ROUND($R$24*C26*E26*G26*I26*K26*M26*O26*Q26,0))</f>
        <v>0</v>
      </c>
      <c r="S26" s="326">
        <f t="shared" si="11"/>
        <v>0</v>
      </c>
    </row>
    <row r="27" spans="1:45">
      <c r="A27" s="159"/>
      <c r="B27" s="59"/>
      <c r="C27" s="24">
        <f t="shared" si="12"/>
        <v>1</v>
      </c>
      <c r="D27" s="680"/>
      <c r="E27" s="24">
        <f t="shared" si="13"/>
        <v>1</v>
      </c>
      <c r="F27" s="680"/>
      <c r="G27" s="24">
        <f t="shared" si="14"/>
        <v>1</v>
      </c>
      <c r="H27" s="680"/>
      <c r="I27" s="24">
        <f t="shared" si="15"/>
        <v>1</v>
      </c>
      <c r="J27" s="680"/>
      <c r="K27" s="24">
        <f t="shared" si="16"/>
        <v>1</v>
      </c>
      <c r="L27" s="680"/>
      <c r="M27" s="24">
        <f t="shared" si="17"/>
        <v>1</v>
      </c>
      <c r="N27" s="680"/>
      <c r="O27" s="24">
        <f t="shared" si="18"/>
        <v>1</v>
      </c>
      <c r="P27" s="680"/>
      <c r="Q27" s="24">
        <f t="shared" si="19"/>
        <v>1</v>
      </c>
      <c r="R27" s="676">
        <f t="shared" si="20"/>
        <v>0</v>
      </c>
      <c r="S27" s="326">
        <f t="shared" si="11"/>
        <v>0</v>
      </c>
    </row>
    <row r="28" spans="1:45">
      <c r="A28" s="159"/>
      <c r="B28" s="59"/>
      <c r="C28" s="24">
        <f t="shared" si="12"/>
        <v>1</v>
      </c>
      <c r="D28" s="680"/>
      <c r="E28" s="24">
        <f t="shared" si="13"/>
        <v>1</v>
      </c>
      <c r="F28" s="680"/>
      <c r="G28" s="24">
        <f t="shared" si="14"/>
        <v>1</v>
      </c>
      <c r="H28" s="680"/>
      <c r="I28" s="24">
        <f t="shared" si="15"/>
        <v>1</v>
      </c>
      <c r="J28" s="680"/>
      <c r="K28" s="24">
        <f t="shared" si="16"/>
        <v>1</v>
      </c>
      <c r="L28" s="680"/>
      <c r="M28" s="24">
        <f t="shared" si="17"/>
        <v>1</v>
      </c>
      <c r="N28" s="680"/>
      <c r="O28" s="24">
        <f t="shared" si="18"/>
        <v>1</v>
      </c>
      <c r="P28" s="680"/>
      <c r="Q28" s="24">
        <f t="shared" si="19"/>
        <v>1</v>
      </c>
      <c r="R28" s="676">
        <f t="shared" si="20"/>
        <v>0</v>
      </c>
      <c r="S28" s="326">
        <f t="shared" si="11"/>
        <v>0</v>
      </c>
    </row>
    <row r="29" spans="1:45">
      <c r="A29" s="159"/>
      <c r="B29" s="59"/>
      <c r="C29" s="24">
        <f t="shared" si="12"/>
        <v>1</v>
      </c>
      <c r="D29" s="680"/>
      <c r="E29" s="24">
        <f t="shared" si="13"/>
        <v>1</v>
      </c>
      <c r="F29" s="680"/>
      <c r="G29" s="24">
        <f t="shared" si="14"/>
        <v>1</v>
      </c>
      <c r="H29" s="680"/>
      <c r="I29" s="24">
        <f t="shared" si="15"/>
        <v>1</v>
      </c>
      <c r="J29" s="680"/>
      <c r="K29" s="24">
        <f t="shared" si="16"/>
        <v>1</v>
      </c>
      <c r="L29" s="680"/>
      <c r="M29" s="24">
        <f t="shared" si="17"/>
        <v>1</v>
      </c>
      <c r="N29" s="680"/>
      <c r="O29" s="24">
        <f t="shared" si="18"/>
        <v>1</v>
      </c>
      <c r="P29" s="680"/>
      <c r="Q29" s="24">
        <f t="shared" si="19"/>
        <v>1</v>
      </c>
      <c r="R29" s="676">
        <f t="shared" si="20"/>
        <v>0</v>
      </c>
      <c r="S29" s="326">
        <f t="shared" si="11"/>
        <v>0</v>
      </c>
    </row>
    <row r="30" spans="1:45">
      <c r="A30" s="159"/>
      <c r="B30" s="59"/>
      <c r="C30" s="24">
        <f t="shared" si="12"/>
        <v>1</v>
      </c>
      <c r="D30" s="680"/>
      <c r="E30" s="24">
        <f t="shared" si="13"/>
        <v>1</v>
      </c>
      <c r="F30" s="680"/>
      <c r="G30" s="24">
        <f t="shared" si="14"/>
        <v>1</v>
      </c>
      <c r="H30" s="680"/>
      <c r="I30" s="24">
        <f t="shared" si="15"/>
        <v>1</v>
      </c>
      <c r="J30" s="680"/>
      <c r="K30" s="24">
        <f t="shared" si="16"/>
        <v>1</v>
      </c>
      <c r="L30" s="680"/>
      <c r="M30" s="24">
        <f t="shared" si="17"/>
        <v>1</v>
      </c>
      <c r="N30" s="680"/>
      <c r="O30" s="24">
        <f t="shared" si="18"/>
        <v>1</v>
      </c>
      <c r="P30" s="680"/>
      <c r="Q30" s="24">
        <f t="shared" si="19"/>
        <v>1</v>
      </c>
      <c r="R30" s="676">
        <f t="shared" si="20"/>
        <v>0</v>
      </c>
      <c r="S30" s="326">
        <f t="shared" si="11"/>
        <v>0</v>
      </c>
    </row>
    <row r="31" spans="1:45">
      <c r="A31" s="159"/>
      <c r="B31" s="59"/>
      <c r="C31" s="24">
        <f t="shared" si="12"/>
        <v>1</v>
      </c>
      <c r="D31" s="680"/>
      <c r="E31" s="24">
        <f t="shared" si="13"/>
        <v>1</v>
      </c>
      <c r="F31" s="680"/>
      <c r="G31" s="24">
        <f t="shared" si="14"/>
        <v>1</v>
      </c>
      <c r="H31" s="680"/>
      <c r="I31" s="24">
        <f t="shared" si="15"/>
        <v>1</v>
      </c>
      <c r="J31" s="680"/>
      <c r="K31" s="24">
        <f t="shared" si="16"/>
        <v>1</v>
      </c>
      <c r="L31" s="680"/>
      <c r="M31" s="24">
        <f t="shared" si="17"/>
        <v>1</v>
      </c>
      <c r="N31" s="680"/>
      <c r="O31" s="24">
        <f t="shared" si="18"/>
        <v>1</v>
      </c>
      <c r="P31" s="680"/>
      <c r="Q31" s="24">
        <f t="shared" si="19"/>
        <v>1</v>
      </c>
      <c r="R31" s="676">
        <f t="shared" si="20"/>
        <v>0</v>
      </c>
      <c r="S31" s="326">
        <f t="shared" si="11"/>
        <v>0</v>
      </c>
    </row>
    <row r="32" spans="1:45">
      <c r="A32" s="159"/>
      <c r="B32" s="59"/>
      <c r="C32" s="24">
        <f t="shared" si="12"/>
        <v>1</v>
      </c>
      <c r="D32" s="680"/>
      <c r="E32" s="24">
        <f t="shared" si="13"/>
        <v>1</v>
      </c>
      <c r="F32" s="680"/>
      <c r="G32" s="24">
        <f t="shared" si="14"/>
        <v>1</v>
      </c>
      <c r="H32" s="680"/>
      <c r="I32" s="24">
        <f t="shared" si="15"/>
        <v>1</v>
      </c>
      <c r="J32" s="680"/>
      <c r="K32" s="24">
        <f t="shared" si="16"/>
        <v>1</v>
      </c>
      <c r="L32" s="680"/>
      <c r="M32" s="24">
        <f t="shared" si="17"/>
        <v>1</v>
      </c>
      <c r="N32" s="680"/>
      <c r="O32" s="24">
        <f t="shared" si="18"/>
        <v>1</v>
      </c>
      <c r="P32" s="680"/>
      <c r="Q32" s="24">
        <f t="shared" si="19"/>
        <v>1</v>
      </c>
      <c r="R32" s="676">
        <f t="shared" si="20"/>
        <v>0</v>
      </c>
      <c r="S32" s="326">
        <f t="shared" si="11"/>
        <v>0</v>
      </c>
    </row>
    <row r="33" spans="1:19">
      <c r="A33" s="159"/>
      <c r="B33" s="59"/>
      <c r="C33" s="24">
        <f t="shared" si="12"/>
        <v>1</v>
      </c>
      <c r="D33" s="680"/>
      <c r="E33" s="24">
        <f t="shared" si="13"/>
        <v>1</v>
      </c>
      <c r="F33" s="680"/>
      <c r="G33" s="24">
        <f t="shared" si="14"/>
        <v>1</v>
      </c>
      <c r="H33" s="680"/>
      <c r="I33" s="24">
        <f t="shared" si="15"/>
        <v>1</v>
      </c>
      <c r="J33" s="680"/>
      <c r="K33" s="24">
        <f t="shared" si="16"/>
        <v>1</v>
      </c>
      <c r="L33" s="680"/>
      <c r="M33" s="24">
        <f t="shared" si="17"/>
        <v>1</v>
      </c>
      <c r="N33" s="680"/>
      <c r="O33" s="24">
        <f t="shared" si="18"/>
        <v>1</v>
      </c>
      <c r="P33" s="680"/>
      <c r="Q33" s="24">
        <f t="shared" si="19"/>
        <v>1</v>
      </c>
      <c r="R33" s="676">
        <f t="shared" si="20"/>
        <v>0</v>
      </c>
      <c r="S33" s="326">
        <f t="shared" si="11"/>
        <v>0</v>
      </c>
    </row>
    <row r="34" spans="1:19">
      <c r="A34" s="159"/>
      <c r="B34" s="59"/>
      <c r="C34" s="24">
        <f t="shared" si="12"/>
        <v>1</v>
      </c>
      <c r="D34" s="680"/>
      <c r="E34" s="24">
        <f t="shared" si="13"/>
        <v>1</v>
      </c>
      <c r="F34" s="680"/>
      <c r="G34" s="24">
        <f t="shared" si="14"/>
        <v>1</v>
      </c>
      <c r="H34" s="680"/>
      <c r="I34" s="24">
        <f t="shared" si="15"/>
        <v>1</v>
      </c>
      <c r="J34" s="680"/>
      <c r="K34" s="24">
        <f t="shared" si="16"/>
        <v>1</v>
      </c>
      <c r="L34" s="680"/>
      <c r="M34" s="24">
        <f t="shared" si="17"/>
        <v>1</v>
      </c>
      <c r="N34" s="680"/>
      <c r="O34" s="24">
        <f t="shared" si="18"/>
        <v>1</v>
      </c>
      <c r="P34" s="680"/>
      <c r="Q34" s="24">
        <f t="shared" si="19"/>
        <v>1</v>
      </c>
      <c r="R34" s="676">
        <f t="shared" si="20"/>
        <v>0</v>
      </c>
      <c r="S34" s="326">
        <f t="shared" si="11"/>
        <v>0</v>
      </c>
    </row>
    <row r="35" spans="1:19">
      <c r="A35" s="159"/>
      <c r="B35" s="59"/>
      <c r="C35" s="24">
        <f t="shared" si="12"/>
        <v>1</v>
      </c>
      <c r="D35" s="680"/>
      <c r="E35" s="24">
        <f t="shared" si="13"/>
        <v>1</v>
      </c>
      <c r="F35" s="680"/>
      <c r="G35" s="24">
        <f t="shared" si="14"/>
        <v>1</v>
      </c>
      <c r="H35" s="680"/>
      <c r="I35" s="24">
        <f t="shared" si="15"/>
        <v>1</v>
      </c>
      <c r="J35" s="680"/>
      <c r="K35" s="24">
        <f t="shared" si="16"/>
        <v>1</v>
      </c>
      <c r="L35" s="680"/>
      <c r="M35" s="24">
        <f t="shared" si="17"/>
        <v>1</v>
      </c>
      <c r="N35" s="680"/>
      <c r="O35" s="24">
        <f t="shared" si="18"/>
        <v>1</v>
      </c>
      <c r="P35" s="680"/>
      <c r="Q35" s="24">
        <f t="shared" si="19"/>
        <v>1</v>
      </c>
      <c r="R35" s="676">
        <f t="shared" si="20"/>
        <v>0</v>
      </c>
      <c r="S35" s="326">
        <f t="shared" si="11"/>
        <v>0</v>
      </c>
    </row>
    <row r="36" spans="1:19">
      <c r="A36" s="159"/>
      <c r="B36" s="59"/>
      <c r="C36" s="24">
        <f t="shared" si="12"/>
        <v>1</v>
      </c>
      <c r="D36" s="680"/>
      <c r="E36" s="24">
        <f t="shared" si="13"/>
        <v>1</v>
      </c>
      <c r="F36" s="680"/>
      <c r="G36" s="24">
        <f t="shared" si="14"/>
        <v>1</v>
      </c>
      <c r="H36" s="680"/>
      <c r="I36" s="24">
        <f t="shared" si="15"/>
        <v>1</v>
      </c>
      <c r="J36" s="680"/>
      <c r="K36" s="24">
        <f t="shared" si="16"/>
        <v>1</v>
      </c>
      <c r="L36" s="680"/>
      <c r="M36" s="24">
        <f t="shared" si="17"/>
        <v>1</v>
      </c>
      <c r="N36" s="680"/>
      <c r="O36" s="24">
        <f t="shared" si="18"/>
        <v>1</v>
      </c>
      <c r="P36" s="680"/>
      <c r="Q36" s="24">
        <f t="shared" si="19"/>
        <v>1</v>
      </c>
      <c r="R36" s="676">
        <f t="shared" si="20"/>
        <v>0</v>
      </c>
      <c r="S36" s="326">
        <f t="shared" si="11"/>
        <v>0</v>
      </c>
    </row>
    <row r="37" spans="1:19">
      <c r="A37" s="159"/>
      <c r="B37" s="59"/>
      <c r="C37" s="24">
        <f t="shared" si="12"/>
        <v>1</v>
      </c>
      <c r="D37" s="680"/>
      <c r="E37" s="24">
        <f t="shared" si="13"/>
        <v>1</v>
      </c>
      <c r="F37" s="680"/>
      <c r="G37" s="24">
        <f t="shared" si="14"/>
        <v>1</v>
      </c>
      <c r="H37" s="680"/>
      <c r="I37" s="24">
        <f t="shared" si="15"/>
        <v>1</v>
      </c>
      <c r="J37" s="680"/>
      <c r="K37" s="24">
        <f t="shared" si="16"/>
        <v>1</v>
      </c>
      <c r="L37" s="680"/>
      <c r="M37" s="24">
        <f t="shared" si="17"/>
        <v>1</v>
      </c>
      <c r="N37" s="680"/>
      <c r="O37" s="24">
        <f t="shared" si="18"/>
        <v>1</v>
      </c>
      <c r="P37" s="680"/>
      <c r="Q37" s="24">
        <f t="shared" si="19"/>
        <v>1</v>
      </c>
      <c r="R37" s="676">
        <f t="shared" si="20"/>
        <v>0</v>
      </c>
      <c r="S37" s="326">
        <f t="shared" si="11"/>
        <v>0</v>
      </c>
    </row>
    <row r="38" spans="1:19">
      <c r="A38" s="159"/>
      <c r="B38" s="59"/>
      <c r="C38" s="24">
        <f t="shared" si="12"/>
        <v>1</v>
      </c>
      <c r="D38" s="680"/>
      <c r="E38" s="24">
        <f t="shared" si="13"/>
        <v>1</v>
      </c>
      <c r="F38" s="680"/>
      <c r="G38" s="24">
        <f t="shared" si="14"/>
        <v>1</v>
      </c>
      <c r="H38" s="680"/>
      <c r="I38" s="24">
        <f t="shared" si="15"/>
        <v>1</v>
      </c>
      <c r="J38" s="680"/>
      <c r="K38" s="24">
        <f t="shared" si="16"/>
        <v>1</v>
      </c>
      <c r="L38" s="680"/>
      <c r="M38" s="24">
        <f t="shared" si="17"/>
        <v>1</v>
      </c>
      <c r="N38" s="680"/>
      <c r="O38" s="24">
        <f t="shared" si="18"/>
        <v>1</v>
      </c>
      <c r="P38" s="680"/>
      <c r="Q38" s="24">
        <f t="shared" si="19"/>
        <v>1</v>
      </c>
      <c r="R38" s="676">
        <f t="shared" si="20"/>
        <v>0</v>
      </c>
      <c r="S38" s="326">
        <f t="shared" si="11"/>
        <v>0</v>
      </c>
    </row>
    <row r="39" spans="1:19">
      <c r="A39" s="159"/>
      <c r="B39" s="59"/>
      <c r="C39" s="24">
        <f t="shared" si="12"/>
        <v>1</v>
      </c>
      <c r="D39" s="680"/>
      <c r="E39" s="24">
        <f t="shared" si="13"/>
        <v>1</v>
      </c>
      <c r="F39" s="680"/>
      <c r="G39" s="24">
        <f t="shared" si="14"/>
        <v>1</v>
      </c>
      <c r="H39" s="680"/>
      <c r="I39" s="24">
        <f t="shared" si="15"/>
        <v>1</v>
      </c>
      <c r="J39" s="680"/>
      <c r="K39" s="24">
        <f t="shared" si="16"/>
        <v>1</v>
      </c>
      <c r="L39" s="680"/>
      <c r="M39" s="24">
        <f t="shared" si="17"/>
        <v>1</v>
      </c>
      <c r="N39" s="680"/>
      <c r="O39" s="24">
        <f t="shared" si="18"/>
        <v>1</v>
      </c>
      <c r="P39" s="680"/>
      <c r="Q39" s="24">
        <f t="shared" si="19"/>
        <v>1</v>
      </c>
      <c r="R39" s="676">
        <f t="shared" si="20"/>
        <v>0</v>
      </c>
      <c r="S39" s="326">
        <f t="shared" si="11"/>
        <v>0</v>
      </c>
    </row>
    <row r="40" spans="1:19">
      <c r="A40" s="159"/>
      <c r="B40" s="59"/>
      <c r="C40" s="24">
        <f t="shared" si="12"/>
        <v>1</v>
      </c>
      <c r="D40" s="680"/>
      <c r="E40" s="24">
        <f t="shared" si="13"/>
        <v>1</v>
      </c>
      <c r="F40" s="680"/>
      <c r="G40" s="24">
        <f t="shared" si="14"/>
        <v>1</v>
      </c>
      <c r="H40" s="680"/>
      <c r="I40" s="24">
        <f t="shared" si="15"/>
        <v>1</v>
      </c>
      <c r="J40" s="680"/>
      <c r="K40" s="24">
        <f t="shared" si="16"/>
        <v>1</v>
      </c>
      <c r="L40" s="680"/>
      <c r="M40" s="24">
        <f t="shared" si="17"/>
        <v>1</v>
      </c>
      <c r="N40" s="680"/>
      <c r="O40" s="24">
        <f t="shared" si="18"/>
        <v>1</v>
      </c>
      <c r="P40" s="680"/>
      <c r="Q40" s="24">
        <f t="shared" si="19"/>
        <v>1</v>
      </c>
      <c r="R40" s="676">
        <f t="shared" si="20"/>
        <v>0</v>
      </c>
      <c r="S40" s="326">
        <f t="shared" si="11"/>
        <v>0</v>
      </c>
    </row>
    <row r="41" spans="1:19">
      <c r="A41" s="159"/>
      <c r="B41" s="59"/>
      <c r="C41" s="24">
        <f t="shared" si="12"/>
        <v>1</v>
      </c>
      <c r="D41" s="680"/>
      <c r="E41" s="24">
        <f t="shared" si="13"/>
        <v>1</v>
      </c>
      <c r="F41" s="680"/>
      <c r="G41" s="24">
        <f t="shared" si="14"/>
        <v>1</v>
      </c>
      <c r="H41" s="680"/>
      <c r="I41" s="24">
        <f t="shared" si="15"/>
        <v>1</v>
      </c>
      <c r="J41" s="680"/>
      <c r="K41" s="24">
        <f t="shared" si="16"/>
        <v>1</v>
      </c>
      <c r="L41" s="680"/>
      <c r="M41" s="24">
        <f t="shared" si="17"/>
        <v>1</v>
      </c>
      <c r="N41" s="680"/>
      <c r="O41" s="24">
        <f t="shared" si="18"/>
        <v>1</v>
      </c>
      <c r="P41" s="680"/>
      <c r="Q41" s="24">
        <f t="shared" si="19"/>
        <v>1</v>
      </c>
      <c r="R41" s="676">
        <f t="shared" si="20"/>
        <v>0</v>
      </c>
      <c r="S41" s="326">
        <f t="shared" si="11"/>
        <v>0</v>
      </c>
    </row>
    <row r="42" spans="1:19">
      <c r="A42" s="159"/>
      <c r="B42" s="59"/>
      <c r="C42" s="24">
        <f t="shared" si="12"/>
        <v>1</v>
      </c>
      <c r="D42" s="680"/>
      <c r="E42" s="24">
        <f t="shared" si="13"/>
        <v>1</v>
      </c>
      <c r="F42" s="680"/>
      <c r="G42" s="24">
        <f t="shared" si="14"/>
        <v>1</v>
      </c>
      <c r="H42" s="680"/>
      <c r="I42" s="24">
        <f t="shared" si="15"/>
        <v>1</v>
      </c>
      <c r="J42" s="680"/>
      <c r="K42" s="24">
        <f t="shared" si="16"/>
        <v>1</v>
      </c>
      <c r="L42" s="680"/>
      <c r="M42" s="24">
        <f t="shared" si="17"/>
        <v>1</v>
      </c>
      <c r="N42" s="680"/>
      <c r="O42" s="24">
        <f t="shared" si="18"/>
        <v>1</v>
      </c>
      <c r="P42" s="680"/>
      <c r="Q42" s="24">
        <f t="shared" si="19"/>
        <v>1</v>
      </c>
      <c r="R42" s="676">
        <f t="shared" si="20"/>
        <v>0</v>
      </c>
      <c r="S42" s="326">
        <f t="shared" si="11"/>
        <v>0</v>
      </c>
    </row>
    <row r="43" spans="1:19">
      <c r="A43" s="159"/>
      <c r="B43" s="59"/>
      <c r="C43" s="24">
        <f t="shared" si="12"/>
        <v>1</v>
      </c>
      <c r="D43" s="680"/>
      <c r="E43" s="24">
        <f t="shared" si="13"/>
        <v>1</v>
      </c>
      <c r="F43" s="680"/>
      <c r="G43" s="24">
        <f t="shared" si="14"/>
        <v>1</v>
      </c>
      <c r="H43" s="680"/>
      <c r="I43" s="24">
        <f t="shared" si="15"/>
        <v>1</v>
      </c>
      <c r="J43" s="680"/>
      <c r="K43" s="24">
        <f t="shared" si="16"/>
        <v>1</v>
      </c>
      <c r="L43" s="680"/>
      <c r="M43" s="24">
        <f t="shared" si="17"/>
        <v>1</v>
      </c>
      <c r="N43" s="680"/>
      <c r="O43" s="24">
        <f t="shared" si="18"/>
        <v>1</v>
      </c>
      <c r="P43" s="680"/>
      <c r="Q43" s="24">
        <f t="shared" si="19"/>
        <v>1</v>
      </c>
      <c r="R43" s="676">
        <f t="shared" si="20"/>
        <v>0</v>
      </c>
      <c r="S43" s="326">
        <f t="shared" si="11"/>
        <v>0</v>
      </c>
    </row>
    <row r="44" spans="1:19">
      <c r="A44" s="159"/>
      <c r="B44" s="59"/>
      <c r="C44" s="24">
        <f t="shared" si="12"/>
        <v>1</v>
      </c>
      <c r="D44" s="680"/>
      <c r="E44" s="24">
        <f t="shared" si="13"/>
        <v>1</v>
      </c>
      <c r="F44" s="680"/>
      <c r="G44" s="24">
        <f t="shared" si="14"/>
        <v>1</v>
      </c>
      <c r="H44" s="680"/>
      <c r="I44" s="24">
        <f t="shared" si="15"/>
        <v>1</v>
      </c>
      <c r="J44" s="680"/>
      <c r="K44" s="24">
        <f t="shared" si="16"/>
        <v>1</v>
      </c>
      <c r="L44" s="680"/>
      <c r="M44" s="24">
        <f t="shared" si="17"/>
        <v>1</v>
      </c>
      <c r="N44" s="680"/>
      <c r="O44" s="24">
        <f t="shared" si="18"/>
        <v>1</v>
      </c>
      <c r="P44" s="680"/>
      <c r="Q44" s="24">
        <f t="shared" si="19"/>
        <v>1</v>
      </c>
      <c r="R44" s="676">
        <f t="shared" si="20"/>
        <v>0</v>
      </c>
      <c r="S44" s="326">
        <f t="shared" si="11"/>
        <v>0</v>
      </c>
    </row>
    <row r="45" spans="1:19">
      <c r="A45" s="159"/>
      <c r="B45" s="59"/>
      <c r="C45" s="24">
        <f t="shared" si="12"/>
        <v>1</v>
      </c>
      <c r="D45" s="680"/>
      <c r="E45" s="24">
        <f t="shared" si="13"/>
        <v>1</v>
      </c>
      <c r="F45" s="680"/>
      <c r="G45" s="24">
        <f t="shared" si="14"/>
        <v>1</v>
      </c>
      <c r="H45" s="680"/>
      <c r="I45" s="24">
        <f t="shared" si="15"/>
        <v>1</v>
      </c>
      <c r="J45" s="680"/>
      <c r="K45" s="24">
        <f t="shared" si="16"/>
        <v>1</v>
      </c>
      <c r="L45" s="680"/>
      <c r="M45" s="24">
        <f t="shared" si="17"/>
        <v>1</v>
      </c>
      <c r="N45" s="680"/>
      <c r="O45" s="24">
        <f t="shared" si="18"/>
        <v>1</v>
      </c>
      <c r="P45" s="680"/>
      <c r="Q45" s="24">
        <f t="shared" si="19"/>
        <v>1</v>
      </c>
      <c r="R45" s="676">
        <f t="shared" si="20"/>
        <v>0</v>
      </c>
      <c r="S45" s="326">
        <f t="shared" si="11"/>
        <v>0</v>
      </c>
    </row>
    <row r="46" spans="1:19">
      <c r="A46" s="159"/>
      <c r="B46" s="59"/>
      <c r="C46" s="24">
        <f t="shared" si="12"/>
        <v>1</v>
      </c>
      <c r="D46" s="680"/>
      <c r="E46" s="24">
        <f t="shared" si="13"/>
        <v>1</v>
      </c>
      <c r="F46" s="680"/>
      <c r="G46" s="24">
        <f t="shared" si="14"/>
        <v>1</v>
      </c>
      <c r="H46" s="680"/>
      <c r="I46" s="24">
        <f t="shared" si="15"/>
        <v>1</v>
      </c>
      <c r="J46" s="680"/>
      <c r="K46" s="24">
        <f t="shared" si="16"/>
        <v>1</v>
      </c>
      <c r="L46" s="680"/>
      <c r="M46" s="24">
        <f t="shared" si="17"/>
        <v>1</v>
      </c>
      <c r="N46" s="680"/>
      <c r="O46" s="24">
        <f t="shared" si="18"/>
        <v>1</v>
      </c>
      <c r="P46" s="680"/>
      <c r="Q46" s="24">
        <f t="shared" si="19"/>
        <v>1</v>
      </c>
      <c r="R46" s="676">
        <f t="shared" si="20"/>
        <v>0</v>
      </c>
      <c r="S46" s="326">
        <f t="shared" si="11"/>
        <v>0</v>
      </c>
    </row>
    <row r="47" spans="1:19">
      <c r="A47" s="159"/>
      <c r="B47" s="59"/>
      <c r="C47" s="24">
        <f t="shared" si="12"/>
        <v>1</v>
      </c>
      <c r="D47" s="680"/>
      <c r="E47" s="24">
        <f t="shared" si="13"/>
        <v>1</v>
      </c>
      <c r="F47" s="680"/>
      <c r="G47" s="24">
        <f t="shared" si="14"/>
        <v>1</v>
      </c>
      <c r="H47" s="680"/>
      <c r="I47" s="24">
        <f t="shared" si="15"/>
        <v>1</v>
      </c>
      <c r="J47" s="680"/>
      <c r="K47" s="24">
        <f t="shared" si="16"/>
        <v>1</v>
      </c>
      <c r="L47" s="680"/>
      <c r="M47" s="24">
        <f t="shared" si="17"/>
        <v>1</v>
      </c>
      <c r="N47" s="680"/>
      <c r="O47" s="24">
        <f t="shared" si="18"/>
        <v>1</v>
      </c>
      <c r="P47" s="680"/>
      <c r="Q47" s="24">
        <f t="shared" si="19"/>
        <v>1</v>
      </c>
      <c r="R47" s="676">
        <f t="shared" si="20"/>
        <v>0</v>
      </c>
      <c r="S47" s="326">
        <f t="shared" si="11"/>
        <v>0</v>
      </c>
    </row>
    <row r="48" spans="1:19">
      <c r="A48" s="159"/>
      <c r="B48" s="59"/>
      <c r="C48" s="24">
        <f t="shared" si="12"/>
        <v>1</v>
      </c>
      <c r="D48" s="680"/>
      <c r="E48" s="24">
        <f t="shared" si="13"/>
        <v>1</v>
      </c>
      <c r="F48" s="680"/>
      <c r="G48" s="24">
        <f t="shared" si="14"/>
        <v>1</v>
      </c>
      <c r="H48" s="680"/>
      <c r="I48" s="24">
        <f t="shared" si="15"/>
        <v>1</v>
      </c>
      <c r="J48" s="680"/>
      <c r="K48" s="24">
        <f t="shared" si="16"/>
        <v>1</v>
      </c>
      <c r="L48" s="680"/>
      <c r="M48" s="24">
        <f t="shared" si="17"/>
        <v>1</v>
      </c>
      <c r="N48" s="680"/>
      <c r="O48" s="24">
        <f t="shared" si="18"/>
        <v>1</v>
      </c>
      <c r="P48" s="680"/>
      <c r="Q48" s="24">
        <f t="shared" si="19"/>
        <v>1</v>
      </c>
      <c r="R48" s="676">
        <f t="shared" si="20"/>
        <v>0</v>
      </c>
      <c r="S48" s="326">
        <f t="shared" si="11"/>
        <v>0</v>
      </c>
    </row>
    <row r="49" spans="1:19">
      <c r="A49" s="159"/>
      <c r="B49" s="59"/>
      <c r="C49" s="24">
        <f t="shared" si="12"/>
        <v>1</v>
      </c>
      <c r="D49" s="680"/>
      <c r="E49" s="24">
        <f t="shared" si="13"/>
        <v>1</v>
      </c>
      <c r="F49" s="680"/>
      <c r="G49" s="24">
        <f t="shared" si="14"/>
        <v>1</v>
      </c>
      <c r="H49" s="680"/>
      <c r="I49" s="24">
        <f t="shared" si="15"/>
        <v>1</v>
      </c>
      <c r="J49" s="680"/>
      <c r="K49" s="24">
        <f t="shared" si="16"/>
        <v>1</v>
      </c>
      <c r="L49" s="680"/>
      <c r="M49" s="24">
        <f t="shared" si="17"/>
        <v>1</v>
      </c>
      <c r="N49" s="680"/>
      <c r="O49" s="24">
        <f t="shared" si="18"/>
        <v>1</v>
      </c>
      <c r="P49" s="680"/>
      <c r="Q49" s="24">
        <f t="shared" si="19"/>
        <v>1</v>
      </c>
      <c r="R49" s="676">
        <f t="shared" si="20"/>
        <v>0</v>
      </c>
      <c r="S49" s="326">
        <f t="shared" si="11"/>
        <v>0</v>
      </c>
    </row>
    <row r="50" spans="1:19">
      <c r="A50" s="159"/>
      <c r="B50" s="59"/>
      <c r="C50" s="24">
        <f t="shared" si="12"/>
        <v>1</v>
      </c>
      <c r="D50" s="680"/>
      <c r="E50" s="24">
        <f t="shared" si="13"/>
        <v>1</v>
      </c>
      <c r="F50" s="680"/>
      <c r="G50" s="24">
        <f t="shared" si="14"/>
        <v>1</v>
      </c>
      <c r="H50" s="680"/>
      <c r="I50" s="24">
        <f t="shared" si="15"/>
        <v>1</v>
      </c>
      <c r="J50" s="680"/>
      <c r="K50" s="24">
        <f t="shared" si="16"/>
        <v>1</v>
      </c>
      <c r="L50" s="680"/>
      <c r="M50" s="24">
        <f t="shared" si="17"/>
        <v>1</v>
      </c>
      <c r="N50" s="680"/>
      <c r="O50" s="24">
        <f t="shared" si="18"/>
        <v>1</v>
      </c>
      <c r="P50" s="680"/>
      <c r="Q50" s="24">
        <f t="shared" si="19"/>
        <v>1</v>
      </c>
      <c r="R50" s="676">
        <f t="shared" si="20"/>
        <v>0</v>
      </c>
      <c r="S50" s="326">
        <f t="shared" si="11"/>
        <v>0</v>
      </c>
    </row>
    <row r="51" spans="1:19">
      <c r="A51" s="159"/>
      <c r="B51" s="59"/>
      <c r="C51" s="24">
        <f t="shared" si="12"/>
        <v>1</v>
      </c>
      <c r="D51" s="680"/>
      <c r="E51" s="24">
        <f t="shared" si="13"/>
        <v>1</v>
      </c>
      <c r="F51" s="680"/>
      <c r="G51" s="24">
        <f t="shared" si="14"/>
        <v>1</v>
      </c>
      <c r="H51" s="680"/>
      <c r="I51" s="24">
        <f t="shared" si="15"/>
        <v>1</v>
      </c>
      <c r="J51" s="680"/>
      <c r="K51" s="24">
        <f t="shared" si="16"/>
        <v>1</v>
      </c>
      <c r="L51" s="680"/>
      <c r="M51" s="24">
        <f t="shared" si="17"/>
        <v>1</v>
      </c>
      <c r="N51" s="680"/>
      <c r="O51" s="24">
        <f t="shared" si="18"/>
        <v>1</v>
      </c>
      <c r="P51" s="680"/>
      <c r="Q51" s="24">
        <f t="shared" si="19"/>
        <v>1</v>
      </c>
      <c r="R51" s="676">
        <f t="shared" si="20"/>
        <v>0</v>
      </c>
      <c r="S51" s="326">
        <f t="shared" si="11"/>
        <v>0</v>
      </c>
    </row>
    <row r="52" spans="1:19">
      <c r="A52" s="159"/>
      <c r="B52" s="59"/>
      <c r="C52" s="24">
        <f t="shared" si="12"/>
        <v>1</v>
      </c>
      <c r="D52" s="680"/>
      <c r="E52" s="24">
        <f t="shared" si="13"/>
        <v>1</v>
      </c>
      <c r="F52" s="680"/>
      <c r="G52" s="24">
        <f t="shared" si="14"/>
        <v>1</v>
      </c>
      <c r="H52" s="680"/>
      <c r="I52" s="24">
        <f t="shared" si="15"/>
        <v>1</v>
      </c>
      <c r="J52" s="680"/>
      <c r="K52" s="24">
        <f t="shared" si="16"/>
        <v>1</v>
      </c>
      <c r="L52" s="680"/>
      <c r="M52" s="24">
        <f t="shared" si="17"/>
        <v>1</v>
      </c>
      <c r="N52" s="680"/>
      <c r="O52" s="24">
        <f t="shared" si="18"/>
        <v>1</v>
      </c>
      <c r="P52" s="680"/>
      <c r="Q52" s="24">
        <f t="shared" si="19"/>
        <v>1</v>
      </c>
      <c r="R52" s="676">
        <f t="shared" si="20"/>
        <v>0</v>
      </c>
      <c r="S52" s="326">
        <f t="shared" si="11"/>
        <v>0</v>
      </c>
    </row>
    <row r="53" spans="1:19">
      <c r="A53" s="159"/>
      <c r="B53" s="59"/>
      <c r="C53" s="24">
        <f t="shared" si="12"/>
        <v>1</v>
      </c>
      <c r="D53" s="680"/>
      <c r="E53" s="24">
        <f t="shared" si="13"/>
        <v>1</v>
      </c>
      <c r="F53" s="680"/>
      <c r="G53" s="24">
        <f t="shared" si="14"/>
        <v>1</v>
      </c>
      <c r="H53" s="680"/>
      <c r="I53" s="24">
        <f t="shared" si="15"/>
        <v>1</v>
      </c>
      <c r="J53" s="680"/>
      <c r="K53" s="24">
        <f t="shared" si="16"/>
        <v>1</v>
      </c>
      <c r="L53" s="680"/>
      <c r="M53" s="24">
        <f t="shared" si="17"/>
        <v>1</v>
      </c>
      <c r="N53" s="680"/>
      <c r="O53" s="24">
        <f t="shared" si="18"/>
        <v>1</v>
      </c>
      <c r="P53" s="680"/>
      <c r="Q53" s="24">
        <f t="shared" si="19"/>
        <v>1</v>
      </c>
      <c r="R53" s="676">
        <f t="shared" si="20"/>
        <v>0</v>
      </c>
      <c r="S53" s="326">
        <f t="shared" si="11"/>
        <v>0</v>
      </c>
    </row>
    <row r="54" spans="1:19">
      <c r="A54" s="159"/>
      <c r="B54" s="59"/>
      <c r="C54" s="24">
        <f t="shared" si="12"/>
        <v>1</v>
      </c>
      <c r="D54" s="680"/>
      <c r="E54" s="24">
        <f t="shared" si="13"/>
        <v>1</v>
      </c>
      <c r="F54" s="680"/>
      <c r="G54" s="24">
        <f t="shared" si="14"/>
        <v>1</v>
      </c>
      <c r="H54" s="680"/>
      <c r="I54" s="24">
        <f t="shared" si="15"/>
        <v>1</v>
      </c>
      <c r="J54" s="680"/>
      <c r="K54" s="24">
        <f t="shared" si="16"/>
        <v>1</v>
      </c>
      <c r="L54" s="680"/>
      <c r="M54" s="24">
        <f t="shared" si="17"/>
        <v>1</v>
      </c>
      <c r="N54" s="680"/>
      <c r="O54" s="24">
        <f t="shared" si="18"/>
        <v>1</v>
      </c>
      <c r="P54" s="680"/>
      <c r="Q54" s="24">
        <f t="shared" si="19"/>
        <v>1</v>
      </c>
      <c r="R54" s="676">
        <f t="shared" si="20"/>
        <v>0</v>
      </c>
      <c r="S54" s="326">
        <f t="shared" si="11"/>
        <v>0</v>
      </c>
    </row>
    <row r="55" spans="1:19">
      <c r="A55" s="159"/>
      <c r="B55" s="59"/>
      <c r="C55" s="24">
        <f t="shared" si="12"/>
        <v>1</v>
      </c>
      <c r="D55" s="680"/>
      <c r="E55" s="24">
        <f t="shared" si="13"/>
        <v>1</v>
      </c>
      <c r="F55" s="680"/>
      <c r="G55" s="24">
        <f t="shared" si="14"/>
        <v>1</v>
      </c>
      <c r="H55" s="680"/>
      <c r="I55" s="24">
        <f t="shared" si="15"/>
        <v>1</v>
      </c>
      <c r="J55" s="680"/>
      <c r="K55" s="24">
        <f t="shared" si="16"/>
        <v>1</v>
      </c>
      <c r="L55" s="680"/>
      <c r="M55" s="24">
        <f t="shared" si="17"/>
        <v>1</v>
      </c>
      <c r="N55" s="680"/>
      <c r="O55" s="24">
        <f t="shared" si="18"/>
        <v>1</v>
      </c>
      <c r="P55" s="680"/>
      <c r="Q55" s="24">
        <f t="shared" si="19"/>
        <v>1</v>
      </c>
      <c r="R55" s="676">
        <f t="shared" si="20"/>
        <v>0</v>
      </c>
      <c r="S55" s="326">
        <f t="shared" ref="S55:S77" si="21">ROUND(R55*B55/10000,0)</f>
        <v>0</v>
      </c>
    </row>
    <row r="56" spans="1:19">
      <c r="A56" s="159"/>
      <c r="B56" s="59"/>
      <c r="C56" s="24">
        <f t="shared" si="12"/>
        <v>1</v>
      </c>
      <c r="D56" s="680"/>
      <c r="E56" s="24">
        <f t="shared" si="13"/>
        <v>1</v>
      </c>
      <c r="F56" s="680"/>
      <c r="G56" s="24">
        <f t="shared" si="14"/>
        <v>1</v>
      </c>
      <c r="H56" s="680"/>
      <c r="I56" s="24">
        <f t="shared" si="15"/>
        <v>1</v>
      </c>
      <c r="J56" s="680"/>
      <c r="K56" s="24">
        <f t="shared" si="16"/>
        <v>1</v>
      </c>
      <c r="L56" s="680"/>
      <c r="M56" s="24">
        <f t="shared" si="17"/>
        <v>1</v>
      </c>
      <c r="N56" s="680"/>
      <c r="O56" s="24">
        <f t="shared" si="18"/>
        <v>1</v>
      </c>
      <c r="P56" s="680"/>
      <c r="Q56" s="24">
        <f t="shared" si="19"/>
        <v>1</v>
      </c>
      <c r="R56" s="676">
        <f t="shared" si="20"/>
        <v>0</v>
      </c>
      <c r="S56" s="326">
        <f t="shared" si="21"/>
        <v>0</v>
      </c>
    </row>
    <row r="57" spans="1:19">
      <c r="A57" s="159"/>
      <c r="B57" s="59"/>
      <c r="C57" s="24">
        <f t="shared" si="12"/>
        <v>1</v>
      </c>
      <c r="D57" s="680"/>
      <c r="E57" s="24">
        <f t="shared" si="13"/>
        <v>1</v>
      </c>
      <c r="F57" s="680"/>
      <c r="G57" s="24">
        <f t="shared" si="14"/>
        <v>1</v>
      </c>
      <c r="H57" s="680"/>
      <c r="I57" s="24">
        <f t="shared" si="15"/>
        <v>1</v>
      </c>
      <c r="J57" s="680"/>
      <c r="K57" s="24">
        <f t="shared" si="16"/>
        <v>1</v>
      </c>
      <c r="L57" s="680"/>
      <c r="M57" s="24">
        <f t="shared" si="17"/>
        <v>1</v>
      </c>
      <c r="N57" s="680"/>
      <c r="O57" s="24">
        <f t="shared" si="18"/>
        <v>1</v>
      </c>
      <c r="P57" s="680"/>
      <c r="Q57" s="24">
        <f t="shared" si="19"/>
        <v>1</v>
      </c>
      <c r="R57" s="676">
        <f t="shared" si="20"/>
        <v>0</v>
      </c>
      <c r="S57" s="326">
        <f t="shared" si="21"/>
        <v>0</v>
      </c>
    </row>
    <row r="58" spans="1:19">
      <c r="A58" s="159"/>
      <c r="B58" s="59"/>
      <c r="C58" s="24">
        <f t="shared" si="12"/>
        <v>1</v>
      </c>
      <c r="D58" s="680"/>
      <c r="E58" s="24">
        <f t="shared" si="13"/>
        <v>1</v>
      </c>
      <c r="F58" s="680"/>
      <c r="G58" s="24">
        <f t="shared" si="14"/>
        <v>1</v>
      </c>
      <c r="H58" s="680"/>
      <c r="I58" s="24">
        <f t="shared" si="15"/>
        <v>1</v>
      </c>
      <c r="J58" s="680"/>
      <c r="K58" s="24">
        <f t="shared" si="16"/>
        <v>1</v>
      </c>
      <c r="L58" s="680"/>
      <c r="M58" s="24">
        <f t="shared" si="17"/>
        <v>1</v>
      </c>
      <c r="N58" s="680"/>
      <c r="O58" s="24">
        <f t="shared" si="18"/>
        <v>1</v>
      </c>
      <c r="P58" s="680"/>
      <c r="Q58" s="24">
        <f t="shared" si="19"/>
        <v>1</v>
      </c>
      <c r="R58" s="676">
        <f t="shared" si="20"/>
        <v>0</v>
      </c>
      <c r="S58" s="326">
        <f t="shared" si="21"/>
        <v>0</v>
      </c>
    </row>
    <row r="59" spans="1:19">
      <c r="A59" s="159"/>
      <c r="B59" s="59"/>
      <c r="C59" s="24">
        <f t="shared" si="12"/>
        <v>1</v>
      </c>
      <c r="D59" s="680"/>
      <c r="E59" s="24">
        <f t="shared" si="13"/>
        <v>1</v>
      </c>
      <c r="F59" s="680"/>
      <c r="G59" s="24">
        <f t="shared" si="14"/>
        <v>1</v>
      </c>
      <c r="H59" s="680"/>
      <c r="I59" s="24">
        <f t="shared" si="15"/>
        <v>1</v>
      </c>
      <c r="J59" s="680"/>
      <c r="K59" s="24">
        <f t="shared" si="16"/>
        <v>1</v>
      </c>
      <c r="L59" s="680"/>
      <c r="M59" s="24">
        <f t="shared" si="17"/>
        <v>1</v>
      </c>
      <c r="N59" s="680"/>
      <c r="O59" s="24">
        <f t="shared" si="18"/>
        <v>1</v>
      </c>
      <c r="P59" s="680"/>
      <c r="Q59" s="24">
        <f t="shared" si="19"/>
        <v>1</v>
      </c>
      <c r="R59" s="676">
        <f t="shared" si="20"/>
        <v>0</v>
      </c>
      <c r="S59" s="326">
        <f t="shared" si="21"/>
        <v>0</v>
      </c>
    </row>
    <row r="60" spans="1:19">
      <c r="A60" s="159"/>
      <c r="B60" s="59"/>
      <c r="C60" s="24">
        <f t="shared" si="12"/>
        <v>1</v>
      </c>
      <c r="D60" s="680"/>
      <c r="E60" s="24">
        <f t="shared" si="13"/>
        <v>1</v>
      </c>
      <c r="F60" s="680"/>
      <c r="G60" s="24">
        <f t="shared" si="14"/>
        <v>1</v>
      </c>
      <c r="H60" s="680"/>
      <c r="I60" s="24">
        <f t="shared" si="15"/>
        <v>1</v>
      </c>
      <c r="J60" s="680"/>
      <c r="K60" s="24">
        <f t="shared" si="16"/>
        <v>1</v>
      </c>
      <c r="L60" s="680"/>
      <c r="M60" s="24">
        <f t="shared" si="17"/>
        <v>1</v>
      </c>
      <c r="N60" s="680"/>
      <c r="O60" s="24">
        <f t="shared" si="18"/>
        <v>1</v>
      </c>
      <c r="P60" s="680"/>
      <c r="Q60" s="24">
        <f t="shared" si="19"/>
        <v>1</v>
      </c>
      <c r="R60" s="676">
        <f t="shared" si="20"/>
        <v>0</v>
      </c>
      <c r="S60" s="326">
        <f t="shared" si="21"/>
        <v>0</v>
      </c>
    </row>
    <row r="61" spans="1:19">
      <c r="A61" s="159"/>
      <c r="B61" s="59"/>
      <c r="C61" s="24">
        <f t="shared" si="12"/>
        <v>1</v>
      </c>
      <c r="D61" s="680"/>
      <c r="E61" s="24">
        <f t="shared" si="13"/>
        <v>1</v>
      </c>
      <c r="F61" s="680"/>
      <c r="G61" s="24">
        <f t="shared" si="14"/>
        <v>1</v>
      </c>
      <c r="H61" s="680"/>
      <c r="I61" s="24">
        <f t="shared" si="15"/>
        <v>1</v>
      </c>
      <c r="J61" s="680"/>
      <c r="K61" s="24">
        <f t="shared" si="16"/>
        <v>1</v>
      </c>
      <c r="L61" s="680"/>
      <c r="M61" s="24">
        <f t="shared" si="17"/>
        <v>1</v>
      </c>
      <c r="N61" s="680"/>
      <c r="O61" s="24">
        <f t="shared" si="18"/>
        <v>1</v>
      </c>
      <c r="P61" s="680"/>
      <c r="Q61" s="24">
        <f t="shared" si="19"/>
        <v>1</v>
      </c>
      <c r="R61" s="676">
        <f t="shared" si="20"/>
        <v>0</v>
      </c>
      <c r="S61" s="326">
        <f t="shared" si="21"/>
        <v>0</v>
      </c>
    </row>
    <row r="62" spans="1:19">
      <c r="A62" s="159"/>
      <c r="B62" s="59"/>
      <c r="C62" s="24">
        <f t="shared" si="12"/>
        <v>1</v>
      </c>
      <c r="D62" s="680"/>
      <c r="E62" s="24">
        <f t="shared" si="13"/>
        <v>1</v>
      </c>
      <c r="F62" s="680"/>
      <c r="G62" s="24">
        <f t="shared" si="14"/>
        <v>1</v>
      </c>
      <c r="H62" s="680"/>
      <c r="I62" s="24">
        <f t="shared" si="15"/>
        <v>1</v>
      </c>
      <c r="J62" s="680"/>
      <c r="K62" s="24">
        <f t="shared" si="16"/>
        <v>1</v>
      </c>
      <c r="L62" s="680"/>
      <c r="M62" s="24">
        <f t="shared" si="17"/>
        <v>1</v>
      </c>
      <c r="N62" s="680"/>
      <c r="O62" s="24">
        <f t="shared" si="18"/>
        <v>1</v>
      </c>
      <c r="P62" s="680"/>
      <c r="Q62" s="24">
        <f t="shared" si="19"/>
        <v>1</v>
      </c>
      <c r="R62" s="676">
        <f t="shared" si="20"/>
        <v>0</v>
      </c>
      <c r="S62" s="326">
        <f t="shared" si="21"/>
        <v>0</v>
      </c>
    </row>
    <row r="63" spans="1:19">
      <c r="A63" s="159"/>
      <c r="B63" s="59"/>
      <c r="C63" s="24">
        <f t="shared" si="12"/>
        <v>1</v>
      </c>
      <c r="D63" s="680"/>
      <c r="E63" s="24">
        <f t="shared" si="13"/>
        <v>1</v>
      </c>
      <c r="F63" s="680"/>
      <c r="G63" s="24">
        <f t="shared" si="14"/>
        <v>1</v>
      </c>
      <c r="H63" s="680"/>
      <c r="I63" s="24">
        <f t="shared" si="15"/>
        <v>1</v>
      </c>
      <c r="J63" s="680"/>
      <c r="K63" s="24">
        <f t="shared" si="16"/>
        <v>1</v>
      </c>
      <c r="L63" s="680"/>
      <c r="M63" s="24">
        <f t="shared" si="17"/>
        <v>1</v>
      </c>
      <c r="N63" s="680"/>
      <c r="O63" s="24">
        <f t="shared" si="18"/>
        <v>1</v>
      </c>
      <c r="P63" s="680"/>
      <c r="Q63" s="24">
        <f t="shared" si="19"/>
        <v>1</v>
      </c>
      <c r="R63" s="676">
        <f t="shared" si="20"/>
        <v>0</v>
      </c>
      <c r="S63" s="326">
        <f t="shared" si="21"/>
        <v>0</v>
      </c>
    </row>
    <row r="64" spans="1:19">
      <c r="A64" s="159"/>
      <c r="B64" s="59"/>
      <c r="C64" s="24">
        <f t="shared" si="12"/>
        <v>1</v>
      </c>
      <c r="D64" s="680"/>
      <c r="E64" s="24">
        <f t="shared" si="13"/>
        <v>1</v>
      </c>
      <c r="F64" s="680"/>
      <c r="G64" s="24">
        <f t="shared" si="14"/>
        <v>1</v>
      </c>
      <c r="H64" s="680"/>
      <c r="I64" s="24">
        <f t="shared" si="15"/>
        <v>1</v>
      </c>
      <c r="J64" s="680"/>
      <c r="K64" s="24">
        <f t="shared" si="16"/>
        <v>1</v>
      </c>
      <c r="L64" s="680"/>
      <c r="M64" s="24">
        <f t="shared" si="17"/>
        <v>1</v>
      </c>
      <c r="N64" s="680"/>
      <c r="O64" s="24">
        <f t="shared" si="18"/>
        <v>1</v>
      </c>
      <c r="P64" s="680"/>
      <c r="Q64" s="24">
        <f t="shared" si="19"/>
        <v>1</v>
      </c>
      <c r="R64" s="676">
        <f t="shared" si="20"/>
        <v>0</v>
      </c>
      <c r="S64" s="326">
        <f t="shared" si="21"/>
        <v>0</v>
      </c>
    </row>
    <row r="65" spans="1:19">
      <c r="A65" s="159"/>
      <c r="B65" s="59"/>
      <c r="C65" s="24">
        <f t="shared" si="12"/>
        <v>1</v>
      </c>
      <c r="D65" s="680"/>
      <c r="E65" s="24">
        <f t="shared" si="13"/>
        <v>1</v>
      </c>
      <c r="F65" s="680"/>
      <c r="G65" s="24">
        <f t="shared" si="14"/>
        <v>1</v>
      </c>
      <c r="H65" s="680"/>
      <c r="I65" s="24">
        <f t="shared" si="15"/>
        <v>1</v>
      </c>
      <c r="J65" s="680"/>
      <c r="K65" s="24">
        <f t="shared" si="16"/>
        <v>1</v>
      </c>
      <c r="L65" s="680"/>
      <c r="M65" s="24">
        <f t="shared" si="17"/>
        <v>1</v>
      </c>
      <c r="N65" s="680"/>
      <c r="O65" s="24">
        <f t="shared" si="18"/>
        <v>1</v>
      </c>
      <c r="P65" s="680"/>
      <c r="Q65" s="24">
        <f t="shared" si="19"/>
        <v>1</v>
      </c>
      <c r="R65" s="676">
        <f t="shared" si="20"/>
        <v>0</v>
      </c>
      <c r="S65" s="326">
        <f t="shared" si="21"/>
        <v>0</v>
      </c>
    </row>
    <row r="66" spans="1:19">
      <c r="A66" s="159"/>
      <c r="B66" s="59"/>
      <c r="C66" s="24">
        <f t="shared" si="12"/>
        <v>1</v>
      </c>
      <c r="D66" s="680"/>
      <c r="E66" s="24">
        <f t="shared" si="13"/>
        <v>1</v>
      </c>
      <c r="F66" s="680"/>
      <c r="G66" s="24">
        <f t="shared" si="14"/>
        <v>1</v>
      </c>
      <c r="H66" s="680"/>
      <c r="I66" s="24">
        <f t="shared" si="15"/>
        <v>1</v>
      </c>
      <c r="J66" s="680"/>
      <c r="K66" s="24">
        <f t="shared" si="16"/>
        <v>1</v>
      </c>
      <c r="L66" s="680"/>
      <c r="M66" s="24">
        <f t="shared" si="17"/>
        <v>1</v>
      </c>
      <c r="N66" s="680"/>
      <c r="O66" s="24">
        <f t="shared" si="18"/>
        <v>1</v>
      </c>
      <c r="P66" s="680"/>
      <c r="Q66" s="24">
        <f t="shared" si="19"/>
        <v>1</v>
      </c>
      <c r="R66" s="676">
        <f t="shared" si="20"/>
        <v>0</v>
      </c>
      <c r="S66" s="326">
        <f t="shared" si="21"/>
        <v>0</v>
      </c>
    </row>
    <row r="67" spans="1:19">
      <c r="A67" s="159"/>
      <c r="B67" s="59"/>
      <c r="C67" s="24">
        <f t="shared" si="12"/>
        <v>1</v>
      </c>
      <c r="D67" s="680"/>
      <c r="E67" s="24">
        <f t="shared" si="13"/>
        <v>1</v>
      </c>
      <c r="F67" s="680"/>
      <c r="G67" s="24">
        <f t="shared" si="14"/>
        <v>1</v>
      </c>
      <c r="H67" s="680"/>
      <c r="I67" s="24">
        <f t="shared" si="15"/>
        <v>1</v>
      </c>
      <c r="J67" s="680"/>
      <c r="K67" s="24">
        <f t="shared" si="16"/>
        <v>1</v>
      </c>
      <c r="L67" s="680"/>
      <c r="M67" s="24">
        <f t="shared" si="17"/>
        <v>1</v>
      </c>
      <c r="N67" s="680"/>
      <c r="O67" s="24">
        <f t="shared" si="18"/>
        <v>1</v>
      </c>
      <c r="P67" s="680"/>
      <c r="Q67" s="24">
        <f t="shared" si="19"/>
        <v>1</v>
      </c>
      <c r="R67" s="676">
        <f t="shared" si="20"/>
        <v>0</v>
      </c>
      <c r="S67" s="326">
        <f t="shared" si="21"/>
        <v>0</v>
      </c>
    </row>
    <row r="68" spans="1:19">
      <c r="A68" s="159"/>
      <c r="B68" s="59"/>
      <c r="C68" s="24">
        <f t="shared" si="12"/>
        <v>1</v>
      </c>
      <c r="D68" s="680"/>
      <c r="E68" s="24">
        <f t="shared" si="13"/>
        <v>1</v>
      </c>
      <c r="F68" s="680"/>
      <c r="G68" s="24">
        <f t="shared" si="14"/>
        <v>1</v>
      </c>
      <c r="H68" s="680"/>
      <c r="I68" s="24">
        <f t="shared" si="15"/>
        <v>1</v>
      </c>
      <c r="J68" s="680"/>
      <c r="K68" s="24">
        <f t="shared" si="16"/>
        <v>1</v>
      </c>
      <c r="L68" s="680"/>
      <c r="M68" s="24">
        <f t="shared" si="17"/>
        <v>1</v>
      </c>
      <c r="N68" s="680"/>
      <c r="O68" s="24">
        <f t="shared" si="18"/>
        <v>1</v>
      </c>
      <c r="P68" s="680"/>
      <c r="Q68" s="24">
        <f t="shared" si="19"/>
        <v>1</v>
      </c>
      <c r="R68" s="676">
        <f t="shared" si="20"/>
        <v>0</v>
      </c>
      <c r="S68" s="326">
        <f t="shared" si="21"/>
        <v>0</v>
      </c>
    </row>
    <row r="69" spans="1:19">
      <c r="A69" s="159"/>
      <c r="B69" s="59"/>
      <c r="C69" s="24">
        <f t="shared" si="12"/>
        <v>1</v>
      </c>
      <c r="D69" s="680"/>
      <c r="E69" s="24">
        <f t="shared" si="13"/>
        <v>1</v>
      </c>
      <c r="F69" s="680"/>
      <c r="G69" s="24">
        <f t="shared" si="14"/>
        <v>1</v>
      </c>
      <c r="H69" s="680"/>
      <c r="I69" s="24">
        <f t="shared" si="15"/>
        <v>1</v>
      </c>
      <c r="J69" s="680"/>
      <c r="K69" s="24">
        <f t="shared" si="16"/>
        <v>1</v>
      </c>
      <c r="L69" s="680"/>
      <c r="M69" s="24">
        <f t="shared" si="17"/>
        <v>1</v>
      </c>
      <c r="N69" s="680"/>
      <c r="O69" s="24">
        <f t="shared" si="18"/>
        <v>1</v>
      </c>
      <c r="P69" s="680"/>
      <c r="Q69" s="24">
        <f t="shared" si="19"/>
        <v>1</v>
      </c>
      <c r="R69" s="676">
        <f t="shared" si="20"/>
        <v>0</v>
      </c>
      <c r="S69" s="326">
        <f t="shared" si="21"/>
        <v>0</v>
      </c>
    </row>
    <row r="70" spans="1:19">
      <c r="A70" s="159"/>
      <c r="B70" s="59"/>
      <c r="C70" s="24">
        <f t="shared" si="12"/>
        <v>1</v>
      </c>
      <c r="D70" s="680"/>
      <c r="E70" s="24">
        <f t="shared" si="13"/>
        <v>1</v>
      </c>
      <c r="F70" s="680"/>
      <c r="G70" s="24">
        <f t="shared" si="14"/>
        <v>1</v>
      </c>
      <c r="H70" s="680"/>
      <c r="I70" s="24">
        <f t="shared" si="15"/>
        <v>1</v>
      </c>
      <c r="J70" s="680"/>
      <c r="K70" s="24">
        <f t="shared" si="16"/>
        <v>1</v>
      </c>
      <c r="L70" s="680"/>
      <c r="M70" s="24">
        <f t="shared" si="17"/>
        <v>1</v>
      </c>
      <c r="N70" s="680"/>
      <c r="O70" s="24">
        <f t="shared" si="18"/>
        <v>1</v>
      </c>
      <c r="P70" s="680"/>
      <c r="Q70" s="24">
        <f t="shared" si="19"/>
        <v>1</v>
      </c>
      <c r="R70" s="676">
        <f t="shared" si="20"/>
        <v>0</v>
      </c>
      <c r="S70" s="326">
        <f t="shared" si="21"/>
        <v>0</v>
      </c>
    </row>
    <row r="71" spans="1:19">
      <c r="A71" s="159"/>
      <c r="B71" s="59"/>
      <c r="C71" s="24">
        <f t="shared" si="12"/>
        <v>1</v>
      </c>
      <c r="D71" s="680"/>
      <c r="E71" s="24">
        <f t="shared" si="13"/>
        <v>1</v>
      </c>
      <c r="F71" s="680"/>
      <c r="G71" s="24">
        <f t="shared" si="14"/>
        <v>1</v>
      </c>
      <c r="H71" s="680"/>
      <c r="I71" s="24">
        <f t="shared" si="15"/>
        <v>1</v>
      </c>
      <c r="J71" s="680"/>
      <c r="K71" s="24">
        <f t="shared" si="16"/>
        <v>1</v>
      </c>
      <c r="L71" s="680"/>
      <c r="M71" s="24">
        <f t="shared" si="17"/>
        <v>1</v>
      </c>
      <c r="N71" s="680"/>
      <c r="O71" s="24">
        <f t="shared" si="18"/>
        <v>1</v>
      </c>
      <c r="P71" s="680"/>
      <c r="Q71" s="24">
        <f t="shared" si="19"/>
        <v>1</v>
      </c>
      <c r="R71" s="676">
        <f t="shared" si="20"/>
        <v>0</v>
      </c>
      <c r="S71" s="326">
        <f t="shared" si="21"/>
        <v>0</v>
      </c>
    </row>
    <row r="72" spans="1:19">
      <c r="A72" s="159"/>
      <c r="B72" s="59"/>
      <c r="C72" s="24">
        <f t="shared" si="12"/>
        <v>1</v>
      </c>
      <c r="D72" s="680"/>
      <c r="E72" s="24">
        <f t="shared" si="13"/>
        <v>1</v>
      </c>
      <c r="F72" s="680"/>
      <c r="G72" s="24">
        <f t="shared" si="14"/>
        <v>1</v>
      </c>
      <c r="H72" s="680"/>
      <c r="I72" s="24">
        <f t="shared" si="15"/>
        <v>1</v>
      </c>
      <c r="J72" s="680"/>
      <c r="K72" s="24">
        <f t="shared" si="16"/>
        <v>1</v>
      </c>
      <c r="L72" s="680"/>
      <c r="M72" s="24">
        <f t="shared" si="17"/>
        <v>1</v>
      </c>
      <c r="N72" s="680"/>
      <c r="O72" s="24">
        <f t="shared" si="18"/>
        <v>1</v>
      </c>
      <c r="P72" s="680"/>
      <c r="Q72" s="24">
        <f t="shared" si="19"/>
        <v>1</v>
      </c>
      <c r="R72" s="676">
        <f t="shared" si="20"/>
        <v>0</v>
      </c>
      <c r="S72" s="326">
        <f t="shared" si="21"/>
        <v>0</v>
      </c>
    </row>
    <row r="73" spans="1:19">
      <c r="A73" s="159"/>
      <c r="B73" s="59"/>
      <c r="C73" s="24">
        <f t="shared" si="12"/>
        <v>1</v>
      </c>
      <c r="D73" s="680"/>
      <c r="E73" s="24">
        <f t="shared" si="13"/>
        <v>1</v>
      </c>
      <c r="F73" s="680"/>
      <c r="G73" s="24">
        <f t="shared" si="14"/>
        <v>1</v>
      </c>
      <c r="H73" s="680"/>
      <c r="I73" s="24">
        <f t="shared" si="15"/>
        <v>1</v>
      </c>
      <c r="J73" s="680"/>
      <c r="K73" s="24">
        <f t="shared" si="16"/>
        <v>1</v>
      </c>
      <c r="L73" s="680"/>
      <c r="M73" s="24">
        <f t="shared" si="17"/>
        <v>1</v>
      </c>
      <c r="N73" s="680"/>
      <c r="O73" s="24">
        <f t="shared" si="18"/>
        <v>1</v>
      </c>
      <c r="P73" s="680"/>
      <c r="Q73" s="24">
        <f t="shared" si="19"/>
        <v>1</v>
      </c>
      <c r="R73" s="676">
        <f t="shared" si="20"/>
        <v>0</v>
      </c>
      <c r="S73" s="326">
        <f t="shared" si="21"/>
        <v>0</v>
      </c>
    </row>
    <row r="74" spans="1:19">
      <c r="A74" s="159"/>
      <c r="B74" s="59"/>
      <c r="C74" s="24">
        <f t="shared" si="12"/>
        <v>1</v>
      </c>
      <c r="D74" s="680"/>
      <c r="E74" s="24">
        <f t="shared" si="13"/>
        <v>1</v>
      </c>
      <c r="F74" s="680"/>
      <c r="G74" s="24">
        <f t="shared" si="14"/>
        <v>1</v>
      </c>
      <c r="H74" s="680"/>
      <c r="I74" s="24">
        <f t="shared" si="15"/>
        <v>1</v>
      </c>
      <c r="J74" s="680"/>
      <c r="K74" s="24">
        <f t="shared" si="16"/>
        <v>1</v>
      </c>
      <c r="L74" s="680"/>
      <c r="M74" s="24">
        <f t="shared" si="17"/>
        <v>1</v>
      </c>
      <c r="N74" s="680"/>
      <c r="O74" s="24">
        <f t="shared" si="18"/>
        <v>1</v>
      </c>
      <c r="P74" s="680"/>
      <c r="Q74" s="24">
        <f t="shared" si="19"/>
        <v>1</v>
      </c>
      <c r="R74" s="676">
        <f t="shared" si="20"/>
        <v>0</v>
      </c>
      <c r="S74" s="326">
        <f t="shared" si="21"/>
        <v>0</v>
      </c>
    </row>
    <row r="75" spans="1:19">
      <c r="A75" s="159"/>
      <c r="B75" s="59"/>
      <c r="C75" s="24">
        <f t="shared" si="12"/>
        <v>1</v>
      </c>
      <c r="D75" s="680"/>
      <c r="E75" s="24">
        <f t="shared" si="13"/>
        <v>1</v>
      </c>
      <c r="F75" s="680"/>
      <c r="G75" s="24">
        <f t="shared" si="14"/>
        <v>1</v>
      </c>
      <c r="H75" s="680"/>
      <c r="I75" s="24">
        <f t="shared" si="15"/>
        <v>1</v>
      </c>
      <c r="J75" s="680"/>
      <c r="K75" s="24">
        <f t="shared" si="16"/>
        <v>1</v>
      </c>
      <c r="L75" s="680"/>
      <c r="M75" s="24">
        <f t="shared" si="17"/>
        <v>1</v>
      </c>
      <c r="N75" s="680"/>
      <c r="O75" s="24">
        <f t="shared" si="18"/>
        <v>1</v>
      </c>
      <c r="P75" s="680"/>
      <c r="Q75" s="24">
        <f t="shared" si="19"/>
        <v>1</v>
      </c>
      <c r="R75" s="676">
        <f t="shared" si="20"/>
        <v>0</v>
      </c>
      <c r="S75" s="326">
        <f t="shared" si="21"/>
        <v>0</v>
      </c>
    </row>
    <row r="76" spans="1:19">
      <c r="A76" s="159"/>
      <c r="B76" s="59"/>
      <c r="C76" s="24">
        <f t="shared" si="12"/>
        <v>1</v>
      </c>
      <c r="D76" s="680"/>
      <c r="E76" s="24">
        <f t="shared" si="13"/>
        <v>1</v>
      </c>
      <c r="F76" s="680"/>
      <c r="G76" s="24">
        <f t="shared" si="14"/>
        <v>1</v>
      </c>
      <c r="H76" s="680"/>
      <c r="I76" s="24">
        <f t="shared" si="15"/>
        <v>1</v>
      </c>
      <c r="J76" s="680"/>
      <c r="K76" s="24">
        <f t="shared" si="16"/>
        <v>1</v>
      </c>
      <c r="L76" s="680"/>
      <c r="M76" s="24">
        <f t="shared" si="17"/>
        <v>1</v>
      </c>
      <c r="N76" s="680"/>
      <c r="O76" s="24">
        <f t="shared" si="18"/>
        <v>1</v>
      </c>
      <c r="P76" s="680"/>
      <c r="Q76" s="24">
        <f t="shared" si="19"/>
        <v>1</v>
      </c>
      <c r="R76" s="676">
        <f t="shared" si="20"/>
        <v>0</v>
      </c>
      <c r="S76" s="326">
        <f t="shared" si="21"/>
        <v>0</v>
      </c>
    </row>
    <row r="77" spans="1:19">
      <c r="A77" s="159"/>
      <c r="B77" s="59"/>
      <c r="C77" s="24">
        <f t="shared" si="12"/>
        <v>1</v>
      </c>
      <c r="D77" s="680"/>
      <c r="E77" s="24">
        <f t="shared" si="13"/>
        <v>1</v>
      </c>
      <c r="F77" s="680"/>
      <c r="G77" s="24">
        <f t="shared" si="14"/>
        <v>1</v>
      </c>
      <c r="H77" s="680"/>
      <c r="I77" s="24">
        <f t="shared" si="15"/>
        <v>1</v>
      </c>
      <c r="J77" s="680"/>
      <c r="K77" s="24">
        <f t="shared" si="16"/>
        <v>1</v>
      </c>
      <c r="L77" s="680"/>
      <c r="M77" s="24">
        <f t="shared" si="17"/>
        <v>1</v>
      </c>
      <c r="N77" s="680"/>
      <c r="O77" s="24">
        <f t="shared" si="18"/>
        <v>1</v>
      </c>
      <c r="P77" s="680"/>
      <c r="Q77" s="24">
        <f t="shared" si="19"/>
        <v>1</v>
      </c>
      <c r="R77" s="676">
        <f t="shared" si="20"/>
        <v>0</v>
      </c>
      <c r="S77" s="326">
        <f t="shared" si="21"/>
        <v>0</v>
      </c>
    </row>
    <row r="78" spans="1:19">
      <c r="A78" s="159"/>
      <c r="B78" s="59"/>
      <c r="C78" s="24">
        <f t="shared" si="12"/>
        <v>1</v>
      </c>
      <c r="D78" s="680"/>
      <c r="E78" s="24">
        <f t="shared" si="13"/>
        <v>1</v>
      </c>
      <c r="F78" s="680"/>
      <c r="G78" s="24">
        <f t="shared" si="14"/>
        <v>1</v>
      </c>
      <c r="H78" s="680"/>
      <c r="I78" s="24">
        <f t="shared" si="15"/>
        <v>1</v>
      </c>
      <c r="J78" s="680"/>
      <c r="K78" s="24">
        <f t="shared" si="16"/>
        <v>1</v>
      </c>
      <c r="L78" s="680"/>
      <c r="M78" s="24">
        <f t="shared" si="17"/>
        <v>1</v>
      </c>
      <c r="N78" s="680"/>
      <c r="O78" s="24">
        <f t="shared" si="18"/>
        <v>1</v>
      </c>
      <c r="P78" s="680"/>
      <c r="Q78" s="24">
        <f t="shared" si="19"/>
        <v>1</v>
      </c>
      <c r="R78" s="676">
        <f t="shared" si="20"/>
        <v>0</v>
      </c>
      <c r="S78" s="326">
        <f t="shared" ref="S78:S122" si="22">ROUND(R78*B78/10000,0)</f>
        <v>0</v>
      </c>
    </row>
    <row r="79" spans="1:19">
      <c r="A79" s="159"/>
      <c r="B79" s="59"/>
      <c r="C79" s="24">
        <f t="shared" si="12"/>
        <v>1</v>
      </c>
      <c r="D79" s="680"/>
      <c r="E79" s="24">
        <f t="shared" si="13"/>
        <v>1</v>
      </c>
      <c r="F79" s="680"/>
      <c r="G79" s="24">
        <f t="shared" si="14"/>
        <v>1</v>
      </c>
      <c r="H79" s="680"/>
      <c r="I79" s="24">
        <f t="shared" si="15"/>
        <v>1</v>
      </c>
      <c r="J79" s="680"/>
      <c r="K79" s="24">
        <f t="shared" si="16"/>
        <v>1</v>
      </c>
      <c r="L79" s="680"/>
      <c r="M79" s="24">
        <f t="shared" si="17"/>
        <v>1</v>
      </c>
      <c r="N79" s="680"/>
      <c r="O79" s="24">
        <f t="shared" si="18"/>
        <v>1</v>
      </c>
      <c r="P79" s="680"/>
      <c r="Q79" s="24">
        <f t="shared" si="19"/>
        <v>1</v>
      </c>
      <c r="R79" s="676">
        <f t="shared" si="20"/>
        <v>0</v>
      </c>
      <c r="S79" s="326">
        <f t="shared" si="22"/>
        <v>0</v>
      </c>
    </row>
    <row r="80" spans="1:19">
      <c r="A80" s="159"/>
      <c r="B80" s="59"/>
      <c r="C80" s="24">
        <f t="shared" si="12"/>
        <v>1</v>
      </c>
      <c r="D80" s="680"/>
      <c r="E80" s="24">
        <f t="shared" si="13"/>
        <v>1</v>
      </c>
      <c r="F80" s="680"/>
      <c r="G80" s="24">
        <f t="shared" si="14"/>
        <v>1</v>
      </c>
      <c r="H80" s="680"/>
      <c r="I80" s="24">
        <f t="shared" si="15"/>
        <v>1</v>
      </c>
      <c r="J80" s="680"/>
      <c r="K80" s="24">
        <f t="shared" si="16"/>
        <v>1</v>
      </c>
      <c r="L80" s="680"/>
      <c r="M80" s="24">
        <f t="shared" si="17"/>
        <v>1</v>
      </c>
      <c r="N80" s="680"/>
      <c r="O80" s="24">
        <f t="shared" si="18"/>
        <v>1</v>
      </c>
      <c r="P80" s="680"/>
      <c r="Q80" s="24">
        <f t="shared" si="19"/>
        <v>1</v>
      </c>
      <c r="R80" s="676">
        <f t="shared" si="20"/>
        <v>0</v>
      </c>
      <c r="S80" s="326">
        <f t="shared" si="22"/>
        <v>0</v>
      </c>
    </row>
    <row r="81" spans="1:19">
      <c r="A81" s="159"/>
      <c r="B81" s="59"/>
      <c r="C81" s="24">
        <f t="shared" si="12"/>
        <v>1</v>
      </c>
      <c r="D81" s="680"/>
      <c r="E81" s="24">
        <f t="shared" si="13"/>
        <v>1</v>
      </c>
      <c r="F81" s="680"/>
      <c r="G81" s="24">
        <f t="shared" si="14"/>
        <v>1</v>
      </c>
      <c r="H81" s="680"/>
      <c r="I81" s="24">
        <f t="shared" si="15"/>
        <v>1</v>
      </c>
      <c r="J81" s="680"/>
      <c r="K81" s="24">
        <f t="shared" si="16"/>
        <v>1</v>
      </c>
      <c r="L81" s="680"/>
      <c r="M81" s="24">
        <f t="shared" si="17"/>
        <v>1</v>
      </c>
      <c r="N81" s="680"/>
      <c r="O81" s="24">
        <f t="shared" si="18"/>
        <v>1</v>
      </c>
      <c r="P81" s="680"/>
      <c r="Q81" s="24">
        <f t="shared" si="19"/>
        <v>1</v>
      </c>
      <c r="R81" s="676">
        <f t="shared" si="20"/>
        <v>0</v>
      </c>
      <c r="S81" s="326">
        <f t="shared" si="22"/>
        <v>0</v>
      </c>
    </row>
    <row r="82" spans="1:19">
      <c r="A82" s="159"/>
      <c r="B82" s="59"/>
      <c r="C82" s="24">
        <f t="shared" si="12"/>
        <v>1</v>
      </c>
      <c r="D82" s="680"/>
      <c r="E82" s="24">
        <f t="shared" si="13"/>
        <v>1</v>
      </c>
      <c r="F82" s="680"/>
      <c r="G82" s="24">
        <f t="shared" si="14"/>
        <v>1</v>
      </c>
      <c r="H82" s="680"/>
      <c r="I82" s="24">
        <f t="shared" si="15"/>
        <v>1</v>
      </c>
      <c r="J82" s="680"/>
      <c r="K82" s="24">
        <f t="shared" si="16"/>
        <v>1</v>
      </c>
      <c r="L82" s="680"/>
      <c r="M82" s="24">
        <f t="shared" si="17"/>
        <v>1</v>
      </c>
      <c r="N82" s="680"/>
      <c r="O82" s="24">
        <f t="shared" si="18"/>
        <v>1</v>
      </c>
      <c r="P82" s="680"/>
      <c r="Q82" s="24">
        <f t="shared" si="19"/>
        <v>1</v>
      </c>
      <c r="R82" s="676">
        <f t="shared" si="20"/>
        <v>0</v>
      </c>
      <c r="S82" s="326">
        <f t="shared" si="22"/>
        <v>0</v>
      </c>
    </row>
    <row r="83" spans="1:19">
      <c r="A83" s="159"/>
      <c r="B83" s="59"/>
      <c r="C83" s="24">
        <f t="shared" si="12"/>
        <v>1</v>
      </c>
      <c r="D83" s="680"/>
      <c r="E83" s="24">
        <f t="shared" si="13"/>
        <v>1</v>
      </c>
      <c r="F83" s="680"/>
      <c r="G83" s="24">
        <f t="shared" si="14"/>
        <v>1</v>
      </c>
      <c r="H83" s="680"/>
      <c r="I83" s="24">
        <f t="shared" si="15"/>
        <v>1</v>
      </c>
      <c r="J83" s="680"/>
      <c r="K83" s="24">
        <f t="shared" si="16"/>
        <v>1</v>
      </c>
      <c r="L83" s="680"/>
      <c r="M83" s="24">
        <f t="shared" si="17"/>
        <v>1</v>
      </c>
      <c r="N83" s="680"/>
      <c r="O83" s="24">
        <f t="shared" si="18"/>
        <v>1</v>
      </c>
      <c r="P83" s="680"/>
      <c r="Q83" s="24">
        <f t="shared" si="19"/>
        <v>1</v>
      </c>
      <c r="R83" s="676">
        <f t="shared" si="20"/>
        <v>0</v>
      </c>
      <c r="S83" s="326">
        <f t="shared" si="22"/>
        <v>0</v>
      </c>
    </row>
    <row r="84" spans="1:19">
      <c r="A84" s="159"/>
      <c r="B84" s="59"/>
      <c r="C84" s="24">
        <f t="shared" si="12"/>
        <v>1</v>
      </c>
      <c r="D84" s="680"/>
      <c r="E84" s="24">
        <f t="shared" si="13"/>
        <v>1</v>
      </c>
      <c r="F84" s="680"/>
      <c r="G84" s="24">
        <f t="shared" si="14"/>
        <v>1</v>
      </c>
      <c r="H84" s="680"/>
      <c r="I84" s="24">
        <f t="shared" si="15"/>
        <v>1</v>
      </c>
      <c r="J84" s="680"/>
      <c r="K84" s="24">
        <f t="shared" si="16"/>
        <v>1</v>
      </c>
      <c r="L84" s="680"/>
      <c r="M84" s="24">
        <f t="shared" si="17"/>
        <v>1</v>
      </c>
      <c r="N84" s="680"/>
      <c r="O84" s="24">
        <f t="shared" si="18"/>
        <v>1</v>
      </c>
      <c r="P84" s="680"/>
      <c r="Q84" s="24">
        <f t="shared" si="19"/>
        <v>1</v>
      </c>
      <c r="R84" s="676">
        <f t="shared" si="20"/>
        <v>0</v>
      </c>
      <c r="S84" s="326">
        <f t="shared" si="22"/>
        <v>0</v>
      </c>
    </row>
    <row r="85" spans="1:19">
      <c r="A85" s="159"/>
      <c r="B85" s="59"/>
      <c r="C85" s="24">
        <f t="shared" si="12"/>
        <v>1</v>
      </c>
      <c r="D85" s="680"/>
      <c r="E85" s="24">
        <f t="shared" si="13"/>
        <v>1</v>
      </c>
      <c r="F85" s="680"/>
      <c r="G85" s="24">
        <f t="shared" si="14"/>
        <v>1</v>
      </c>
      <c r="H85" s="680"/>
      <c r="I85" s="24">
        <f t="shared" si="15"/>
        <v>1</v>
      </c>
      <c r="J85" s="680"/>
      <c r="K85" s="24">
        <f t="shared" si="16"/>
        <v>1</v>
      </c>
      <c r="L85" s="680"/>
      <c r="M85" s="24">
        <f t="shared" si="17"/>
        <v>1</v>
      </c>
      <c r="N85" s="680"/>
      <c r="O85" s="24">
        <f t="shared" si="18"/>
        <v>1</v>
      </c>
      <c r="P85" s="680"/>
      <c r="Q85" s="24">
        <f t="shared" si="19"/>
        <v>1</v>
      </c>
      <c r="R85" s="676">
        <f t="shared" si="20"/>
        <v>0</v>
      </c>
      <c r="S85" s="326">
        <f t="shared" si="22"/>
        <v>0</v>
      </c>
    </row>
    <row r="86" spans="1:19">
      <c r="A86" s="159"/>
      <c r="B86" s="59"/>
      <c r="C86" s="24">
        <f t="shared" si="12"/>
        <v>1</v>
      </c>
      <c r="D86" s="680"/>
      <c r="E86" s="24">
        <f t="shared" si="13"/>
        <v>1</v>
      </c>
      <c r="F86" s="680"/>
      <c r="G86" s="24">
        <f t="shared" si="14"/>
        <v>1</v>
      </c>
      <c r="H86" s="680"/>
      <c r="I86" s="24">
        <f t="shared" si="15"/>
        <v>1</v>
      </c>
      <c r="J86" s="680"/>
      <c r="K86" s="24">
        <f t="shared" si="16"/>
        <v>1</v>
      </c>
      <c r="L86" s="680"/>
      <c r="M86" s="24">
        <f t="shared" si="17"/>
        <v>1</v>
      </c>
      <c r="N86" s="680"/>
      <c r="O86" s="24">
        <f t="shared" si="18"/>
        <v>1</v>
      </c>
      <c r="P86" s="680"/>
      <c r="Q86" s="24">
        <f t="shared" si="19"/>
        <v>1</v>
      </c>
      <c r="R86" s="676">
        <f t="shared" si="20"/>
        <v>0</v>
      </c>
      <c r="S86" s="326">
        <f t="shared" si="22"/>
        <v>0</v>
      </c>
    </row>
    <row r="87" spans="1:19">
      <c r="A87" s="159"/>
      <c r="B87" s="59"/>
      <c r="C87" s="24">
        <f t="shared" si="12"/>
        <v>1</v>
      </c>
      <c r="D87" s="680"/>
      <c r="E87" s="24">
        <f t="shared" si="13"/>
        <v>1</v>
      </c>
      <c r="F87" s="680"/>
      <c r="G87" s="24">
        <f t="shared" si="14"/>
        <v>1</v>
      </c>
      <c r="H87" s="680"/>
      <c r="I87" s="24">
        <f t="shared" si="15"/>
        <v>1</v>
      </c>
      <c r="J87" s="680"/>
      <c r="K87" s="24">
        <f t="shared" si="16"/>
        <v>1</v>
      </c>
      <c r="L87" s="680"/>
      <c r="M87" s="24">
        <f t="shared" si="17"/>
        <v>1</v>
      </c>
      <c r="N87" s="680"/>
      <c r="O87" s="24">
        <f t="shared" si="18"/>
        <v>1</v>
      </c>
      <c r="P87" s="680"/>
      <c r="Q87" s="24">
        <f t="shared" si="19"/>
        <v>1</v>
      </c>
      <c r="R87" s="676">
        <f t="shared" si="20"/>
        <v>0</v>
      </c>
      <c r="S87" s="326">
        <f t="shared" si="22"/>
        <v>0</v>
      </c>
    </row>
    <row r="88" spans="1:19">
      <c r="A88" s="159"/>
      <c r="B88" s="59"/>
      <c r="C88" s="24">
        <f t="shared" si="12"/>
        <v>1</v>
      </c>
      <c r="D88" s="680"/>
      <c r="E88" s="24">
        <f t="shared" si="13"/>
        <v>1</v>
      </c>
      <c r="F88" s="680"/>
      <c r="G88" s="24">
        <f t="shared" si="14"/>
        <v>1</v>
      </c>
      <c r="H88" s="680"/>
      <c r="I88" s="24">
        <f t="shared" si="15"/>
        <v>1</v>
      </c>
      <c r="J88" s="680"/>
      <c r="K88" s="24">
        <f t="shared" si="16"/>
        <v>1</v>
      </c>
      <c r="L88" s="680"/>
      <c r="M88" s="24">
        <f t="shared" si="17"/>
        <v>1</v>
      </c>
      <c r="N88" s="680"/>
      <c r="O88" s="24">
        <f t="shared" si="18"/>
        <v>1</v>
      </c>
      <c r="P88" s="680"/>
      <c r="Q88" s="24">
        <f t="shared" si="19"/>
        <v>1</v>
      </c>
      <c r="R88" s="676">
        <f t="shared" si="20"/>
        <v>0</v>
      </c>
      <c r="S88" s="326">
        <f t="shared" si="22"/>
        <v>0</v>
      </c>
    </row>
    <row r="89" spans="1:19">
      <c r="A89" s="159"/>
      <c r="B89" s="59"/>
      <c r="C89" s="24">
        <f t="shared" si="12"/>
        <v>1</v>
      </c>
      <c r="D89" s="680"/>
      <c r="E89" s="24">
        <f t="shared" si="13"/>
        <v>1</v>
      </c>
      <c r="F89" s="680"/>
      <c r="G89" s="24">
        <f t="shared" si="14"/>
        <v>1</v>
      </c>
      <c r="H89" s="680"/>
      <c r="I89" s="24">
        <f t="shared" si="15"/>
        <v>1</v>
      </c>
      <c r="J89" s="680"/>
      <c r="K89" s="24">
        <f t="shared" si="16"/>
        <v>1</v>
      </c>
      <c r="L89" s="680"/>
      <c r="M89" s="24">
        <f t="shared" si="17"/>
        <v>1</v>
      </c>
      <c r="N89" s="680"/>
      <c r="O89" s="24">
        <f t="shared" si="18"/>
        <v>1</v>
      </c>
      <c r="P89" s="680"/>
      <c r="Q89" s="24">
        <f t="shared" si="19"/>
        <v>1</v>
      </c>
      <c r="R89" s="676">
        <f t="shared" si="20"/>
        <v>0</v>
      </c>
      <c r="S89" s="326">
        <f t="shared" si="22"/>
        <v>0</v>
      </c>
    </row>
    <row r="90" spans="1:19">
      <c r="A90" s="159"/>
      <c r="B90" s="59"/>
      <c r="C90" s="24">
        <f t="shared" ref="C90:C153" si="23">IF(B90="",1,(LOOKUP(B90,$3:$3,$4:$4)-LOOKUP($B$24,$3:$3,$4:$4)+100)/100)</f>
        <v>1</v>
      </c>
      <c r="D90" s="680"/>
      <c r="E90" s="24">
        <f t="shared" ref="E90:E153" si="24">(SUMIF($5:$5,D90,$6:$6)-SUMIF($5:$5,$D$24,$6:$6)+100)/100</f>
        <v>1</v>
      </c>
      <c r="F90" s="680"/>
      <c r="G90" s="24">
        <f t="shared" ref="G90:G153" si="25">(SUMIF($7:$7,F90,$8:$8)-SUMIF($7:$7,$F$24,$8:$8)+100)/100</f>
        <v>1</v>
      </c>
      <c r="H90" s="680"/>
      <c r="I90" s="24">
        <f t="shared" ref="I90:I153" si="26">(SUMIF($9:$9,H90,$10:$10)-SUMIF($9:$9,$H$24,$10:$10)+100)/100</f>
        <v>1</v>
      </c>
      <c r="J90" s="680"/>
      <c r="K90" s="24">
        <f t="shared" ref="K90:K153" si="27">(SUMIF($11:$11,J90,$12:$12)-SUMIF($11:$11,$J$24,$12:$12)+100)/100</f>
        <v>1</v>
      </c>
      <c r="L90" s="680"/>
      <c r="M90" s="24">
        <f t="shared" ref="M90:M153" si="28">(SUMIF($13:$13,L90,$14:$14)-SUMIF($13:$13,$L$24,$14:$14)+100)/100</f>
        <v>1</v>
      </c>
      <c r="N90" s="680"/>
      <c r="O90" s="24">
        <f t="shared" ref="O90:O153" si="29">(SUMIF($15:$15,N90,$16:$16)-SUMIF($15:$15,$N$24,$16:$16)+100)/100</f>
        <v>1</v>
      </c>
      <c r="P90" s="680"/>
      <c r="Q90" s="24">
        <f t="shared" ref="Q90:Q153" si="30">(SUMIF($17:$17,P90,$18:$18)-SUMIF($17:$17,$P$24,$18:$18)+100)/100</f>
        <v>1</v>
      </c>
      <c r="R90" s="676">
        <f t="shared" ref="R90:R153" si="31">IF(B90="",0,ROUND($R$24*C90*E90*G90*I90*K90*M90*O90*Q90,0))</f>
        <v>0</v>
      </c>
      <c r="S90" s="326">
        <f t="shared" si="22"/>
        <v>0</v>
      </c>
    </row>
    <row r="91" spans="1:19">
      <c r="A91" s="159"/>
      <c r="B91" s="59"/>
      <c r="C91" s="24">
        <f t="shared" si="23"/>
        <v>1</v>
      </c>
      <c r="D91" s="680"/>
      <c r="E91" s="24">
        <f t="shared" si="24"/>
        <v>1</v>
      </c>
      <c r="F91" s="680"/>
      <c r="G91" s="24">
        <f t="shared" si="25"/>
        <v>1</v>
      </c>
      <c r="H91" s="680"/>
      <c r="I91" s="24">
        <f t="shared" si="26"/>
        <v>1</v>
      </c>
      <c r="J91" s="680"/>
      <c r="K91" s="24">
        <f t="shared" si="27"/>
        <v>1</v>
      </c>
      <c r="L91" s="680"/>
      <c r="M91" s="24">
        <f t="shared" si="28"/>
        <v>1</v>
      </c>
      <c r="N91" s="680"/>
      <c r="O91" s="24">
        <f t="shared" si="29"/>
        <v>1</v>
      </c>
      <c r="P91" s="680"/>
      <c r="Q91" s="24">
        <f t="shared" si="30"/>
        <v>1</v>
      </c>
      <c r="R91" s="676">
        <f t="shared" si="31"/>
        <v>0</v>
      </c>
      <c r="S91" s="326">
        <f t="shared" si="22"/>
        <v>0</v>
      </c>
    </row>
    <row r="92" spans="1:19">
      <c r="A92" s="159"/>
      <c r="B92" s="59"/>
      <c r="C92" s="24">
        <f t="shared" si="23"/>
        <v>1</v>
      </c>
      <c r="D92" s="680"/>
      <c r="E92" s="24">
        <f t="shared" si="24"/>
        <v>1</v>
      </c>
      <c r="F92" s="680"/>
      <c r="G92" s="24">
        <f t="shared" si="25"/>
        <v>1</v>
      </c>
      <c r="H92" s="680"/>
      <c r="I92" s="24">
        <f t="shared" si="26"/>
        <v>1</v>
      </c>
      <c r="J92" s="680"/>
      <c r="K92" s="24">
        <f t="shared" si="27"/>
        <v>1</v>
      </c>
      <c r="L92" s="680"/>
      <c r="M92" s="24">
        <f t="shared" si="28"/>
        <v>1</v>
      </c>
      <c r="N92" s="680"/>
      <c r="O92" s="24">
        <f t="shared" si="29"/>
        <v>1</v>
      </c>
      <c r="P92" s="680"/>
      <c r="Q92" s="24">
        <f t="shared" si="30"/>
        <v>1</v>
      </c>
      <c r="R92" s="676">
        <f t="shared" si="31"/>
        <v>0</v>
      </c>
      <c r="S92" s="326">
        <f t="shared" si="22"/>
        <v>0</v>
      </c>
    </row>
    <row r="93" spans="1:19">
      <c r="A93" s="159"/>
      <c r="B93" s="59"/>
      <c r="C93" s="24">
        <f t="shared" si="23"/>
        <v>1</v>
      </c>
      <c r="D93" s="680"/>
      <c r="E93" s="24">
        <f t="shared" si="24"/>
        <v>1</v>
      </c>
      <c r="F93" s="680"/>
      <c r="G93" s="24">
        <f t="shared" si="25"/>
        <v>1</v>
      </c>
      <c r="H93" s="680"/>
      <c r="I93" s="24">
        <f t="shared" si="26"/>
        <v>1</v>
      </c>
      <c r="J93" s="680"/>
      <c r="K93" s="24">
        <f t="shared" si="27"/>
        <v>1</v>
      </c>
      <c r="L93" s="680"/>
      <c r="M93" s="24">
        <f t="shared" si="28"/>
        <v>1</v>
      </c>
      <c r="N93" s="680"/>
      <c r="O93" s="24">
        <f t="shared" si="29"/>
        <v>1</v>
      </c>
      <c r="P93" s="680"/>
      <c r="Q93" s="24">
        <f t="shared" si="30"/>
        <v>1</v>
      </c>
      <c r="R93" s="676">
        <f t="shared" si="31"/>
        <v>0</v>
      </c>
      <c r="S93" s="326">
        <f t="shared" si="22"/>
        <v>0</v>
      </c>
    </row>
    <row r="94" spans="1:19">
      <c r="A94" s="159"/>
      <c r="B94" s="59"/>
      <c r="C94" s="24">
        <f t="shared" si="23"/>
        <v>1</v>
      </c>
      <c r="D94" s="680"/>
      <c r="E94" s="24">
        <f t="shared" si="24"/>
        <v>1</v>
      </c>
      <c r="F94" s="680"/>
      <c r="G94" s="24">
        <f t="shared" si="25"/>
        <v>1</v>
      </c>
      <c r="H94" s="680"/>
      <c r="I94" s="24">
        <f t="shared" si="26"/>
        <v>1</v>
      </c>
      <c r="J94" s="680"/>
      <c r="K94" s="24">
        <f t="shared" si="27"/>
        <v>1</v>
      </c>
      <c r="L94" s="680"/>
      <c r="M94" s="24">
        <f t="shared" si="28"/>
        <v>1</v>
      </c>
      <c r="N94" s="680"/>
      <c r="O94" s="24">
        <f t="shared" si="29"/>
        <v>1</v>
      </c>
      <c r="P94" s="680"/>
      <c r="Q94" s="24">
        <f t="shared" si="30"/>
        <v>1</v>
      </c>
      <c r="R94" s="676">
        <f t="shared" si="31"/>
        <v>0</v>
      </c>
      <c r="S94" s="326">
        <f t="shared" si="22"/>
        <v>0</v>
      </c>
    </row>
    <row r="95" spans="1:19">
      <c r="A95" s="159"/>
      <c r="B95" s="59"/>
      <c r="C95" s="24">
        <f t="shared" si="23"/>
        <v>1</v>
      </c>
      <c r="D95" s="680"/>
      <c r="E95" s="24">
        <f t="shared" si="24"/>
        <v>1</v>
      </c>
      <c r="F95" s="680"/>
      <c r="G95" s="24">
        <f t="shared" si="25"/>
        <v>1</v>
      </c>
      <c r="H95" s="680"/>
      <c r="I95" s="24">
        <f t="shared" si="26"/>
        <v>1</v>
      </c>
      <c r="J95" s="680"/>
      <c r="K95" s="24">
        <f t="shared" si="27"/>
        <v>1</v>
      </c>
      <c r="L95" s="680"/>
      <c r="M95" s="24">
        <f t="shared" si="28"/>
        <v>1</v>
      </c>
      <c r="N95" s="680"/>
      <c r="O95" s="24">
        <f t="shared" si="29"/>
        <v>1</v>
      </c>
      <c r="P95" s="680"/>
      <c r="Q95" s="24">
        <f t="shared" si="30"/>
        <v>1</v>
      </c>
      <c r="R95" s="676">
        <f t="shared" si="31"/>
        <v>0</v>
      </c>
      <c r="S95" s="326">
        <f t="shared" si="22"/>
        <v>0</v>
      </c>
    </row>
    <row r="96" spans="1:19">
      <c r="A96" s="159"/>
      <c r="B96" s="59"/>
      <c r="C96" s="24">
        <f t="shared" si="23"/>
        <v>1</v>
      </c>
      <c r="D96" s="680"/>
      <c r="E96" s="24">
        <f t="shared" si="24"/>
        <v>1</v>
      </c>
      <c r="F96" s="680"/>
      <c r="G96" s="24">
        <f t="shared" si="25"/>
        <v>1</v>
      </c>
      <c r="H96" s="680"/>
      <c r="I96" s="24">
        <f t="shared" si="26"/>
        <v>1</v>
      </c>
      <c r="J96" s="680"/>
      <c r="K96" s="24">
        <f t="shared" si="27"/>
        <v>1</v>
      </c>
      <c r="L96" s="680"/>
      <c r="M96" s="24">
        <f t="shared" si="28"/>
        <v>1</v>
      </c>
      <c r="N96" s="680"/>
      <c r="O96" s="24">
        <f t="shared" si="29"/>
        <v>1</v>
      </c>
      <c r="P96" s="680"/>
      <c r="Q96" s="24">
        <f t="shared" si="30"/>
        <v>1</v>
      </c>
      <c r="R96" s="676">
        <f t="shared" si="31"/>
        <v>0</v>
      </c>
      <c r="S96" s="326">
        <f t="shared" si="22"/>
        <v>0</v>
      </c>
    </row>
    <row r="97" spans="1:19">
      <c r="A97" s="159"/>
      <c r="B97" s="59"/>
      <c r="C97" s="24">
        <f t="shared" si="23"/>
        <v>1</v>
      </c>
      <c r="D97" s="680"/>
      <c r="E97" s="24">
        <f t="shared" si="24"/>
        <v>1</v>
      </c>
      <c r="F97" s="680"/>
      <c r="G97" s="24">
        <f t="shared" si="25"/>
        <v>1</v>
      </c>
      <c r="H97" s="680"/>
      <c r="I97" s="24">
        <f t="shared" si="26"/>
        <v>1</v>
      </c>
      <c r="J97" s="680"/>
      <c r="K97" s="24">
        <f t="shared" si="27"/>
        <v>1</v>
      </c>
      <c r="L97" s="680"/>
      <c r="M97" s="24">
        <f t="shared" si="28"/>
        <v>1</v>
      </c>
      <c r="N97" s="680"/>
      <c r="O97" s="24">
        <f t="shared" si="29"/>
        <v>1</v>
      </c>
      <c r="P97" s="680"/>
      <c r="Q97" s="24">
        <f t="shared" si="30"/>
        <v>1</v>
      </c>
      <c r="R97" s="676">
        <f t="shared" si="31"/>
        <v>0</v>
      </c>
      <c r="S97" s="326">
        <f t="shared" si="22"/>
        <v>0</v>
      </c>
    </row>
    <row r="98" spans="1:19">
      <c r="A98" s="159"/>
      <c r="B98" s="59"/>
      <c r="C98" s="24">
        <f t="shared" si="23"/>
        <v>1</v>
      </c>
      <c r="D98" s="680"/>
      <c r="E98" s="24">
        <f t="shared" si="24"/>
        <v>1</v>
      </c>
      <c r="F98" s="680"/>
      <c r="G98" s="24">
        <f t="shared" si="25"/>
        <v>1</v>
      </c>
      <c r="H98" s="680"/>
      <c r="I98" s="24">
        <f t="shared" si="26"/>
        <v>1</v>
      </c>
      <c r="J98" s="680"/>
      <c r="K98" s="24">
        <f t="shared" si="27"/>
        <v>1</v>
      </c>
      <c r="L98" s="680"/>
      <c r="M98" s="24">
        <f t="shared" si="28"/>
        <v>1</v>
      </c>
      <c r="N98" s="680"/>
      <c r="O98" s="24">
        <f t="shared" si="29"/>
        <v>1</v>
      </c>
      <c r="P98" s="680"/>
      <c r="Q98" s="24">
        <f t="shared" si="30"/>
        <v>1</v>
      </c>
      <c r="R98" s="676">
        <f t="shared" si="31"/>
        <v>0</v>
      </c>
      <c r="S98" s="326">
        <f t="shared" si="22"/>
        <v>0</v>
      </c>
    </row>
    <row r="99" spans="1:19">
      <c r="A99" s="159"/>
      <c r="B99" s="59"/>
      <c r="C99" s="24">
        <f t="shared" si="23"/>
        <v>1</v>
      </c>
      <c r="D99" s="680"/>
      <c r="E99" s="24">
        <f t="shared" si="24"/>
        <v>1</v>
      </c>
      <c r="F99" s="680"/>
      <c r="G99" s="24">
        <f t="shared" si="25"/>
        <v>1</v>
      </c>
      <c r="H99" s="680"/>
      <c r="I99" s="24">
        <f t="shared" si="26"/>
        <v>1</v>
      </c>
      <c r="J99" s="680"/>
      <c r="K99" s="24">
        <f t="shared" si="27"/>
        <v>1</v>
      </c>
      <c r="L99" s="680"/>
      <c r="M99" s="24">
        <f t="shared" si="28"/>
        <v>1</v>
      </c>
      <c r="N99" s="680"/>
      <c r="O99" s="24">
        <f t="shared" si="29"/>
        <v>1</v>
      </c>
      <c r="P99" s="680"/>
      <c r="Q99" s="24">
        <f t="shared" si="30"/>
        <v>1</v>
      </c>
      <c r="R99" s="676">
        <f t="shared" si="31"/>
        <v>0</v>
      </c>
      <c r="S99" s="326">
        <f t="shared" si="22"/>
        <v>0</v>
      </c>
    </row>
    <row r="100" spans="1:19">
      <c r="A100" s="159"/>
      <c r="B100" s="59"/>
      <c r="C100" s="24">
        <f t="shared" si="23"/>
        <v>1</v>
      </c>
      <c r="D100" s="680"/>
      <c r="E100" s="24">
        <f t="shared" si="24"/>
        <v>1</v>
      </c>
      <c r="F100" s="680"/>
      <c r="G100" s="24">
        <f t="shared" si="25"/>
        <v>1</v>
      </c>
      <c r="H100" s="680"/>
      <c r="I100" s="24">
        <f t="shared" si="26"/>
        <v>1</v>
      </c>
      <c r="J100" s="680"/>
      <c r="K100" s="24">
        <f t="shared" si="27"/>
        <v>1</v>
      </c>
      <c r="L100" s="680"/>
      <c r="M100" s="24">
        <f t="shared" si="28"/>
        <v>1</v>
      </c>
      <c r="N100" s="680"/>
      <c r="O100" s="24">
        <f t="shared" si="29"/>
        <v>1</v>
      </c>
      <c r="P100" s="680"/>
      <c r="Q100" s="24">
        <f t="shared" si="30"/>
        <v>1</v>
      </c>
      <c r="R100" s="676">
        <f t="shared" si="31"/>
        <v>0</v>
      </c>
      <c r="S100" s="326">
        <f t="shared" si="22"/>
        <v>0</v>
      </c>
    </row>
    <row r="101" spans="1:19">
      <c r="A101" s="159"/>
      <c r="B101" s="59"/>
      <c r="C101" s="24">
        <f t="shared" si="23"/>
        <v>1</v>
      </c>
      <c r="D101" s="680"/>
      <c r="E101" s="24">
        <f t="shared" si="24"/>
        <v>1</v>
      </c>
      <c r="F101" s="680"/>
      <c r="G101" s="24">
        <f t="shared" si="25"/>
        <v>1</v>
      </c>
      <c r="H101" s="680"/>
      <c r="I101" s="24">
        <f t="shared" si="26"/>
        <v>1</v>
      </c>
      <c r="J101" s="680"/>
      <c r="K101" s="24">
        <f t="shared" si="27"/>
        <v>1</v>
      </c>
      <c r="L101" s="680"/>
      <c r="M101" s="24">
        <f t="shared" si="28"/>
        <v>1</v>
      </c>
      <c r="N101" s="680"/>
      <c r="O101" s="24">
        <f t="shared" si="29"/>
        <v>1</v>
      </c>
      <c r="P101" s="680"/>
      <c r="Q101" s="24">
        <f t="shared" si="30"/>
        <v>1</v>
      </c>
      <c r="R101" s="676">
        <f t="shared" si="31"/>
        <v>0</v>
      </c>
      <c r="S101" s="326">
        <f t="shared" si="22"/>
        <v>0</v>
      </c>
    </row>
    <row r="102" spans="1:19">
      <c r="A102" s="159"/>
      <c r="B102" s="59"/>
      <c r="C102" s="24">
        <f t="shared" si="23"/>
        <v>1</v>
      </c>
      <c r="D102" s="680"/>
      <c r="E102" s="24">
        <f t="shared" si="24"/>
        <v>1</v>
      </c>
      <c r="F102" s="680"/>
      <c r="G102" s="24">
        <f t="shared" si="25"/>
        <v>1</v>
      </c>
      <c r="H102" s="680"/>
      <c r="I102" s="24">
        <f t="shared" si="26"/>
        <v>1</v>
      </c>
      <c r="J102" s="680"/>
      <c r="K102" s="24">
        <f t="shared" si="27"/>
        <v>1</v>
      </c>
      <c r="L102" s="680"/>
      <c r="M102" s="24">
        <f t="shared" si="28"/>
        <v>1</v>
      </c>
      <c r="N102" s="680"/>
      <c r="O102" s="24">
        <f t="shared" si="29"/>
        <v>1</v>
      </c>
      <c r="P102" s="680"/>
      <c r="Q102" s="24">
        <f t="shared" si="30"/>
        <v>1</v>
      </c>
      <c r="R102" s="676">
        <f t="shared" si="31"/>
        <v>0</v>
      </c>
      <c r="S102" s="326">
        <f t="shared" si="22"/>
        <v>0</v>
      </c>
    </row>
    <row r="103" spans="1:19">
      <c r="A103" s="159"/>
      <c r="B103" s="59"/>
      <c r="C103" s="24">
        <f t="shared" si="23"/>
        <v>1</v>
      </c>
      <c r="D103" s="680"/>
      <c r="E103" s="24">
        <f t="shared" si="24"/>
        <v>1</v>
      </c>
      <c r="F103" s="680"/>
      <c r="G103" s="24">
        <f t="shared" si="25"/>
        <v>1</v>
      </c>
      <c r="H103" s="680"/>
      <c r="I103" s="24">
        <f t="shared" si="26"/>
        <v>1</v>
      </c>
      <c r="J103" s="680"/>
      <c r="K103" s="24">
        <f t="shared" si="27"/>
        <v>1</v>
      </c>
      <c r="L103" s="680"/>
      <c r="M103" s="24">
        <f t="shared" si="28"/>
        <v>1</v>
      </c>
      <c r="N103" s="680"/>
      <c r="O103" s="24">
        <f t="shared" si="29"/>
        <v>1</v>
      </c>
      <c r="P103" s="680"/>
      <c r="Q103" s="24">
        <f t="shared" si="30"/>
        <v>1</v>
      </c>
      <c r="R103" s="676">
        <f t="shared" si="31"/>
        <v>0</v>
      </c>
      <c r="S103" s="326">
        <f t="shared" si="22"/>
        <v>0</v>
      </c>
    </row>
    <row r="104" spans="1:19">
      <c r="A104" s="159"/>
      <c r="B104" s="59"/>
      <c r="C104" s="24">
        <f t="shared" si="23"/>
        <v>1</v>
      </c>
      <c r="D104" s="680"/>
      <c r="E104" s="24">
        <f t="shared" si="24"/>
        <v>1</v>
      </c>
      <c r="F104" s="680"/>
      <c r="G104" s="24">
        <f t="shared" si="25"/>
        <v>1</v>
      </c>
      <c r="H104" s="680"/>
      <c r="I104" s="24">
        <f t="shared" si="26"/>
        <v>1</v>
      </c>
      <c r="J104" s="680"/>
      <c r="K104" s="24">
        <f t="shared" si="27"/>
        <v>1</v>
      </c>
      <c r="L104" s="680"/>
      <c r="M104" s="24">
        <f t="shared" si="28"/>
        <v>1</v>
      </c>
      <c r="N104" s="680"/>
      <c r="O104" s="24">
        <f t="shared" si="29"/>
        <v>1</v>
      </c>
      <c r="P104" s="680"/>
      <c r="Q104" s="24">
        <f t="shared" si="30"/>
        <v>1</v>
      </c>
      <c r="R104" s="676">
        <f t="shared" si="31"/>
        <v>0</v>
      </c>
      <c r="S104" s="326">
        <f t="shared" si="22"/>
        <v>0</v>
      </c>
    </row>
    <row r="105" spans="1:19">
      <c r="A105" s="159"/>
      <c r="B105" s="59"/>
      <c r="C105" s="24">
        <f t="shared" si="23"/>
        <v>1</v>
      </c>
      <c r="D105" s="680"/>
      <c r="E105" s="24">
        <f t="shared" si="24"/>
        <v>1</v>
      </c>
      <c r="F105" s="680"/>
      <c r="G105" s="24">
        <f t="shared" si="25"/>
        <v>1</v>
      </c>
      <c r="H105" s="680"/>
      <c r="I105" s="24">
        <f t="shared" si="26"/>
        <v>1</v>
      </c>
      <c r="J105" s="680"/>
      <c r="K105" s="24">
        <f t="shared" si="27"/>
        <v>1</v>
      </c>
      <c r="L105" s="680"/>
      <c r="M105" s="24">
        <f t="shared" si="28"/>
        <v>1</v>
      </c>
      <c r="N105" s="680"/>
      <c r="O105" s="24">
        <f t="shared" si="29"/>
        <v>1</v>
      </c>
      <c r="P105" s="680"/>
      <c r="Q105" s="24">
        <f t="shared" si="30"/>
        <v>1</v>
      </c>
      <c r="R105" s="676">
        <f t="shared" si="31"/>
        <v>0</v>
      </c>
      <c r="S105" s="326">
        <f t="shared" si="22"/>
        <v>0</v>
      </c>
    </row>
    <row r="106" spans="1:19">
      <c r="A106" s="159"/>
      <c r="B106" s="59"/>
      <c r="C106" s="24">
        <f t="shared" si="23"/>
        <v>1</v>
      </c>
      <c r="D106" s="680"/>
      <c r="E106" s="24">
        <f t="shared" si="24"/>
        <v>1</v>
      </c>
      <c r="F106" s="680"/>
      <c r="G106" s="24">
        <f t="shared" si="25"/>
        <v>1</v>
      </c>
      <c r="H106" s="680"/>
      <c r="I106" s="24">
        <f t="shared" si="26"/>
        <v>1</v>
      </c>
      <c r="J106" s="680"/>
      <c r="K106" s="24">
        <f t="shared" si="27"/>
        <v>1</v>
      </c>
      <c r="L106" s="680"/>
      <c r="M106" s="24">
        <f t="shared" si="28"/>
        <v>1</v>
      </c>
      <c r="N106" s="680"/>
      <c r="O106" s="24">
        <f t="shared" si="29"/>
        <v>1</v>
      </c>
      <c r="P106" s="680"/>
      <c r="Q106" s="24">
        <f t="shared" si="30"/>
        <v>1</v>
      </c>
      <c r="R106" s="676">
        <f t="shared" si="31"/>
        <v>0</v>
      </c>
      <c r="S106" s="326">
        <f t="shared" si="22"/>
        <v>0</v>
      </c>
    </row>
    <row r="107" spans="1:19">
      <c r="A107" s="159"/>
      <c r="B107" s="59"/>
      <c r="C107" s="24">
        <f t="shared" si="23"/>
        <v>1</v>
      </c>
      <c r="D107" s="680"/>
      <c r="E107" s="24">
        <f t="shared" si="24"/>
        <v>1</v>
      </c>
      <c r="F107" s="680"/>
      <c r="G107" s="24">
        <f t="shared" si="25"/>
        <v>1</v>
      </c>
      <c r="H107" s="680"/>
      <c r="I107" s="24">
        <f t="shared" si="26"/>
        <v>1</v>
      </c>
      <c r="J107" s="680"/>
      <c r="K107" s="24">
        <f t="shared" si="27"/>
        <v>1</v>
      </c>
      <c r="L107" s="680"/>
      <c r="M107" s="24">
        <f t="shared" si="28"/>
        <v>1</v>
      </c>
      <c r="N107" s="680"/>
      <c r="O107" s="24">
        <f t="shared" si="29"/>
        <v>1</v>
      </c>
      <c r="P107" s="680"/>
      <c r="Q107" s="24">
        <f t="shared" si="30"/>
        <v>1</v>
      </c>
      <c r="R107" s="676">
        <f t="shared" si="31"/>
        <v>0</v>
      </c>
      <c r="S107" s="326">
        <f t="shared" si="22"/>
        <v>0</v>
      </c>
    </row>
    <row r="108" spans="1:19">
      <c r="A108" s="159"/>
      <c r="B108" s="59"/>
      <c r="C108" s="24">
        <f t="shared" si="23"/>
        <v>1</v>
      </c>
      <c r="D108" s="680"/>
      <c r="E108" s="24">
        <f t="shared" si="24"/>
        <v>1</v>
      </c>
      <c r="F108" s="680"/>
      <c r="G108" s="24">
        <f t="shared" si="25"/>
        <v>1</v>
      </c>
      <c r="H108" s="680"/>
      <c r="I108" s="24">
        <f t="shared" si="26"/>
        <v>1</v>
      </c>
      <c r="J108" s="680"/>
      <c r="K108" s="24">
        <f t="shared" si="27"/>
        <v>1</v>
      </c>
      <c r="L108" s="680"/>
      <c r="M108" s="24">
        <f t="shared" si="28"/>
        <v>1</v>
      </c>
      <c r="N108" s="680"/>
      <c r="O108" s="24">
        <f t="shared" si="29"/>
        <v>1</v>
      </c>
      <c r="P108" s="680"/>
      <c r="Q108" s="24">
        <f t="shared" si="30"/>
        <v>1</v>
      </c>
      <c r="R108" s="676">
        <f t="shared" si="31"/>
        <v>0</v>
      </c>
      <c r="S108" s="326">
        <f t="shared" si="22"/>
        <v>0</v>
      </c>
    </row>
    <row r="109" spans="1:19">
      <c r="A109" s="159"/>
      <c r="B109" s="59"/>
      <c r="C109" s="24">
        <f t="shared" si="23"/>
        <v>1</v>
      </c>
      <c r="D109" s="680"/>
      <c r="E109" s="24">
        <f t="shared" si="24"/>
        <v>1</v>
      </c>
      <c r="F109" s="680"/>
      <c r="G109" s="24">
        <f t="shared" si="25"/>
        <v>1</v>
      </c>
      <c r="H109" s="680"/>
      <c r="I109" s="24">
        <f t="shared" si="26"/>
        <v>1</v>
      </c>
      <c r="J109" s="680"/>
      <c r="K109" s="24">
        <f t="shared" si="27"/>
        <v>1</v>
      </c>
      <c r="L109" s="680"/>
      <c r="M109" s="24">
        <f t="shared" si="28"/>
        <v>1</v>
      </c>
      <c r="N109" s="680"/>
      <c r="O109" s="24">
        <f t="shared" si="29"/>
        <v>1</v>
      </c>
      <c r="P109" s="680"/>
      <c r="Q109" s="24">
        <f t="shared" si="30"/>
        <v>1</v>
      </c>
      <c r="R109" s="676">
        <f t="shared" si="31"/>
        <v>0</v>
      </c>
      <c r="S109" s="326">
        <f t="shared" si="22"/>
        <v>0</v>
      </c>
    </row>
    <row r="110" spans="1:19">
      <c r="A110" s="159"/>
      <c r="B110" s="59"/>
      <c r="C110" s="24">
        <f t="shared" si="23"/>
        <v>1</v>
      </c>
      <c r="D110" s="680"/>
      <c r="E110" s="24">
        <f t="shared" si="24"/>
        <v>1</v>
      </c>
      <c r="F110" s="680"/>
      <c r="G110" s="24">
        <f t="shared" si="25"/>
        <v>1</v>
      </c>
      <c r="H110" s="680"/>
      <c r="I110" s="24">
        <f t="shared" si="26"/>
        <v>1</v>
      </c>
      <c r="J110" s="680"/>
      <c r="K110" s="24">
        <f t="shared" si="27"/>
        <v>1</v>
      </c>
      <c r="L110" s="680"/>
      <c r="M110" s="24">
        <f t="shared" si="28"/>
        <v>1</v>
      </c>
      <c r="N110" s="680"/>
      <c r="O110" s="24">
        <f t="shared" si="29"/>
        <v>1</v>
      </c>
      <c r="P110" s="680"/>
      <c r="Q110" s="24">
        <f t="shared" si="30"/>
        <v>1</v>
      </c>
      <c r="R110" s="676">
        <f t="shared" si="31"/>
        <v>0</v>
      </c>
      <c r="S110" s="326">
        <f t="shared" si="22"/>
        <v>0</v>
      </c>
    </row>
    <row r="111" spans="1:19">
      <c r="A111" s="159"/>
      <c r="B111" s="59"/>
      <c r="C111" s="24">
        <f t="shared" si="23"/>
        <v>1</v>
      </c>
      <c r="D111" s="680"/>
      <c r="E111" s="24">
        <f t="shared" si="24"/>
        <v>1</v>
      </c>
      <c r="F111" s="680"/>
      <c r="G111" s="24">
        <f t="shared" si="25"/>
        <v>1</v>
      </c>
      <c r="H111" s="680"/>
      <c r="I111" s="24">
        <f t="shared" si="26"/>
        <v>1</v>
      </c>
      <c r="J111" s="680"/>
      <c r="K111" s="24">
        <f t="shared" si="27"/>
        <v>1</v>
      </c>
      <c r="L111" s="680"/>
      <c r="M111" s="24">
        <f t="shared" si="28"/>
        <v>1</v>
      </c>
      <c r="N111" s="680"/>
      <c r="O111" s="24">
        <f t="shared" si="29"/>
        <v>1</v>
      </c>
      <c r="P111" s="680"/>
      <c r="Q111" s="24">
        <f t="shared" si="30"/>
        <v>1</v>
      </c>
      <c r="R111" s="676">
        <f t="shared" si="31"/>
        <v>0</v>
      </c>
      <c r="S111" s="326">
        <f t="shared" si="22"/>
        <v>0</v>
      </c>
    </row>
    <row r="112" spans="1:19">
      <c r="A112" s="159"/>
      <c r="B112" s="59"/>
      <c r="C112" s="24">
        <f t="shared" si="23"/>
        <v>1</v>
      </c>
      <c r="D112" s="680"/>
      <c r="E112" s="24">
        <f t="shared" si="24"/>
        <v>1</v>
      </c>
      <c r="F112" s="680"/>
      <c r="G112" s="24">
        <f t="shared" si="25"/>
        <v>1</v>
      </c>
      <c r="H112" s="680"/>
      <c r="I112" s="24">
        <f t="shared" si="26"/>
        <v>1</v>
      </c>
      <c r="J112" s="680"/>
      <c r="K112" s="24">
        <f t="shared" si="27"/>
        <v>1</v>
      </c>
      <c r="L112" s="680"/>
      <c r="M112" s="24">
        <f t="shared" si="28"/>
        <v>1</v>
      </c>
      <c r="N112" s="680"/>
      <c r="O112" s="24">
        <f t="shared" si="29"/>
        <v>1</v>
      </c>
      <c r="P112" s="680"/>
      <c r="Q112" s="24">
        <f t="shared" si="30"/>
        <v>1</v>
      </c>
      <c r="R112" s="676">
        <f t="shared" si="31"/>
        <v>0</v>
      </c>
      <c r="S112" s="326">
        <f t="shared" si="22"/>
        <v>0</v>
      </c>
    </row>
    <row r="113" spans="1:19">
      <c r="A113" s="159"/>
      <c r="B113" s="59"/>
      <c r="C113" s="24">
        <f t="shared" si="23"/>
        <v>1</v>
      </c>
      <c r="D113" s="680"/>
      <c r="E113" s="24">
        <f t="shared" si="24"/>
        <v>1</v>
      </c>
      <c r="F113" s="680"/>
      <c r="G113" s="24">
        <f t="shared" si="25"/>
        <v>1</v>
      </c>
      <c r="H113" s="680"/>
      <c r="I113" s="24">
        <f t="shared" si="26"/>
        <v>1</v>
      </c>
      <c r="J113" s="680"/>
      <c r="K113" s="24">
        <f t="shared" si="27"/>
        <v>1</v>
      </c>
      <c r="L113" s="680"/>
      <c r="M113" s="24">
        <f t="shared" si="28"/>
        <v>1</v>
      </c>
      <c r="N113" s="680"/>
      <c r="O113" s="24">
        <f t="shared" si="29"/>
        <v>1</v>
      </c>
      <c r="P113" s="680"/>
      <c r="Q113" s="24">
        <f t="shared" si="30"/>
        <v>1</v>
      </c>
      <c r="R113" s="676">
        <f t="shared" si="31"/>
        <v>0</v>
      </c>
      <c r="S113" s="326">
        <f t="shared" si="22"/>
        <v>0</v>
      </c>
    </row>
    <row r="114" spans="1:19">
      <c r="A114" s="159"/>
      <c r="B114" s="59"/>
      <c r="C114" s="24">
        <f t="shared" si="23"/>
        <v>1</v>
      </c>
      <c r="D114" s="680"/>
      <c r="E114" s="24">
        <f t="shared" si="24"/>
        <v>1</v>
      </c>
      <c r="F114" s="680"/>
      <c r="G114" s="24">
        <f t="shared" si="25"/>
        <v>1</v>
      </c>
      <c r="H114" s="680"/>
      <c r="I114" s="24">
        <f t="shared" si="26"/>
        <v>1</v>
      </c>
      <c r="J114" s="680"/>
      <c r="K114" s="24">
        <f t="shared" si="27"/>
        <v>1</v>
      </c>
      <c r="L114" s="680"/>
      <c r="M114" s="24">
        <f t="shared" si="28"/>
        <v>1</v>
      </c>
      <c r="N114" s="680"/>
      <c r="O114" s="24">
        <f t="shared" si="29"/>
        <v>1</v>
      </c>
      <c r="P114" s="680"/>
      <c r="Q114" s="24">
        <f t="shared" si="30"/>
        <v>1</v>
      </c>
      <c r="R114" s="676">
        <f t="shared" si="31"/>
        <v>0</v>
      </c>
      <c r="S114" s="326">
        <f t="shared" si="22"/>
        <v>0</v>
      </c>
    </row>
    <row r="115" spans="1:19">
      <c r="A115" s="159"/>
      <c r="B115" s="59"/>
      <c r="C115" s="24">
        <f t="shared" si="23"/>
        <v>1</v>
      </c>
      <c r="D115" s="680"/>
      <c r="E115" s="24">
        <f t="shared" si="24"/>
        <v>1</v>
      </c>
      <c r="F115" s="680"/>
      <c r="G115" s="24">
        <f t="shared" si="25"/>
        <v>1</v>
      </c>
      <c r="H115" s="680"/>
      <c r="I115" s="24">
        <f t="shared" si="26"/>
        <v>1</v>
      </c>
      <c r="J115" s="680"/>
      <c r="K115" s="24">
        <f t="shared" si="27"/>
        <v>1</v>
      </c>
      <c r="L115" s="680"/>
      <c r="M115" s="24">
        <f t="shared" si="28"/>
        <v>1</v>
      </c>
      <c r="N115" s="680"/>
      <c r="O115" s="24">
        <f t="shared" si="29"/>
        <v>1</v>
      </c>
      <c r="P115" s="680"/>
      <c r="Q115" s="24">
        <f t="shared" si="30"/>
        <v>1</v>
      </c>
      <c r="R115" s="676">
        <f t="shared" si="31"/>
        <v>0</v>
      </c>
      <c r="S115" s="326">
        <f t="shared" si="22"/>
        <v>0</v>
      </c>
    </row>
    <row r="116" spans="1:19">
      <c r="A116" s="159"/>
      <c r="B116" s="59"/>
      <c r="C116" s="24">
        <f t="shared" si="23"/>
        <v>1</v>
      </c>
      <c r="D116" s="680"/>
      <c r="E116" s="24">
        <f t="shared" si="24"/>
        <v>1</v>
      </c>
      <c r="F116" s="680"/>
      <c r="G116" s="24">
        <f t="shared" si="25"/>
        <v>1</v>
      </c>
      <c r="H116" s="680"/>
      <c r="I116" s="24">
        <f t="shared" si="26"/>
        <v>1</v>
      </c>
      <c r="J116" s="680"/>
      <c r="K116" s="24">
        <f t="shared" si="27"/>
        <v>1</v>
      </c>
      <c r="L116" s="680"/>
      <c r="M116" s="24">
        <f t="shared" si="28"/>
        <v>1</v>
      </c>
      <c r="N116" s="680"/>
      <c r="O116" s="24">
        <f t="shared" si="29"/>
        <v>1</v>
      </c>
      <c r="P116" s="680"/>
      <c r="Q116" s="24">
        <f t="shared" si="30"/>
        <v>1</v>
      </c>
      <c r="R116" s="676">
        <f t="shared" si="31"/>
        <v>0</v>
      </c>
      <c r="S116" s="326">
        <f t="shared" si="22"/>
        <v>0</v>
      </c>
    </row>
    <row r="117" spans="1:19">
      <c r="A117" s="159"/>
      <c r="B117" s="59"/>
      <c r="C117" s="24">
        <f t="shared" si="23"/>
        <v>1</v>
      </c>
      <c r="D117" s="680"/>
      <c r="E117" s="24">
        <f t="shared" si="24"/>
        <v>1</v>
      </c>
      <c r="F117" s="680"/>
      <c r="G117" s="24">
        <f t="shared" si="25"/>
        <v>1</v>
      </c>
      <c r="H117" s="680"/>
      <c r="I117" s="24">
        <f t="shared" si="26"/>
        <v>1</v>
      </c>
      <c r="J117" s="680"/>
      <c r="K117" s="24">
        <f t="shared" si="27"/>
        <v>1</v>
      </c>
      <c r="L117" s="680"/>
      <c r="M117" s="24">
        <f t="shared" si="28"/>
        <v>1</v>
      </c>
      <c r="N117" s="680"/>
      <c r="O117" s="24">
        <f t="shared" si="29"/>
        <v>1</v>
      </c>
      <c r="P117" s="680"/>
      <c r="Q117" s="24">
        <f t="shared" si="30"/>
        <v>1</v>
      </c>
      <c r="R117" s="676">
        <f t="shared" si="31"/>
        <v>0</v>
      </c>
      <c r="S117" s="326">
        <f t="shared" si="22"/>
        <v>0</v>
      </c>
    </row>
    <row r="118" spans="1:19">
      <c r="A118" s="159"/>
      <c r="B118" s="59"/>
      <c r="C118" s="24">
        <f t="shared" si="23"/>
        <v>1</v>
      </c>
      <c r="D118" s="680"/>
      <c r="E118" s="24">
        <f t="shared" si="24"/>
        <v>1</v>
      </c>
      <c r="F118" s="680"/>
      <c r="G118" s="24">
        <f t="shared" si="25"/>
        <v>1</v>
      </c>
      <c r="H118" s="680"/>
      <c r="I118" s="24">
        <f t="shared" si="26"/>
        <v>1</v>
      </c>
      <c r="J118" s="680"/>
      <c r="K118" s="24">
        <f t="shared" si="27"/>
        <v>1</v>
      </c>
      <c r="L118" s="680"/>
      <c r="M118" s="24">
        <f t="shared" si="28"/>
        <v>1</v>
      </c>
      <c r="N118" s="680"/>
      <c r="O118" s="24">
        <f t="shared" si="29"/>
        <v>1</v>
      </c>
      <c r="P118" s="680"/>
      <c r="Q118" s="24">
        <f t="shared" si="30"/>
        <v>1</v>
      </c>
      <c r="R118" s="676">
        <f t="shared" si="31"/>
        <v>0</v>
      </c>
      <c r="S118" s="326">
        <f t="shared" si="22"/>
        <v>0</v>
      </c>
    </row>
    <row r="119" spans="1:19">
      <c r="A119" s="159"/>
      <c r="B119" s="59"/>
      <c r="C119" s="24">
        <f t="shared" si="23"/>
        <v>1</v>
      </c>
      <c r="D119" s="680"/>
      <c r="E119" s="24">
        <f t="shared" si="24"/>
        <v>1</v>
      </c>
      <c r="F119" s="680"/>
      <c r="G119" s="24">
        <f t="shared" si="25"/>
        <v>1</v>
      </c>
      <c r="H119" s="680"/>
      <c r="I119" s="24">
        <f t="shared" si="26"/>
        <v>1</v>
      </c>
      <c r="J119" s="680"/>
      <c r="K119" s="24">
        <f t="shared" si="27"/>
        <v>1</v>
      </c>
      <c r="L119" s="680"/>
      <c r="M119" s="24">
        <f t="shared" si="28"/>
        <v>1</v>
      </c>
      <c r="N119" s="680"/>
      <c r="O119" s="24">
        <f t="shared" si="29"/>
        <v>1</v>
      </c>
      <c r="P119" s="680"/>
      <c r="Q119" s="24">
        <f t="shared" si="30"/>
        <v>1</v>
      </c>
      <c r="R119" s="676">
        <f t="shared" si="31"/>
        <v>0</v>
      </c>
      <c r="S119" s="326">
        <f t="shared" si="22"/>
        <v>0</v>
      </c>
    </row>
    <row r="120" spans="1:19">
      <c r="A120" s="159"/>
      <c r="B120" s="59"/>
      <c r="C120" s="24">
        <f t="shared" si="23"/>
        <v>1</v>
      </c>
      <c r="D120" s="680"/>
      <c r="E120" s="24">
        <f t="shared" si="24"/>
        <v>1</v>
      </c>
      <c r="F120" s="680"/>
      <c r="G120" s="24">
        <f t="shared" si="25"/>
        <v>1</v>
      </c>
      <c r="H120" s="680"/>
      <c r="I120" s="24">
        <f t="shared" si="26"/>
        <v>1</v>
      </c>
      <c r="J120" s="680"/>
      <c r="K120" s="24">
        <f t="shared" si="27"/>
        <v>1</v>
      </c>
      <c r="L120" s="680"/>
      <c r="M120" s="24">
        <f t="shared" si="28"/>
        <v>1</v>
      </c>
      <c r="N120" s="680"/>
      <c r="O120" s="24">
        <f t="shared" si="29"/>
        <v>1</v>
      </c>
      <c r="P120" s="680"/>
      <c r="Q120" s="24">
        <f t="shared" si="30"/>
        <v>1</v>
      </c>
      <c r="R120" s="676">
        <f t="shared" si="31"/>
        <v>0</v>
      </c>
      <c r="S120" s="326">
        <f t="shared" si="22"/>
        <v>0</v>
      </c>
    </row>
    <row r="121" spans="1:19">
      <c r="A121" s="159"/>
      <c r="B121" s="59"/>
      <c r="C121" s="24">
        <f t="shared" si="23"/>
        <v>1</v>
      </c>
      <c r="D121" s="680"/>
      <c r="E121" s="24">
        <f t="shared" si="24"/>
        <v>1</v>
      </c>
      <c r="F121" s="680"/>
      <c r="G121" s="24">
        <f t="shared" si="25"/>
        <v>1</v>
      </c>
      <c r="H121" s="680"/>
      <c r="I121" s="24">
        <f t="shared" si="26"/>
        <v>1</v>
      </c>
      <c r="J121" s="680"/>
      <c r="K121" s="24">
        <f t="shared" si="27"/>
        <v>1</v>
      </c>
      <c r="L121" s="680"/>
      <c r="M121" s="24">
        <f t="shared" si="28"/>
        <v>1</v>
      </c>
      <c r="N121" s="680"/>
      <c r="O121" s="24">
        <f t="shared" si="29"/>
        <v>1</v>
      </c>
      <c r="P121" s="680"/>
      <c r="Q121" s="24">
        <f t="shared" si="30"/>
        <v>1</v>
      </c>
      <c r="R121" s="676">
        <f t="shared" si="31"/>
        <v>0</v>
      </c>
      <c r="S121" s="326">
        <f t="shared" si="22"/>
        <v>0</v>
      </c>
    </row>
    <row r="122" spans="1:19">
      <c r="A122" s="159"/>
      <c r="B122" s="59"/>
      <c r="C122" s="24">
        <f t="shared" si="23"/>
        <v>1</v>
      </c>
      <c r="D122" s="680"/>
      <c r="E122" s="24">
        <f t="shared" si="24"/>
        <v>1</v>
      </c>
      <c r="F122" s="680"/>
      <c r="G122" s="24">
        <f t="shared" si="25"/>
        <v>1</v>
      </c>
      <c r="H122" s="680"/>
      <c r="I122" s="24">
        <f t="shared" si="26"/>
        <v>1</v>
      </c>
      <c r="J122" s="680"/>
      <c r="K122" s="24">
        <f t="shared" si="27"/>
        <v>1</v>
      </c>
      <c r="L122" s="680"/>
      <c r="M122" s="24">
        <f t="shared" si="28"/>
        <v>1</v>
      </c>
      <c r="N122" s="680"/>
      <c r="O122" s="24">
        <f t="shared" si="29"/>
        <v>1</v>
      </c>
      <c r="P122" s="680"/>
      <c r="Q122" s="24">
        <f t="shared" si="30"/>
        <v>1</v>
      </c>
      <c r="R122" s="676">
        <f t="shared" si="31"/>
        <v>0</v>
      </c>
      <c r="S122" s="326">
        <f t="shared" si="22"/>
        <v>0</v>
      </c>
    </row>
    <row r="123" spans="1:19">
      <c r="A123" s="159"/>
      <c r="B123" s="59"/>
      <c r="C123" s="24">
        <f t="shared" si="23"/>
        <v>1</v>
      </c>
      <c r="D123" s="680"/>
      <c r="E123" s="24">
        <f t="shared" si="24"/>
        <v>1</v>
      </c>
      <c r="F123" s="680"/>
      <c r="G123" s="24">
        <f t="shared" si="25"/>
        <v>1</v>
      </c>
      <c r="H123" s="680"/>
      <c r="I123" s="24">
        <f t="shared" si="26"/>
        <v>1</v>
      </c>
      <c r="J123" s="680"/>
      <c r="K123" s="24">
        <f t="shared" si="27"/>
        <v>1</v>
      </c>
      <c r="L123" s="680"/>
      <c r="M123" s="24">
        <f t="shared" si="28"/>
        <v>1</v>
      </c>
      <c r="N123" s="680"/>
      <c r="O123" s="24">
        <f t="shared" si="29"/>
        <v>1</v>
      </c>
      <c r="P123" s="680"/>
      <c r="Q123" s="24">
        <f t="shared" si="30"/>
        <v>1</v>
      </c>
      <c r="R123" s="676">
        <f t="shared" si="31"/>
        <v>0</v>
      </c>
      <c r="S123" s="326">
        <f t="shared" ref="S123:S186" si="32">ROUND(R123*B123/10000,0)</f>
        <v>0</v>
      </c>
    </row>
    <row r="124" spans="1:19">
      <c r="A124" s="159"/>
      <c r="B124" s="59"/>
      <c r="C124" s="24">
        <f t="shared" si="23"/>
        <v>1</v>
      </c>
      <c r="D124" s="680"/>
      <c r="E124" s="24">
        <f t="shared" si="24"/>
        <v>1</v>
      </c>
      <c r="F124" s="680"/>
      <c r="G124" s="24">
        <f t="shared" si="25"/>
        <v>1</v>
      </c>
      <c r="H124" s="680"/>
      <c r="I124" s="24">
        <f t="shared" si="26"/>
        <v>1</v>
      </c>
      <c r="J124" s="680"/>
      <c r="K124" s="24">
        <f t="shared" si="27"/>
        <v>1</v>
      </c>
      <c r="L124" s="680"/>
      <c r="M124" s="24">
        <f t="shared" si="28"/>
        <v>1</v>
      </c>
      <c r="N124" s="680"/>
      <c r="O124" s="24">
        <f t="shared" si="29"/>
        <v>1</v>
      </c>
      <c r="P124" s="680"/>
      <c r="Q124" s="24">
        <f t="shared" si="30"/>
        <v>1</v>
      </c>
      <c r="R124" s="676">
        <f t="shared" si="31"/>
        <v>0</v>
      </c>
      <c r="S124" s="326">
        <f t="shared" si="32"/>
        <v>0</v>
      </c>
    </row>
    <row r="125" spans="1:19">
      <c r="A125" s="159"/>
      <c r="B125" s="59"/>
      <c r="C125" s="24">
        <f t="shared" si="23"/>
        <v>1</v>
      </c>
      <c r="D125" s="680"/>
      <c r="E125" s="24">
        <f t="shared" si="24"/>
        <v>1</v>
      </c>
      <c r="F125" s="680"/>
      <c r="G125" s="24">
        <f t="shared" si="25"/>
        <v>1</v>
      </c>
      <c r="H125" s="680"/>
      <c r="I125" s="24">
        <f t="shared" si="26"/>
        <v>1</v>
      </c>
      <c r="J125" s="680"/>
      <c r="K125" s="24">
        <f t="shared" si="27"/>
        <v>1</v>
      </c>
      <c r="L125" s="680"/>
      <c r="M125" s="24">
        <f t="shared" si="28"/>
        <v>1</v>
      </c>
      <c r="N125" s="680"/>
      <c r="O125" s="24">
        <f t="shared" si="29"/>
        <v>1</v>
      </c>
      <c r="P125" s="680"/>
      <c r="Q125" s="24">
        <f t="shared" si="30"/>
        <v>1</v>
      </c>
      <c r="R125" s="676">
        <f t="shared" si="31"/>
        <v>0</v>
      </c>
      <c r="S125" s="326">
        <f t="shared" si="32"/>
        <v>0</v>
      </c>
    </row>
    <row r="126" spans="1:19">
      <c r="A126" s="159"/>
      <c r="B126" s="59"/>
      <c r="C126" s="24">
        <f t="shared" si="23"/>
        <v>1</v>
      </c>
      <c r="D126" s="680"/>
      <c r="E126" s="24">
        <f t="shared" si="24"/>
        <v>1</v>
      </c>
      <c r="F126" s="680"/>
      <c r="G126" s="24">
        <f t="shared" si="25"/>
        <v>1</v>
      </c>
      <c r="H126" s="680"/>
      <c r="I126" s="24">
        <f t="shared" si="26"/>
        <v>1</v>
      </c>
      <c r="J126" s="680"/>
      <c r="K126" s="24">
        <f t="shared" si="27"/>
        <v>1</v>
      </c>
      <c r="L126" s="680"/>
      <c r="M126" s="24">
        <f t="shared" si="28"/>
        <v>1</v>
      </c>
      <c r="N126" s="680"/>
      <c r="O126" s="24">
        <f t="shared" si="29"/>
        <v>1</v>
      </c>
      <c r="P126" s="680"/>
      <c r="Q126" s="24">
        <f t="shared" si="30"/>
        <v>1</v>
      </c>
      <c r="R126" s="676">
        <f t="shared" si="31"/>
        <v>0</v>
      </c>
      <c r="S126" s="326">
        <f t="shared" si="32"/>
        <v>0</v>
      </c>
    </row>
    <row r="127" spans="1:19">
      <c r="A127" s="159"/>
      <c r="B127" s="59"/>
      <c r="C127" s="24">
        <f t="shared" si="23"/>
        <v>1</v>
      </c>
      <c r="D127" s="680"/>
      <c r="E127" s="24">
        <f t="shared" si="24"/>
        <v>1</v>
      </c>
      <c r="F127" s="680"/>
      <c r="G127" s="24">
        <f t="shared" si="25"/>
        <v>1</v>
      </c>
      <c r="H127" s="680"/>
      <c r="I127" s="24">
        <f t="shared" si="26"/>
        <v>1</v>
      </c>
      <c r="J127" s="680"/>
      <c r="K127" s="24">
        <f t="shared" si="27"/>
        <v>1</v>
      </c>
      <c r="L127" s="680"/>
      <c r="M127" s="24">
        <f t="shared" si="28"/>
        <v>1</v>
      </c>
      <c r="N127" s="680"/>
      <c r="O127" s="24">
        <f t="shared" si="29"/>
        <v>1</v>
      </c>
      <c r="P127" s="680"/>
      <c r="Q127" s="24">
        <f t="shared" si="30"/>
        <v>1</v>
      </c>
      <c r="R127" s="676">
        <f t="shared" si="31"/>
        <v>0</v>
      </c>
      <c r="S127" s="326">
        <f t="shared" si="32"/>
        <v>0</v>
      </c>
    </row>
    <row r="128" spans="1:19">
      <c r="A128" s="159"/>
      <c r="B128" s="59"/>
      <c r="C128" s="24">
        <f t="shared" si="23"/>
        <v>1</v>
      </c>
      <c r="D128" s="680"/>
      <c r="E128" s="24">
        <f t="shared" si="24"/>
        <v>1</v>
      </c>
      <c r="F128" s="680"/>
      <c r="G128" s="24">
        <f t="shared" si="25"/>
        <v>1</v>
      </c>
      <c r="H128" s="680"/>
      <c r="I128" s="24">
        <f t="shared" si="26"/>
        <v>1</v>
      </c>
      <c r="J128" s="680"/>
      <c r="K128" s="24">
        <f t="shared" si="27"/>
        <v>1</v>
      </c>
      <c r="L128" s="680"/>
      <c r="M128" s="24">
        <f t="shared" si="28"/>
        <v>1</v>
      </c>
      <c r="N128" s="680"/>
      <c r="O128" s="24">
        <f t="shared" si="29"/>
        <v>1</v>
      </c>
      <c r="P128" s="680"/>
      <c r="Q128" s="24">
        <f t="shared" si="30"/>
        <v>1</v>
      </c>
      <c r="R128" s="676">
        <f t="shared" si="31"/>
        <v>0</v>
      </c>
      <c r="S128" s="326">
        <f t="shared" si="32"/>
        <v>0</v>
      </c>
    </row>
    <row r="129" spans="1:19">
      <c r="A129" s="159"/>
      <c r="B129" s="59"/>
      <c r="C129" s="24">
        <f t="shared" si="23"/>
        <v>1</v>
      </c>
      <c r="D129" s="680"/>
      <c r="E129" s="24">
        <f t="shared" si="24"/>
        <v>1</v>
      </c>
      <c r="F129" s="680"/>
      <c r="G129" s="24">
        <f t="shared" si="25"/>
        <v>1</v>
      </c>
      <c r="H129" s="680"/>
      <c r="I129" s="24">
        <f t="shared" si="26"/>
        <v>1</v>
      </c>
      <c r="J129" s="680"/>
      <c r="K129" s="24">
        <f t="shared" si="27"/>
        <v>1</v>
      </c>
      <c r="L129" s="680"/>
      <c r="M129" s="24">
        <f t="shared" si="28"/>
        <v>1</v>
      </c>
      <c r="N129" s="680"/>
      <c r="O129" s="24">
        <f t="shared" si="29"/>
        <v>1</v>
      </c>
      <c r="P129" s="680"/>
      <c r="Q129" s="24">
        <f t="shared" si="30"/>
        <v>1</v>
      </c>
      <c r="R129" s="676">
        <f t="shared" si="31"/>
        <v>0</v>
      </c>
      <c r="S129" s="326">
        <f t="shared" si="32"/>
        <v>0</v>
      </c>
    </row>
    <row r="130" spans="1:19">
      <c r="A130" s="159"/>
      <c r="B130" s="59"/>
      <c r="C130" s="24">
        <f t="shared" si="23"/>
        <v>1</v>
      </c>
      <c r="D130" s="680"/>
      <c r="E130" s="24">
        <f t="shared" si="24"/>
        <v>1</v>
      </c>
      <c r="F130" s="680"/>
      <c r="G130" s="24">
        <f t="shared" si="25"/>
        <v>1</v>
      </c>
      <c r="H130" s="680"/>
      <c r="I130" s="24">
        <f t="shared" si="26"/>
        <v>1</v>
      </c>
      <c r="J130" s="680"/>
      <c r="K130" s="24">
        <f t="shared" si="27"/>
        <v>1</v>
      </c>
      <c r="L130" s="680"/>
      <c r="M130" s="24">
        <f t="shared" si="28"/>
        <v>1</v>
      </c>
      <c r="N130" s="680"/>
      <c r="O130" s="24">
        <f t="shared" si="29"/>
        <v>1</v>
      </c>
      <c r="P130" s="680"/>
      <c r="Q130" s="24">
        <f t="shared" si="30"/>
        <v>1</v>
      </c>
      <c r="R130" s="676">
        <f t="shared" si="31"/>
        <v>0</v>
      </c>
      <c r="S130" s="326">
        <f t="shared" si="32"/>
        <v>0</v>
      </c>
    </row>
    <row r="131" spans="1:19">
      <c r="A131" s="159"/>
      <c r="B131" s="59"/>
      <c r="C131" s="24">
        <f t="shared" si="23"/>
        <v>1</v>
      </c>
      <c r="D131" s="680"/>
      <c r="E131" s="24">
        <f t="shared" si="24"/>
        <v>1</v>
      </c>
      <c r="F131" s="680"/>
      <c r="G131" s="24">
        <f t="shared" si="25"/>
        <v>1</v>
      </c>
      <c r="H131" s="680"/>
      <c r="I131" s="24">
        <f t="shared" si="26"/>
        <v>1</v>
      </c>
      <c r="J131" s="680"/>
      <c r="K131" s="24">
        <f t="shared" si="27"/>
        <v>1</v>
      </c>
      <c r="L131" s="680"/>
      <c r="M131" s="24">
        <f t="shared" si="28"/>
        <v>1</v>
      </c>
      <c r="N131" s="680"/>
      <c r="O131" s="24">
        <f t="shared" si="29"/>
        <v>1</v>
      </c>
      <c r="P131" s="680"/>
      <c r="Q131" s="24">
        <f t="shared" si="30"/>
        <v>1</v>
      </c>
      <c r="R131" s="676">
        <f t="shared" si="31"/>
        <v>0</v>
      </c>
      <c r="S131" s="326">
        <f t="shared" si="32"/>
        <v>0</v>
      </c>
    </row>
    <row r="132" spans="1:19">
      <c r="A132" s="159"/>
      <c r="B132" s="59"/>
      <c r="C132" s="24">
        <f t="shared" si="23"/>
        <v>1</v>
      </c>
      <c r="D132" s="680"/>
      <c r="E132" s="24">
        <f t="shared" si="24"/>
        <v>1</v>
      </c>
      <c r="F132" s="680"/>
      <c r="G132" s="24">
        <f t="shared" si="25"/>
        <v>1</v>
      </c>
      <c r="H132" s="680"/>
      <c r="I132" s="24">
        <f t="shared" si="26"/>
        <v>1</v>
      </c>
      <c r="J132" s="680"/>
      <c r="K132" s="24">
        <f t="shared" si="27"/>
        <v>1</v>
      </c>
      <c r="L132" s="680"/>
      <c r="M132" s="24">
        <f t="shared" si="28"/>
        <v>1</v>
      </c>
      <c r="N132" s="680"/>
      <c r="O132" s="24">
        <f t="shared" si="29"/>
        <v>1</v>
      </c>
      <c r="P132" s="680"/>
      <c r="Q132" s="24">
        <f t="shared" si="30"/>
        <v>1</v>
      </c>
      <c r="R132" s="676">
        <f t="shared" si="31"/>
        <v>0</v>
      </c>
      <c r="S132" s="326">
        <f t="shared" si="32"/>
        <v>0</v>
      </c>
    </row>
    <row r="133" spans="1:19">
      <c r="A133" s="159"/>
      <c r="B133" s="59"/>
      <c r="C133" s="24">
        <f t="shared" si="23"/>
        <v>1</v>
      </c>
      <c r="D133" s="680"/>
      <c r="E133" s="24">
        <f t="shared" si="24"/>
        <v>1</v>
      </c>
      <c r="F133" s="680"/>
      <c r="G133" s="24">
        <f t="shared" si="25"/>
        <v>1</v>
      </c>
      <c r="H133" s="680"/>
      <c r="I133" s="24">
        <f t="shared" si="26"/>
        <v>1</v>
      </c>
      <c r="J133" s="680"/>
      <c r="K133" s="24">
        <f t="shared" si="27"/>
        <v>1</v>
      </c>
      <c r="L133" s="680"/>
      <c r="M133" s="24">
        <f t="shared" si="28"/>
        <v>1</v>
      </c>
      <c r="N133" s="680"/>
      <c r="O133" s="24">
        <f t="shared" si="29"/>
        <v>1</v>
      </c>
      <c r="P133" s="680"/>
      <c r="Q133" s="24">
        <f t="shared" si="30"/>
        <v>1</v>
      </c>
      <c r="R133" s="676">
        <f t="shared" si="31"/>
        <v>0</v>
      </c>
      <c r="S133" s="326">
        <f t="shared" si="32"/>
        <v>0</v>
      </c>
    </row>
    <row r="134" spans="1:19">
      <c r="A134" s="159"/>
      <c r="B134" s="59"/>
      <c r="C134" s="24">
        <f t="shared" si="23"/>
        <v>1</v>
      </c>
      <c r="D134" s="680"/>
      <c r="E134" s="24">
        <f t="shared" si="24"/>
        <v>1</v>
      </c>
      <c r="F134" s="680"/>
      <c r="G134" s="24">
        <f t="shared" si="25"/>
        <v>1</v>
      </c>
      <c r="H134" s="680"/>
      <c r="I134" s="24">
        <f t="shared" si="26"/>
        <v>1</v>
      </c>
      <c r="J134" s="680"/>
      <c r="K134" s="24">
        <f t="shared" si="27"/>
        <v>1</v>
      </c>
      <c r="L134" s="680"/>
      <c r="M134" s="24">
        <f t="shared" si="28"/>
        <v>1</v>
      </c>
      <c r="N134" s="680"/>
      <c r="O134" s="24">
        <f t="shared" si="29"/>
        <v>1</v>
      </c>
      <c r="P134" s="680"/>
      <c r="Q134" s="24">
        <f t="shared" si="30"/>
        <v>1</v>
      </c>
      <c r="R134" s="676">
        <f t="shared" si="31"/>
        <v>0</v>
      </c>
      <c r="S134" s="326">
        <f t="shared" si="32"/>
        <v>0</v>
      </c>
    </row>
    <row r="135" spans="1:19">
      <c r="A135" s="159"/>
      <c r="B135" s="59"/>
      <c r="C135" s="24">
        <f t="shared" si="23"/>
        <v>1</v>
      </c>
      <c r="D135" s="680"/>
      <c r="E135" s="24">
        <f t="shared" si="24"/>
        <v>1</v>
      </c>
      <c r="F135" s="680"/>
      <c r="G135" s="24">
        <f t="shared" si="25"/>
        <v>1</v>
      </c>
      <c r="H135" s="680"/>
      <c r="I135" s="24">
        <f t="shared" si="26"/>
        <v>1</v>
      </c>
      <c r="J135" s="680"/>
      <c r="K135" s="24">
        <f t="shared" si="27"/>
        <v>1</v>
      </c>
      <c r="L135" s="680"/>
      <c r="M135" s="24">
        <f t="shared" si="28"/>
        <v>1</v>
      </c>
      <c r="N135" s="680"/>
      <c r="O135" s="24">
        <f t="shared" si="29"/>
        <v>1</v>
      </c>
      <c r="P135" s="680"/>
      <c r="Q135" s="24">
        <f t="shared" si="30"/>
        <v>1</v>
      </c>
      <c r="R135" s="676">
        <f t="shared" si="31"/>
        <v>0</v>
      </c>
      <c r="S135" s="326">
        <f t="shared" si="32"/>
        <v>0</v>
      </c>
    </row>
    <row r="136" spans="1:19">
      <c r="A136" s="159"/>
      <c r="B136" s="59"/>
      <c r="C136" s="24">
        <f t="shared" si="23"/>
        <v>1</v>
      </c>
      <c r="D136" s="680"/>
      <c r="E136" s="24">
        <f t="shared" si="24"/>
        <v>1</v>
      </c>
      <c r="F136" s="680"/>
      <c r="G136" s="24">
        <f t="shared" si="25"/>
        <v>1</v>
      </c>
      <c r="H136" s="680"/>
      <c r="I136" s="24">
        <f t="shared" si="26"/>
        <v>1</v>
      </c>
      <c r="J136" s="680"/>
      <c r="K136" s="24">
        <f t="shared" si="27"/>
        <v>1</v>
      </c>
      <c r="L136" s="680"/>
      <c r="M136" s="24">
        <f t="shared" si="28"/>
        <v>1</v>
      </c>
      <c r="N136" s="680"/>
      <c r="O136" s="24">
        <f t="shared" si="29"/>
        <v>1</v>
      </c>
      <c r="P136" s="680"/>
      <c r="Q136" s="24">
        <f t="shared" si="30"/>
        <v>1</v>
      </c>
      <c r="R136" s="676">
        <f t="shared" si="31"/>
        <v>0</v>
      </c>
      <c r="S136" s="326">
        <f t="shared" si="32"/>
        <v>0</v>
      </c>
    </row>
    <row r="137" spans="1:19">
      <c r="A137" s="159"/>
      <c r="B137" s="59"/>
      <c r="C137" s="24">
        <f t="shared" si="23"/>
        <v>1</v>
      </c>
      <c r="D137" s="680"/>
      <c r="E137" s="24">
        <f t="shared" si="24"/>
        <v>1</v>
      </c>
      <c r="F137" s="680"/>
      <c r="G137" s="24">
        <f t="shared" si="25"/>
        <v>1</v>
      </c>
      <c r="H137" s="680"/>
      <c r="I137" s="24">
        <f t="shared" si="26"/>
        <v>1</v>
      </c>
      <c r="J137" s="680"/>
      <c r="K137" s="24">
        <f t="shared" si="27"/>
        <v>1</v>
      </c>
      <c r="L137" s="680"/>
      <c r="M137" s="24">
        <f t="shared" si="28"/>
        <v>1</v>
      </c>
      <c r="N137" s="680"/>
      <c r="O137" s="24">
        <f t="shared" si="29"/>
        <v>1</v>
      </c>
      <c r="P137" s="680"/>
      <c r="Q137" s="24">
        <f t="shared" si="30"/>
        <v>1</v>
      </c>
      <c r="R137" s="676">
        <f t="shared" si="31"/>
        <v>0</v>
      </c>
      <c r="S137" s="326">
        <f t="shared" si="32"/>
        <v>0</v>
      </c>
    </row>
    <row r="138" spans="1:19">
      <c r="A138" s="159"/>
      <c r="B138" s="59"/>
      <c r="C138" s="24">
        <f t="shared" si="23"/>
        <v>1</v>
      </c>
      <c r="D138" s="680"/>
      <c r="E138" s="24">
        <f t="shared" si="24"/>
        <v>1</v>
      </c>
      <c r="F138" s="680"/>
      <c r="G138" s="24">
        <f t="shared" si="25"/>
        <v>1</v>
      </c>
      <c r="H138" s="680"/>
      <c r="I138" s="24">
        <f t="shared" si="26"/>
        <v>1</v>
      </c>
      <c r="J138" s="680"/>
      <c r="K138" s="24">
        <f t="shared" si="27"/>
        <v>1</v>
      </c>
      <c r="L138" s="680"/>
      <c r="M138" s="24">
        <f t="shared" si="28"/>
        <v>1</v>
      </c>
      <c r="N138" s="680"/>
      <c r="O138" s="24">
        <f t="shared" si="29"/>
        <v>1</v>
      </c>
      <c r="P138" s="680"/>
      <c r="Q138" s="24">
        <f t="shared" si="30"/>
        <v>1</v>
      </c>
      <c r="R138" s="676">
        <f t="shared" si="31"/>
        <v>0</v>
      </c>
      <c r="S138" s="326">
        <f t="shared" si="32"/>
        <v>0</v>
      </c>
    </row>
    <row r="139" spans="1:19">
      <c r="A139" s="159"/>
      <c r="B139" s="59"/>
      <c r="C139" s="24">
        <f t="shared" si="23"/>
        <v>1</v>
      </c>
      <c r="D139" s="680"/>
      <c r="E139" s="24">
        <f t="shared" si="24"/>
        <v>1</v>
      </c>
      <c r="F139" s="680"/>
      <c r="G139" s="24">
        <f t="shared" si="25"/>
        <v>1</v>
      </c>
      <c r="H139" s="680"/>
      <c r="I139" s="24">
        <f t="shared" si="26"/>
        <v>1</v>
      </c>
      <c r="J139" s="680"/>
      <c r="K139" s="24">
        <f t="shared" si="27"/>
        <v>1</v>
      </c>
      <c r="L139" s="680"/>
      <c r="M139" s="24">
        <f t="shared" si="28"/>
        <v>1</v>
      </c>
      <c r="N139" s="680"/>
      <c r="O139" s="24">
        <f t="shared" si="29"/>
        <v>1</v>
      </c>
      <c r="P139" s="680"/>
      <c r="Q139" s="24">
        <f t="shared" si="30"/>
        <v>1</v>
      </c>
      <c r="R139" s="676">
        <f t="shared" si="31"/>
        <v>0</v>
      </c>
      <c r="S139" s="326">
        <f t="shared" si="32"/>
        <v>0</v>
      </c>
    </row>
    <row r="140" spans="1:19">
      <c r="A140" s="159"/>
      <c r="B140" s="59"/>
      <c r="C140" s="24">
        <f t="shared" si="23"/>
        <v>1</v>
      </c>
      <c r="D140" s="680"/>
      <c r="E140" s="24">
        <f t="shared" si="24"/>
        <v>1</v>
      </c>
      <c r="F140" s="680"/>
      <c r="G140" s="24">
        <f t="shared" si="25"/>
        <v>1</v>
      </c>
      <c r="H140" s="680"/>
      <c r="I140" s="24">
        <f t="shared" si="26"/>
        <v>1</v>
      </c>
      <c r="J140" s="680"/>
      <c r="K140" s="24">
        <f t="shared" si="27"/>
        <v>1</v>
      </c>
      <c r="L140" s="680"/>
      <c r="M140" s="24">
        <f t="shared" si="28"/>
        <v>1</v>
      </c>
      <c r="N140" s="680"/>
      <c r="O140" s="24">
        <f t="shared" si="29"/>
        <v>1</v>
      </c>
      <c r="P140" s="680"/>
      <c r="Q140" s="24">
        <f t="shared" si="30"/>
        <v>1</v>
      </c>
      <c r="R140" s="676">
        <f t="shared" si="31"/>
        <v>0</v>
      </c>
      <c r="S140" s="326">
        <f t="shared" si="32"/>
        <v>0</v>
      </c>
    </row>
    <row r="141" spans="1:19">
      <c r="A141" s="159"/>
      <c r="B141" s="59"/>
      <c r="C141" s="24">
        <f t="shared" si="23"/>
        <v>1</v>
      </c>
      <c r="D141" s="680"/>
      <c r="E141" s="24">
        <f t="shared" si="24"/>
        <v>1</v>
      </c>
      <c r="F141" s="680"/>
      <c r="G141" s="24">
        <f t="shared" si="25"/>
        <v>1</v>
      </c>
      <c r="H141" s="680"/>
      <c r="I141" s="24">
        <f t="shared" si="26"/>
        <v>1</v>
      </c>
      <c r="J141" s="680"/>
      <c r="K141" s="24">
        <f t="shared" si="27"/>
        <v>1</v>
      </c>
      <c r="L141" s="680"/>
      <c r="M141" s="24">
        <f t="shared" si="28"/>
        <v>1</v>
      </c>
      <c r="N141" s="680"/>
      <c r="O141" s="24">
        <f t="shared" si="29"/>
        <v>1</v>
      </c>
      <c r="P141" s="680"/>
      <c r="Q141" s="24">
        <f t="shared" si="30"/>
        <v>1</v>
      </c>
      <c r="R141" s="676">
        <f t="shared" si="31"/>
        <v>0</v>
      </c>
      <c r="S141" s="326">
        <f t="shared" si="32"/>
        <v>0</v>
      </c>
    </row>
    <row r="142" spans="1:19">
      <c r="A142" s="159"/>
      <c r="B142" s="59"/>
      <c r="C142" s="24">
        <f t="shared" si="23"/>
        <v>1</v>
      </c>
      <c r="D142" s="680"/>
      <c r="E142" s="24">
        <f t="shared" si="24"/>
        <v>1</v>
      </c>
      <c r="F142" s="680"/>
      <c r="G142" s="24">
        <f t="shared" si="25"/>
        <v>1</v>
      </c>
      <c r="H142" s="680"/>
      <c r="I142" s="24">
        <f t="shared" si="26"/>
        <v>1</v>
      </c>
      <c r="J142" s="680"/>
      <c r="K142" s="24">
        <f t="shared" si="27"/>
        <v>1</v>
      </c>
      <c r="L142" s="680"/>
      <c r="M142" s="24">
        <f t="shared" si="28"/>
        <v>1</v>
      </c>
      <c r="N142" s="680"/>
      <c r="O142" s="24">
        <f t="shared" si="29"/>
        <v>1</v>
      </c>
      <c r="P142" s="680"/>
      <c r="Q142" s="24">
        <f t="shared" si="30"/>
        <v>1</v>
      </c>
      <c r="R142" s="676">
        <f t="shared" si="31"/>
        <v>0</v>
      </c>
      <c r="S142" s="326">
        <f t="shared" si="32"/>
        <v>0</v>
      </c>
    </row>
    <row r="143" spans="1:19">
      <c r="A143" s="159"/>
      <c r="B143" s="59"/>
      <c r="C143" s="24">
        <f t="shared" si="23"/>
        <v>1</v>
      </c>
      <c r="D143" s="680"/>
      <c r="E143" s="24">
        <f t="shared" si="24"/>
        <v>1</v>
      </c>
      <c r="F143" s="680"/>
      <c r="G143" s="24">
        <f t="shared" si="25"/>
        <v>1</v>
      </c>
      <c r="H143" s="680"/>
      <c r="I143" s="24">
        <f t="shared" si="26"/>
        <v>1</v>
      </c>
      <c r="J143" s="680"/>
      <c r="K143" s="24">
        <f t="shared" si="27"/>
        <v>1</v>
      </c>
      <c r="L143" s="680"/>
      <c r="M143" s="24">
        <f t="shared" si="28"/>
        <v>1</v>
      </c>
      <c r="N143" s="680"/>
      <c r="O143" s="24">
        <f t="shared" si="29"/>
        <v>1</v>
      </c>
      <c r="P143" s="680"/>
      <c r="Q143" s="24">
        <f t="shared" si="30"/>
        <v>1</v>
      </c>
      <c r="R143" s="676">
        <f t="shared" si="31"/>
        <v>0</v>
      </c>
      <c r="S143" s="326">
        <f t="shared" si="32"/>
        <v>0</v>
      </c>
    </row>
    <row r="144" spans="1:19">
      <c r="A144" s="159"/>
      <c r="B144" s="59"/>
      <c r="C144" s="24">
        <f t="shared" si="23"/>
        <v>1</v>
      </c>
      <c r="D144" s="680"/>
      <c r="E144" s="24">
        <f t="shared" si="24"/>
        <v>1</v>
      </c>
      <c r="F144" s="680"/>
      <c r="G144" s="24">
        <f t="shared" si="25"/>
        <v>1</v>
      </c>
      <c r="H144" s="680"/>
      <c r="I144" s="24">
        <f t="shared" si="26"/>
        <v>1</v>
      </c>
      <c r="J144" s="680"/>
      <c r="K144" s="24">
        <f t="shared" si="27"/>
        <v>1</v>
      </c>
      <c r="L144" s="680"/>
      <c r="M144" s="24">
        <f t="shared" si="28"/>
        <v>1</v>
      </c>
      <c r="N144" s="680"/>
      <c r="O144" s="24">
        <f t="shared" si="29"/>
        <v>1</v>
      </c>
      <c r="P144" s="680"/>
      <c r="Q144" s="24">
        <f t="shared" si="30"/>
        <v>1</v>
      </c>
      <c r="R144" s="676">
        <f t="shared" si="31"/>
        <v>0</v>
      </c>
      <c r="S144" s="326">
        <f t="shared" si="32"/>
        <v>0</v>
      </c>
    </row>
    <row r="145" spans="1:19">
      <c r="A145" s="159"/>
      <c r="B145" s="59"/>
      <c r="C145" s="24">
        <f t="shared" si="23"/>
        <v>1</v>
      </c>
      <c r="D145" s="680"/>
      <c r="E145" s="24">
        <f t="shared" si="24"/>
        <v>1</v>
      </c>
      <c r="F145" s="680"/>
      <c r="G145" s="24">
        <f t="shared" si="25"/>
        <v>1</v>
      </c>
      <c r="H145" s="680"/>
      <c r="I145" s="24">
        <f t="shared" si="26"/>
        <v>1</v>
      </c>
      <c r="J145" s="680"/>
      <c r="K145" s="24">
        <f t="shared" si="27"/>
        <v>1</v>
      </c>
      <c r="L145" s="680"/>
      <c r="M145" s="24">
        <f t="shared" si="28"/>
        <v>1</v>
      </c>
      <c r="N145" s="680"/>
      <c r="O145" s="24">
        <f t="shared" si="29"/>
        <v>1</v>
      </c>
      <c r="P145" s="680"/>
      <c r="Q145" s="24">
        <f t="shared" si="30"/>
        <v>1</v>
      </c>
      <c r="R145" s="676">
        <f t="shared" si="31"/>
        <v>0</v>
      </c>
      <c r="S145" s="326">
        <f t="shared" si="32"/>
        <v>0</v>
      </c>
    </row>
    <row r="146" spans="1:19">
      <c r="A146" s="159"/>
      <c r="B146" s="59"/>
      <c r="C146" s="24">
        <f t="shared" si="23"/>
        <v>1</v>
      </c>
      <c r="D146" s="680"/>
      <c r="E146" s="24">
        <f t="shared" si="24"/>
        <v>1</v>
      </c>
      <c r="F146" s="680"/>
      <c r="G146" s="24">
        <f t="shared" si="25"/>
        <v>1</v>
      </c>
      <c r="H146" s="680"/>
      <c r="I146" s="24">
        <f t="shared" si="26"/>
        <v>1</v>
      </c>
      <c r="J146" s="680"/>
      <c r="K146" s="24">
        <f t="shared" si="27"/>
        <v>1</v>
      </c>
      <c r="L146" s="680"/>
      <c r="M146" s="24">
        <f t="shared" si="28"/>
        <v>1</v>
      </c>
      <c r="N146" s="680"/>
      <c r="O146" s="24">
        <f t="shared" si="29"/>
        <v>1</v>
      </c>
      <c r="P146" s="680"/>
      <c r="Q146" s="24">
        <f t="shared" si="30"/>
        <v>1</v>
      </c>
      <c r="R146" s="676">
        <f t="shared" si="31"/>
        <v>0</v>
      </c>
      <c r="S146" s="326">
        <f t="shared" si="32"/>
        <v>0</v>
      </c>
    </row>
    <row r="147" spans="1:19">
      <c r="A147" s="159"/>
      <c r="B147" s="59"/>
      <c r="C147" s="24">
        <f t="shared" si="23"/>
        <v>1</v>
      </c>
      <c r="D147" s="680"/>
      <c r="E147" s="24">
        <f t="shared" si="24"/>
        <v>1</v>
      </c>
      <c r="F147" s="680"/>
      <c r="G147" s="24">
        <f t="shared" si="25"/>
        <v>1</v>
      </c>
      <c r="H147" s="680"/>
      <c r="I147" s="24">
        <f t="shared" si="26"/>
        <v>1</v>
      </c>
      <c r="J147" s="680"/>
      <c r="K147" s="24">
        <f t="shared" si="27"/>
        <v>1</v>
      </c>
      <c r="L147" s="680"/>
      <c r="M147" s="24">
        <f t="shared" si="28"/>
        <v>1</v>
      </c>
      <c r="N147" s="680"/>
      <c r="O147" s="24">
        <f t="shared" si="29"/>
        <v>1</v>
      </c>
      <c r="P147" s="680"/>
      <c r="Q147" s="24">
        <f t="shared" si="30"/>
        <v>1</v>
      </c>
      <c r="R147" s="676">
        <f t="shared" si="31"/>
        <v>0</v>
      </c>
      <c r="S147" s="326">
        <f t="shared" si="32"/>
        <v>0</v>
      </c>
    </row>
    <row r="148" spans="1:19">
      <c r="A148" s="159"/>
      <c r="B148" s="59"/>
      <c r="C148" s="24">
        <f t="shared" si="23"/>
        <v>1</v>
      </c>
      <c r="D148" s="680"/>
      <c r="E148" s="24">
        <f t="shared" si="24"/>
        <v>1</v>
      </c>
      <c r="F148" s="680"/>
      <c r="G148" s="24">
        <f t="shared" si="25"/>
        <v>1</v>
      </c>
      <c r="H148" s="680"/>
      <c r="I148" s="24">
        <f t="shared" si="26"/>
        <v>1</v>
      </c>
      <c r="J148" s="680"/>
      <c r="K148" s="24">
        <f t="shared" si="27"/>
        <v>1</v>
      </c>
      <c r="L148" s="680"/>
      <c r="M148" s="24">
        <f t="shared" si="28"/>
        <v>1</v>
      </c>
      <c r="N148" s="680"/>
      <c r="O148" s="24">
        <f t="shared" si="29"/>
        <v>1</v>
      </c>
      <c r="P148" s="680"/>
      <c r="Q148" s="24">
        <f t="shared" si="30"/>
        <v>1</v>
      </c>
      <c r="R148" s="676">
        <f t="shared" si="31"/>
        <v>0</v>
      </c>
      <c r="S148" s="326">
        <f t="shared" si="32"/>
        <v>0</v>
      </c>
    </row>
    <row r="149" spans="1:19">
      <c r="A149" s="159"/>
      <c r="B149" s="59"/>
      <c r="C149" s="24">
        <f t="shared" si="23"/>
        <v>1</v>
      </c>
      <c r="D149" s="680"/>
      <c r="E149" s="24">
        <f t="shared" si="24"/>
        <v>1</v>
      </c>
      <c r="F149" s="680"/>
      <c r="G149" s="24">
        <f t="shared" si="25"/>
        <v>1</v>
      </c>
      <c r="H149" s="680"/>
      <c r="I149" s="24">
        <f t="shared" si="26"/>
        <v>1</v>
      </c>
      <c r="J149" s="680"/>
      <c r="K149" s="24">
        <f t="shared" si="27"/>
        <v>1</v>
      </c>
      <c r="L149" s="680"/>
      <c r="M149" s="24">
        <f t="shared" si="28"/>
        <v>1</v>
      </c>
      <c r="N149" s="680"/>
      <c r="O149" s="24">
        <f t="shared" si="29"/>
        <v>1</v>
      </c>
      <c r="P149" s="680"/>
      <c r="Q149" s="24">
        <f t="shared" si="30"/>
        <v>1</v>
      </c>
      <c r="R149" s="676">
        <f t="shared" si="31"/>
        <v>0</v>
      </c>
      <c r="S149" s="326">
        <f t="shared" si="32"/>
        <v>0</v>
      </c>
    </row>
    <row r="150" spans="1:19">
      <c r="A150" s="159"/>
      <c r="B150" s="59"/>
      <c r="C150" s="24">
        <f t="shared" si="23"/>
        <v>1</v>
      </c>
      <c r="D150" s="680"/>
      <c r="E150" s="24">
        <f t="shared" si="24"/>
        <v>1</v>
      </c>
      <c r="F150" s="680"/>
      <c r="G150" s="24">
        <f t="shared" si="25"/>
        <v>1</v>
      </c>
      <c r="H150" s="680"/>
      <c r="I150" s="24">
        <f t="shared" si="26"/>
        <v>1</v>
      </c>
      <c r="J150" s="680"/>
      <c r="K150" s="24">
        <f t="shared" si="27"/>
        <v>1</v>
      </c>
      <c r="L150" s="680"/>
      <c r="M150" s="24">
        <f t="shared" si="28"/>
        <v>1</v>
      </c>
      <c r="N150" s="680"/>
      <c r="O150" s="24">
        <f t="shared" si="29"/>
        <v>1</v>
      </c>
      <c r="P150" s="680"/>
      <c r="Q150" s="24">
        <f t="shared" si="30"/>
        <v>1</v>
      </c>
      <c r="R150" s="676">
        <f t="shared" si="31"/>
        <v>0</v>
      </c>
      <c r="S150" s="326">
        <f t="shared" si="32"/>
        <v>0</v>
      </c>
    </row>
    <row r="151" spans="1:19">
      <c r="A151" s="159"/>
      <c r="B151" s="59"/>
      <c r="C151" s="24">
        <f t="shared" si="23"/>
        <v>1</v>
      </c>
      <c r="D151" s="680"/>
      <c r="E151" s="24">
        <f t="shared" si="24"/>
        <v>1</v>
      </c>
      <c r="F151" s="680"/>
      <c r="G151" s="24">
        <f t="shared" si="25"/>
        <v>1</v>
      </c>
      <c r="H151" s="680"/>
      <c r="I151" s="24">
        <f t="shared" si="26"/>
        <v>1</v>
      </c>
      <c r="J151" s="680"/>
      <c r="K151" s="24">
        <f t="shared" si="27"/>
        <v>1</v>
      </c>
      <c r="L151" s="680"/>
      <c r="M151" s="24">
        <f t="shared" si="28"/>
        <v>1</v>
      </c>
      <c r="N151" s="680"/>
      <c r="O151" s="24">
        <f t="shared" si="29"/>
        <v>1</v>
      </c>
      <c r="P151" s="680"/>
      <c r="Q151" s="24">
        <f t="shared" si="30"/>
        <v>1</v>
      </c>
      <c r="R151" s="676">
        <f t="shared" si="31"/>
        <v>0</v>
      </c>
      <c r="S151" s="326">
        <f t="shared" si="32"/>
        <v>0</v>
      </c>
    </row>
    <row r="152" spans="1:19">
      <c r="A152" s="159"/>
      <c r="B152" s="59"/>
      <c r="C152" s="24">
        <f t="shared" si="23"/>
        <v>1</v>
      </c>
      <c r="D152" s="680"/>
      <c r="E152" s="24">
        <f t="shared" si="24"/>
        <v>1</v>
      </c>
      <c r="F152" s="680"/>
      <c r="G152" s="24">
        <f t="shared" si="25"/>
        <v>1</v>
      </c>
      <c r="H152" s="680"/>
      <c r="I152" s="24">
        <f t="shared" si="26"/>
        <v>1</v>
      </c>
      <c r="J152" s="680"/>
      <c r="K152" s="24">
        <f t="shared" si="27"/>
        <v>1</v>
      </c>
      <c r="L152" s="680"/>
      <c r="M152" s="24">
        <f t="shared" si="28"/>
        <v>1</v>
      </c>
      <c r="N152" s="680"/>
      <c r="O152" s="24">
        <f t="shared" si="29"/>
        <v>1</v>
      </c>
      <c r="P152" s="680"/>
      <c r="Q152" s="24">
        <f t="shared" si="30"/>
        <v>1</v>
      </c>
      <c r="R152" s="676">
        <f t="shared" si="31"/>
        <v>0</v>
      </c>
      <c r="S152" s="326">
        <f t="shared" si="32"/>
        <v>0</v>
      </c>
    </row>
    <row r="153" spans="1:19">
      <c r="A153" s="159"/>
      <c r="B153" s="59"/>
      <c r="C153" s="24">
        <f t="shared" si="23"/>
        <v>1</v>
      </c>
      <c r="D153" s="680"/>
      <c r="E153" s="24">
        <f t="shared" si="24"/>
        <v>1</v>
      </c>
      <c r="F153" s="680"/>
      <c r="G153" s="24">
        <f t="shared" si="25"/>
        <v>1</v>
      </c>
      <c r="H153" s="680"/>
      <c r="I153" s="24">
        <f t="shared" si="26"/>
        <v>1</v>
      </c>
      <c r="J153" s="680"/>
      <c r="K153" s="24">
        <f t="shared" si="27"/>
        <v>1</v>
      </c>
      <c r="L153" s="680"/>
      <c r="M153" s="24">
        <f t="shared" si="28"/>
        <v>1</v>
      </c>
      <c r="N153" s="680"/>
      <c r="O153" s="24">
        <f t="shared" si="29"/>
        <v>1</v>
      </c>
      <c r="P153" s="680"/>
      <c r="Q153" s="24">
        <f t="shared" si="30"/>
        <v>1</v>
      </c>
      <c r="R153" s="676">
        <f t="shared" si="31"/>
        <v>0</v>
      </c>
      <c r="S153" s="326">
        <f t="shared" si="32"/>
        <v>0</v>
      </c>
    </row>
    <row r="154" spans="1:19">
      <c r="A154" s="159"/>
      <c r="B154" s="59"/>
      <c r="C154" s="24">
        <f t="shared" ref="C154:C217" si="33">IF(B154="",1,(LOOKUP(B154,$3:$3,$4:$4)-LOOKUP($B$24,$3:$3,$4:$4)+100)/100)</f>
        <v>1</v>
      </c>
      <c r="D154" s="680"/>
      <c r="E154" s="24">
        <f t="shared" ref="E154:E217" si="34">(SUMIF($5:$5,D154,$6:$6)-SUMIF($5:$5,$D$24,$6:$6)+100)/100</f>
        <v>1</v>
      </c>
      <c r="F154" s="680"/>
      <c r="G154" s="24">
        <f t="shared" ref="G154:G217" si="35">(SUMIF($7:$7,F154,$8:$8)-SUMIF($7:$7,$F$24,$8:$8)+100)/100</f>
        <v>1</v>
      </c>
      <c r="H154" s="680"/>
      <c r="I154" s="24">
        <f t="shared" ref="I154:I217" si="36">(SUMIF($9:$9,H154,$10:$10)-SUMIF($9:$9,$H$24,$10:$10)+100)/100</f>
        <v>1</v>
      </c>
      <c r="J154" s="680"/>
      <c r="K154" s="24">
        <f t="shared" ref="K154:K217" si="37">(SUMIF($11:$11,J154,$12:$12)-SUMIF($11:$11,$J$24,$12:$12)+100)/100</f>
        <v>1</v>
      </c>
      <c r="L154" s="680"/>
      <c r="M154" s="24">
        <f t="shared" ref="M154:M217" si="38">(SUMIF($13:$13,L154,$14:$14)-SUMIF($13:$13,$L$24,$14:$14)+100)/100</f>
        <v>1</v>
      </c>
      <c r="N154" s="680"/>
      <c r="O154" s="24">
        <f t="shared" ref="O154:O217" si="39">(SUMIF($15:$15,N154,$16:$16)-SUMIF($15:$15,$N$24,$16:$16)+100)/100</f>
        <v>1</v>
      </c>
      <c r="P154" s="680"/>
      <c r="Q154" s="24">
        <f t="shared" ref="Q154:Q217" si="40">(SUMIF($17:$17,P154,$18:$18)-SUMIF($17:$17,$P$24,$18:$18)+100)/100</f>
        <v>1</v>
      </c>
      <c r="R154" s="676">
        <f t="shared" ref="R154:R217" si="41">IF(B154="",0,ROUND($R$24*C154*E154*G154*I154*K154*M154*O154*Q154,0))</f>
        <v>0</v>
      </c>
      <c r="S154" s="326">
        <f t="shared" si="32"/>
        <v>0</v>
      </c>
    </row>
    <row r="155" spans="1:19">
      <c r="A155" s="159"/>
      <c r="B155" s="59"/>
      <c r="C155" s="24">
        <f t="shared" si="33"/>
        <v>1</v>
      </c>
      <c r="D155" s="680"/>
      <c r="E155" s="24">
        <f t="shared" si="34"/>
        <v>1</v>
      </c>
      <c r="F155" s="680"/>
      <c r="G155" s="24">
        <f t="shared" si="35"/>
        <v>1</v>
      </c>
      <c r="H155" s="680"/>
      <c r="I155" s="24">
        <f t="shared" si="36"/>
        <v>1</v>
      </c>
      <c r="J155" s="680"/>
      <c r="K155" s="24">
        <f t="shared" si="37"/>
        <v>1</v>
      </c>
      <c r="L155" s="680"/>
      <c r="M155" s="24">
        <f t="shared" si="38"/>
        <v>1</v>
      </c>
      <c r="N155" s="680"/>
      <c r="O155" s="24">
        <f t="shared" si="39"/>
        <v>1</v>
      </c>
      <c r="P155" s="680"/>
      <c r="Q155" s="24">
        <f t="shared" si="40"/>
        <v>1</v>
      </c>
      <c r="R155" s="676">
        <f t="shared" si="41"/>
        <v>0</v>
      </c>
      <c r="S155" s="326">
        <f t="shared" si="32"/>
        <v>0</v>
      </c>
    </row>
    <row r="156" spans="1:19">
      <c r="A156" s="159"/>
      <c r="B156" s="59"/>
      <c r="C156" s="24">
        <f t="shared" si="33"/>
        <v>1</v>
      </c>
      <c r="D156" s="680"/>
      <c r="E156" s="24">
        <f t="shared" si="34"/>
        <v>1</v>
      </c>
      <c r="F156" s="680"/>
      <c r="G156" s="24">
        <f t="shared" si="35"/>
        <v>1</v>
      </c>
      <c r="H156" s="680"/>
      <c r="I156" s="24">
        <f t="shared" si="36"/>
        <v>1</v>
      </c>
      <c r="J156" s="680"/>
      <c r="K156" s="24">
        <f t="shared" si="37"/>
        <v>1</v>
      </c>
      <c r="L156" s="680"/>
      <c r="M156" s="24">
        <f t="shared" si="38"/>
        <v>1</v>
      </c>
      <c r="N156" s="680"/>
      <c r="O156" s="24">
        <f t="shared" si="39"/>
        <v>1</v>
      </c>
      <c r="P156" s="680"/>
      <c r="Q156" s="24">
        <f t="shared" si="40"/>
        <v>1</v>
      </c>
      <c r="R156" s="676">
        <f t="shared" si="41"/>
        <v>0</v>
      </c>
      <c r="S156" s="326">
        <f t="shared" si="32"/>
        <v>0</v>
      </c>
    </row>
    <row r="157" spans="1:19">
      <c r="A157" s="159"/>
      <c r="B157" s="59"/>
      <c r="C157" s="24">
        <f t="shared" si="33"/>
        <v>1</v>
      </c>
      <c r="D157" s="680"/>
      <c r="E157" s="24">
        <f t="shared" si="34"/>
        <v>1</v>
      </c>
      <c r="F157" s="680"/>
      <c r="G157" s="24">
        <f t="shared" si="35"/>
        <v>1</v>
      </c>
      <c r="H157" s="680"/>
      <c r="I157" s="24">
        <f t="shared" si="36"/>
        <v>1</v>
      </c>
      <c r="J157" s="680"/>
      <c r="K157" s="24">
        <f t="shared" si="37"/>
        <v>1</v>
      </c>
      <c r="L157" s="680"/>
      <c r="M157" s="24">
        <f t="shared" si="38"/>
        <v>1</v>
      </c>
      <c r="N157" s="680"/>
      <c r="O157" s="24">
        <f t="shared" si="39"/>
        <v>1</v>
      </c>
      <c r="P157" s="680"/>
      <c r="Q157" s="24">
        <f t="shared" si="40"/>
        <v>1</v>
      </c>
      <c r="R157" s="676">
        <f t="shared" si="41"/>
        <v>0</v>
      </c>
      <c r="S157" s="326">
        <f t="shared" si="32"/>
        <v>0</v>
      </c>
    </row>
    <row r="158" spans="1:19">
      <c r="A158" s="159"/>
      <c r="B158" s="59"/>
      <c r="C158" s="24">
        <f t="shared" si="33"/>
        <v>1</v>
      </c>
      <c r="D158" s="680"/>
      <c r="E158" s="24">
        <f t="shared" si="34"/>
        <v>1</v>
      </c>
      <c r="F158" s="680"/>
      <c r="G158" s="24">
        <f t="shared" si="35"/>
        <v>1</v>
      </c>
      <c r="H158" s="680"/>
      <c r="I158" s="24">
        <f t="shared" si="36"/>
        <v>1</v>
      </c>
      <c r="J158" s="680"/>
      <c r="K158" s="24">
        <f t="shared" si="37"/>
        <v>1</v>
      </c>
      <c r="L158" s="680"/>
      <c r="M158" s="24">
        <f t="shared" si="38"/>
        <v>1</v>
      </c>
      <c r="N158" s="680"/>
      <c r="O158" s="24">
        <f t="shared" si="39"/>
        <v>1</v>
      </c>
      <c r="P158" s="680"/>
      <c r="Q158" s="24">
        <f t="shared" si="40"/>
        <v>1</v>
      </c>
      <c r="R158" s="676">
        <f t="shared" si="41"/>
        <v>0</v>
      </c>
      <c r="S158" s="326">
        <f t="shared" si="32"/>
        <v>0</v>
      </c>
    </row>
    <row r="159" spans="1:19">
      <c r="A159" s="159"/>
      <c r="B159" s="59"/>
      <c r="C159" s="24">
        <f t="shared" si="33"/>
        <v>1</v>
      </c>
      <c r="D159" s="680"/>
      <c r="E159" s="24">
        <f t="shared" si="34"/>
        <v>1</v>
      </c>
      <c r="F159" s="680"/>
      <c r="G159" s="24">
        <f t="shared" si="35"/>
        <v>1</v>
      </c>
      <c r="H159" s="680"/>
      <c r="I159" s="24">
        <f t="shared" si="36"/>
        <v>1</v>
      </c>
      <c r="J159" s="680"/>
      <c r="K159" s="24">
        <f t="shared" si="37"/>
        <v>1</v>
      </c>
      <c r="L159" s="680"/>
      <c r="M159" s="24">
        <f t="shared" si="38"/>
        <v>1</v>
      </c>
      <c r="N159" s="680"/>
      <c r="O159" s="24">
        <f t="shared" si="39"/>
        <v>1</v>
      </c>
      <c r="P159" s="680"/>
      <c r="Q159" s="24">
        <f t="shared" si="40"/>
        <v>1</v>
      </c>
      <c r="R159" s="676">
        <f t="shared" si="41"/>
        <v>0</v>
      </c>
      <c r="S159" s="326">
        <f t="shared" si="32"/>
        <v>0</v>
      </c>
    </row>
    <row r="160" spans="1:19">
      <c r="A160" s="159"/>
      <c r="B160" s="59"/>
      <c r="C160" s="24">
        <f t="shared" si="33"/>
        <v>1</v>
      </c>
      <c r="D160" s="680"/>
      <c r="E160" s="24">
        <f t="shared" si="34"/>
        <v>1</v>
      </c>
      <c r="F160" s="680"/>
      <c r="G160" s="24">
        <f t="shared" si="35"/>
        <v>1</v>
      </c>
      <c r="H160" s="680"/>
      <c r="I160" s="24">
        <f t="shared" si="36"/>
        <v>1</v>
      </c>
      <c r="J160" s="680"/>
      <c r="K160" s="24">
        <f t="shared" si="37"/>
        <v>1</v>
      </c>
      <c r="L160" s="680"/>
      <c r="M160" s="24">
        <f t="shared" si="38"/>
        <v>1</v>
      </c>
      <c r="N160" s="680"/>
      <c r="O160" s="24">
        <f t="shared" si="39"/>
        <v>1</v>
      </c>
      <c r="P160" s="680"/>
      <c r="Q160" s="24">
        <f t="shared" si="40"/>
        <v>1</v>
      </c>
      <c r="R160" s="676">
        <f t="shared" si="41"/>
        <v>0</v>
      </c>
      <c r="S160" s="326">
        <f t="shared" si="32"/>
        <v>0</v>
      </c>
    </row>
    <row r="161" spans="1:19">
      <c r="A161" s="159"/>
      <c r="B161" s="59"/>
      <c r="C161" s="24">
        <f t="shared" si="33"/>
        <v>1</v>
      </c>
      <c r="D161" s="680"/>
      <c r="E161" s="24">
        <f t="shared" si="34"/>
        <v>1</v>
      </c>
      <c r="F161" s="680"/>
      <c r="G161" s="24">
        <f t="shared" si="35"/>
        <v>1</v>
      </c>
      <c r="H161" s="680"/>
      <c r="I161" s="24">
        <f t="shared" si="36"/>
        <v>1</v>
      </c>
      <c r="J161" s="680"/>
      <c r="K161" s="24">
        <f t="shared" si="37"/>
        <v>1</v>
      </c>
      <c r="L161" s="680"/>
      <c r="M161" s="24">
        <f t="shared" si="38"/>
        <v>1</v>
      </c>
      <c r="N161" s="680"/>
      <c r="O161" s="24">
        <f t="shared" si="39"/>
        <v>1</v>
      </c>
      <c r="P161" s="680"/>
      <c r="Q161" s="24">
        <f t="shared" si="40"/>
        <v>1</v>
      </c>
      <c r="R161" s="676">
        <f t="shared" si="41"/>
        <v>0</v>
      </c>
      <c r="S161" s="326">
        <f t="shared" si="32"/>
        <v>0</v>
      </c>
    </row>
    <row r="162" spans="1:19">
      <c r="A162" s="159"/>
      <c r="B162" s="59"/>
      <c r="C162" s="24">
        <f t="shared" si="33"/>
        <v>1</v>
      </c>
      <c r="D162" s="680"/>
      <c r="E162" s="24">
        <f t="shared" si="34"/>
        <v>1</v>
      </c>
      <c r="F162" s="680"/>
      <c r="G162" s="24">
        <f t="shared" si="35"/>
        <v>1</v>
      </c>
      <c r="H162" s="680"/>
      <c r="I162" s="24">
        <f t="shared" si="36"/>
        <v>1</v>
      </c>
      <c r="J162" s="680"/>
      <c r="K162" s="24">
        <f t="shared" si="37"/>
        <v>1</v>
      </c>
      <c r="L162" s="680"/>
      <c r="M162" s="24">
        <f t="shared" si="38"/>
        <v>1</v>
      </c>
      <c r="N162" s="680"/>
      <c r="O162" s="24">
        <f t="shared" si="39"/>
        <v>1</v>
      </c>
      <c r="P162" s="680"/>
      <c r="Q162" s="24">
        <f t="shared" si="40"/>
        <v>1</v>
      </c>
      <c r="R162" s="676">
        <f t="shared" si="41"/>
        <v>0</v>
      </c>
      <c r="S162" s="326">
        <f t="shared" si="32"/>
        <v>0</v>
      </c>
    </row>
    <row r="163" spans="1:19">
      <c r="A163" s="159"/>
      <c r="B163" s="59"/>
      <c r="C163" s="24">
        <f t="shared" si="33"/>
        <v>1</v>
      </c>
      <c r="D163" s="680"/>
      <c r="E163" s="24">
        <f t="shared" si="34"/>
        <v>1</v>
      </c>
      <c r="F163" s="680"/>
      <c r="G163" s="24">
        <f t="shared" si="35"/>
        <v>1</v>
      </c>
      <c r="H163" s="680"/>
      <c r="I163" s="24">
        <f t="shared" si="36"/>
        <v>1</v>
      </c>
      <c r="J163" s="680"/>
      <c r="K163" s="24">
        <f t="shared" si="37"/>
        <v>1</v>
      </c>
      <c r="L163" s="680"/>
      <c r="M163" s="24">
        <f t="shared" si="38"/>
        <v>1</v>
      </c>
      <c r="N163" s="680"/>
      <c r="O163" s="24">
        <f t="shared" si="39"/>
        <v>1</v>
      </c>
      <c r="P163" s="680"/>
      <c r="Q163" s="24">
        <f t="shared" si="40"/>
        <v>1</v>
      </c>
      <c r="R163" s="676">
        <f t="shared" si="41"/>
        <v>0</v>
      </c>
      <c r="S163" s="326">
        <f t="shared" si="32"/>
        <v>0</v>
      </c>
    </row>
    <row r="164" spans="1:19">
      <c r="A164" s="159"/>
      <c r="B164" s="59"/>
      <c r="C164" s="24">
        <f t="shared" si="33"/>
        <v>1</v>
      </c>
      <c r="D164" s="680"/>
      <c r="E164" s="24">
        <f t="shared" si="34"/>
        <v>1</v>
      </c>
      <c r="F164" s="680"/>
      <c r="G164" s="24">
        <f t="shared" si="35"/>
        <v>1</v>
      </c>
      <c r="H164" s="680"/>
      <c r="I164" s="24">
        <f t="shared" si="36"/>
        <v>1</v>
      </c>
      <c r="J164" s="680"/>
      <c r="K164" s="24">
        <f t="shared" si="37"/>
        <v>1</v>
      </c>
      <c r="L164" s="680"/>
      <c r="M164" s="24">
        <f t="shared" si="38"/>
        <v>1</v>
      </c>
      <c r="N164" s="680"/>
      <c r="O164" s="24">
        <f t="shared" si="39"/>
        <v>1</v>
      </c>
      <c r="P164" s="680"/>
      <c r="Q164" s="24">
        <f t="shared" si="40"/>
        <v>1</v>
      </c>
      <c r="R164" s="676">
        <f t="shared" si="41"/>
        <v>0</v>
      </c>
      <c r="S164" s="326">
        <f t="shared" si="32"/>
        <v>0</v>
      </c>
    </row>
    <row r="165" spans="1:19">
      <c r="A165" s="159"/>
      <c r="B165" s="59"/>
      <c r="C165" s="24">
        <f t="shared" si="33"/>
        <v>1</v>
      </c>
      <c r="D165" s="680"/>
      <c r="E165" s="24">
        <f t="shared" si="34"/>
        <v>1</v>
      </c>
      <c r="F165" s="680"/>
      <c r="G165" s="24">
        <f t="shared" si="35"/>
        <v>1</v>
      </c>
      <c r="H165" s="680"/>
      <c r="I165" s="24">
        <f t="shared" si="36"/>
        <v>1</v>
      </c>
      <c r="J165" s="680"/>
      <c r="K165" s="24">
        <f t="shared" si="37"/>
        <v>1</v>
      </c>
      <c r="L165" s="680"/>
      <c r="M165" s="24">
        <f t="shared" si="38"/>
        <v>1</v>
      </c>
      <c r="N165" s="680"/>
      <c r="O165" s="24">
        <f t="shared" si="39"/>
        <v>1</v>
      </c>
      <c r="P165" s="680"/>
      <c r="Q165" s="24">
        <f t="shared" si="40"/>
        <v>1</v>
      </c>
      <c r="R165" s="676">
        <f t="shared" si="41"/>
        <v>0</v>
      </c>
      <c r="S165" s="326">
        <f t="shared" si="32"/>
        <v>0</v>
      </c>
    </row>
    <row r="166" spans="1:19">
      <c r="A166" s="159"/>
      <c r="B166" s="59"/>
      <c r="C166" s="24">
        <f t="shared" si="33"/>
        <v>1</v>
      </c>
      <c r="D166" s="680"/>
      <c r="E166" s="24">
        <f t="shared" si="34"/>
        <v>1</v>
      </c>
      <c r="F166" s="680"/>
      <c r="G166" s="24">
        <f t="shared" si="35"/>
        <v>1</v>
      </c>
      <c r="H166" s="680"/>
      <c r="I166" s="24">
        <f t="shared" si="36"/>
        <v>1</v>
      </c>
      <c r="J166" s="680"/>
      <c r="K166" s="24">
        <f t="shared" si="37"/>
        <v>1</v>
      </c>
      <c r="L166" s="680"/>
      <c r="M166" s="24">
        <f t="shared" si="38"/>
        <v>1</v>
      </c>
      <c r="N166" s="680"/>
      <c r="O166" s="24">
        <f t="shared" si="39"/>
        <v>1</v>
      </c>
      <c r="P166" s="680"/>
      <c r="Q166" s="24">
        <f t="shared" si="40"/>
        <v>1</v>
      </c>
      <c r="R166" s="676">
        <f t="shared" si="41"/>
        <v>0</v>
      </c>
      <c r="S166" s="326">
        <f t="shared" si="32"/>
        <v>0</v>
      </c>
    </row>
    <row r="167" spans="1:19">
      <c r="A167" s="159"/>
      <c r="B167" s="59"/>
      <c r="C167" s="24">
        <f t="shared" si="33"/>
        <v>1</v>
      </c>
      <c r="D167" s="680"/>
      <c r="E167" s="24">
        <f t="shared" si="34"/>
        <v>1</v>
      </c>
      <c r="F167" s="680"/>
      <c r="G167" s="24">
        <f t="shared" si="35"/>
        <v>1</v>
      </c>
      <c r="H167" s="680"/>
      <c r="I167" s="24">
        <f t="shared" si="36"/>
        <v>1</v>
      </c>
      <c r="J167" s="680"/>
      <c r="K167" s="24">
        <f t="shared" si="37"/>
        <v>1</v>
      </c>
      <c r="L167" s="680"/>
      <c r="M167" s="24">
        <f t="shared" si="38"/>
        <v>1</v>
      </c>
      <c r="N167" s="680"/>
      <c r="O167" s="24">
        <f t="shared" si="39"/>
        <v>1</v>
      </c>
      <c r="P167" s="680"/>
      <c r="Q167" s="24">
        <f t="shared" si="40"/>
        <v>1</v>
      </c>
      <c r="R167" s="676">
        <f t="shared" si="41"/>
        <v>0</v>
      </c>
      <c r="S167" s="326">
        <f t="shared" si="32"/>
        <v>0</v>
      </c>
    </row>
    <row r="168" spans="1:19">
      <c r="A168" s="159"/>
      <c r="B168" s="59"/>
      <c r="C168" s="24">
        <f t="shared" si="33"/>
        <v>1</v>
      </c>
      <c r="D168" s="680"/>
      <c r="E168" s="24">
        <f t="shared" si="34"/>
        <v>1</v>
      </c>
      <c r="F168" s="680"/>
      <c r="G168" s="24">
        <f t="shared" si="35"/>
        <v>1</v>
      </c>
      <c r="H168" s="680"/>
      <c r="I168" s="24">
        <f t="shared" si="36"/>
        <v>1</v>
      </c>
      <c r="J168" s="680"/>
      <c r="K168" s="24">
        <f t="shared" si="37"/>
        <v>1</v>
      </c>
      <c r="L168" s="680"/>
      <c r="M168" s="24">
        <f t="shared" si="38"/>
        <v>1</v>
      </c>
      <c r="N168" s="680"/>
      <c r="O168" s="24">
        <f t="shared" si="39"/>
        <v>1</v>
      </c>
      <c r="P168" s="680"/>
      <c r="Q168" s="24">
        <f t="shared" si="40"/>
        <v>1</v>
      </c>
      <c r="R168" s="676">
        <f t="shared" si="41"/>
        <v>0</v>
      </c>
      <c r="S168" s="326">
        <f t="shared" si="32"/>
        <v>0</v>
      </c>
    </row>
    <row r="169" spans="1:19">
      <c r="A169" s="159"/>
      <c r="B169" s="59"/>
      <c r="C169" s="24">
        <f t="shared" si="33"/>
        <v>1</v>
      </c>
      <c r="D169" s="680"/>
      <c r="E169" s="24">
        <f t="shared" si="34"/>
        <v>1</v>
      </c>
      <c r="F169" s="680"/>
      <c r="G169" s="24">
        <f t="shared" si="35"/>
        <v>1</v>
      </c>
      <c r="H169" s="680"/>
      <c r="I169" s="24">
        <f t="shared" si="36"/>
        <v>1</v>
      </c>
      <c r="J169" s="680"/>
      <c r="K169" s="24">
        <f t="shared" si="37"/>
        <v>1</v>
      </c>
      <c r="L169" s="680"/>
      <c r="M169" s="24">
        <f t="shared" si="38"/>
        <v>1</v>
      </c>
      <c r="N169" s="680"/>
      <c r="O169" s="24">
        <f t="shared" si="39"/>
        <v>1</v>
      </c>
      <c r="P169" s="680"/>
      <c r="Q169" s="24">
        <f t="shared" si="40"/>
        <v>1</v>
      </c>
      <c r="R169" s="676">
        <f t="shared" si="41"/>
        <v>0</v>
      </c>
      <c r="S169" s="326">
        <f t="shared" si="32"/>
        <v>0</v>
      </c>
    </row>
    <row r="170" spans="1:19">
      <c r="A170" s="159"/>
      <c r="B170" s="59"/>
      <c r="C170" s="24">
        <f t="shared" si="33"/>
        <v>1</v>
      </c>
      <c r="D170" s="680"/>
      <c r="E170" s="24">
        <f t="shared" si="34"/>
        <v>1</v>
      </c>
      <c r="F170" s="680"/>
      <c r="G170" s="24">
        <f t="shared" si="35"/>
        <v>1</v>
      </c>
      <c r="H170" s="680"/>
      <c r="I170" s="24">
        <f t="shared" si="36"/>
        <v>1</v>
      </c>
      <c r="J170" s="680"/>
      <c r="K170" s="24">
        <f t="shared" si="37"/>
        <v>1</v>
      </c>
      <c r="L170" s="680"/>
      <c r="M170" s="24">
        <f t="shared" si="38"/>
        <v>1</v>
      </c>
      <c r="N170" s="680"/>
      <c r="O170" s="24">
        <f t="shared" si="39"/>
        <v>1</v>
      </c>
      <c r="P170" s="680"/>
      <c r="Q170" s="24">
        <f t="shared" si="40"/>
        <v>1</v>
      </c>
      <c r="R170" s="676">
        <f t="shared" si="41"/>
        <v>0</v>
      </c>
      <c r="S170" s="326">
        <f t="shared" si="32"/>
        <v>0</v>
      </c>
    </row>
    <row r="171" spans="1:19">
      <c r="A171" s="159"/>
      <c r="B171" s="59"/>
      <c r="C171" s="24">
        <f t="shared" si="33"/>
        <v>1</v>
      </c>
      <c r="D171" s="680"/>
      <c r="E171" s="24">
        <f t="shared" si="34"/>
        <v>1</v>
      </c>
      <c r="F171" s="680"/>
      <c r="G171" s="24">
        <f t="shared" si="35"/>
        <v>1</v>
      </c>
      <c r="H171" s="680"/>
      <c r="I171" s="24">
        <f t="shared" si="36"/>
        <v>1</v>
      </c>
      <c r="J171" s="680"/>
      <c r="K171" s="24">
        <f t="shared" si="37"/>
        <v>1</v>
      </c>
      <c r="L171" s="680"/>
      <c r="M171" s="24">
        <f t="shared" si="38"/>
        <v>1</v>
      </c>
      <c r="N171" s="680"/>
      <c r="O171" s="24">
        <f t="shared" si="39"/>
        <v>1</v>
      </c>
      <c r="P171" s="680"/>
      <c r="Q171" s="24">
        <f t="shared" si="40"/>
        <v>1</v>
      </c>
      <c r="R171" s="676">
        <f t="shared" si="41"/>
        <v>0</v>
      </c>
      <c r="S171" s="326">
        <f t="shared" si="32"/>
        <v>0</v>
      </c>
    </row>
    <row r="172" spans="1:19">
      <c r="A172" s="159"/>
      <c r="B172" s="59"/>
      <c r="C172" s="24">
        <f t="shared" si="33"/>
        <v>1</v>
      </c>
      <c r="D172" s="680"/>
      <c r="E172" s="24">
        <f t="shared" si="34"/>
        <v>1</v>
      </c>
      <c r="F172" s="680"/>
      <c r="G172" s="24">
        <f t="shared" si="35"/>
        <v>1</v>
      </c>
      <c r="H172" s="680"/>
      <c r="I172" s="24">
        <f t="shared" si="36"/>
        <v>1</v>
      </c>
      <c r="J172" s="680"/>
      <c r="K172" s="24">
        <f t="shared" si="37"/>
        <v>1</v>
      </c>
      <c r="L172" s="680"/>
      <c r="M172" s="24">
        <f t="shared" si="38"/>
        <v>1</v>
      </c>
      <c r="N172" s="680"/>
      <c r="O172" s="24">
        <f t="shared" si="39"/>
        <v>1</v>
      </c>
      <c r="P172" s="680"/>
      <c r="Q172" s="24">
        <f t="shared" si="40"/>
        <v>1</v>
      </c>
      <c r="R172" s="676">
        <f t="shared" si="41"/>
        <v>0</v>
      </c>
      <c r="S172" s="326">
        <f t="shared" si="32"/>
        <v>0</v>
      </c>
    </row>
    <row r="173" spans="1:19">
      <c r="A173" s="159"/>
      <c r="B173" s="59"/>
      <c r="C173" s="24">
        <f t="shared" si="33"/>
        <v>1</v>
      </c>
      <c r="D173" s="680"/>
      <c r="E173" s="24">
        <f t="shared" si="34"/>
        <v>1</v>
      </c>
      <c r="F173" s="680"/>
      <c r="G173" s="24">
        <f t="shared" si="35"/>
        <v>1</v>
      </c>
      <c r="H173" s="680"/>
      <c r="I173" s="24">
        <f t="shared" si="36"/>
        <v>1</v>
      </c>
      <c r="J173" s="680"/>
      <c r="K173" s="24">
        <f t="shared" si="37"/>
        <v>1</v>
      </c>
      <c r="L173" s="680"/>
      <c r="M173" s="24">
        <f t="shared" si="38"/>
        <v>1</v>
      </c>
      <c r="N173" s="680"/>
      <c r="O173" s="24">
        <f t="shared" si="39"/>
        <v>1</v>
      </c>
      <c r="P173" s="680"/>
      <c r="Q173" s="24">
        <f t="shared" si="40"/>
        <v>1</v>
      </c>
      <c r="R173" s="676">
        <f t="shared" si="41"/>
        <v>0</v>
      </c>
      <c r="S173" s="326">
        <f t="shared" si="32"/>
        <v>0</v>
      </c>
    </row>
    <row r="174" spans="1:19">
      <c r="A174" s="159"/>
      <c r="B174" s="59"/>
      <c r="C174" s="24">
        <f t="shared" si="33"/>
        <v>1</v>
      </c>
      <c r="D174" s="680"/>
      <c r="E174" s="24">
        <f t="shared" si="34"/>
        <v>1</v>
      </c>
      <c r="F174" s="680"/>
      <c r="G174" s="24">
        <f t="shared" si="35"/>
        <v>1</v>
      </c>
      <c r="H174" s="680"/>
      <c r="I174" s="24">
        <f t="shared" si="36"/>
        <v>1</v>
      </c>
      <c r="J174" s="680"/>
      <c r="K174" s="24">
        <f t="shared" si="37"/>
        <v>1</v>
      </c>
      <c r="L174" s="680"/>
      <c r="M174" s="24">
        <f t="shared" si="38"/>
        <v>1</v>
      </c>
      <c r="N174" s="680"/>
      <c r="O174" s="24">
        <f t="shared" si="39"/>
        <v>1</v>
      </c>
      <c r="P174" s="680"/>
      <c r="Q174" s="24">
        <f t="shared" si="40"/>
        <v>1</v>
      </c>
      <c r="R174" s="676">
        <f t="shared" si="41"/>
        <v>0</v>
      </c>
      <c r="S174" s="326">
        <f t="shared" si="32"/>
        <v>0</v>
      </c>
    </row>
    <row r="175" spans="1:19">
      <c r="A175" s="159"/>
      <c r="B175" s="59"/>
      <c r="C175" s="24">
        <f t="shared" si="33"/>
        <v>1</v>
      </c>
      <c r="D175" s="680"/>
      <c r="E175" s="24">
        <f t="shared" si="34"/>
        <v>1</v>
      </c>
      <c r="F175" s="680"/>
      <c r="G175" s="24">
        <f t="shared" si="35"/>
        <v>1</v>
      </c>
      <c r="H175" s="680"/>
      <c r="I175" s="24">
        <f t="shared" si="36"/>
        <v>1</v>
      </c>
      <c r="J175" s="680"/>
      <c r="K175" s="24">
        <f t="shared" si="37"/>
        <v>1</v>
      </c>
      <c r="L175" s="680"/>
      <c r="M175" s="24">
        <f t="shared" si="38"/>
        <v>1</v>
      </c>
      <c r="N175" s="680"/>
      <c r="O175" s="24">
        <f t="shared" si="39"/>
        <v>1</v>
      </c>
      <c r="P175" s="680"/>
      <c r="Q175" s="24">
        <f t="shared" si="40"/>
        <v>1</v>
      </c>
      <c r="R175" s="676">
        <f t="shared" si="41"/>
        <v>0</v>
      </c>
      <c r="S175" s="326">
        <f t="shared" si="32"/>
        <v>0</v>
      </c>
    </row>
    <row r="176" spans="1:19">
      <c r="A176" s="159"/>
      <c r="B176" s="59"/>
      <c r="C176" s="24">
        <f t="shared" si="33"/>
        <v>1</v>
      </c>
      <c r="D176" s="680"/>
      <c r="E176" s="24">
        <f t="shared" si="34"/>
        <v>1</v>
      </c>
      <c r="F176" s="680"/>
      <c r="G176" s="24">
        <f t="shared" si="35"/>
        <v>1</v>
      </c>
      <c r="H176" s="680"/>
      <c r="I176" s="24">
        <f t="shared" si="36"/>
        <v>1</v>
      </c>
      <c r="J176" s="680"/>
      <c r="K176" s="24">
        <f t="shared" si="37"/>
        <v>1</v>
      </c>
      <c r="L176" s="680"/>
      <c r="M176" s="24">
        <f t="shared" si="38"/>
        <v>1</v>
      </c>
      <c r="N176" s="680"/>
      <c r="O176" s="24">
        <f t="shared" si="39"/>
        <v>1</v>
      </c>
      <c r="P176" s="680"/>
      <c r="Q176" s="24">
        <f t="shared" si="40"/>
        <v>1</v>
      </c>
      <c r="R176" s="676">
        <f t="shared" si="41"/>
        <v>0</v>
      </c>
      <c r="S176" s="326">
        <f t="shared" si="32"/>
        <v>0</v>
      </c>
    </row>
    <row r="177" spans="1:19">
      <c r="A177" s="159"/>
      <c r="B177" s="59"/>
      <c r="C177" s="24">
        <f t="shared" si="33"/>
        <v>1</v>
      </c>
      <c r="D177" s="680"/>
      <c r="E177" s="24">
        <f t="shared" si="34"/>
        <v>1</v>
      </c>
      <c r="F177" s="680"/>
      <c r="G177" s="24">
        <f t="shared" si="35"/>
        <v>1</v>
      </c>
      <c r="H177" s="680"/>
      <c r="I177" s="24">
        <f t="shared" si="36"/>
        <v>1</v>
      </c>
      <c r="J177" s="680"/>
      <c r="K177" s="24">
        <f t="shared" si="37"/>
        <v>1</v>
      </c>
      <c r="L177" s="680"/>
      <c r="M177" s="24">
        <f t="shared" si="38"/>
        <v>1</v>
      </c>
      <c r="N177" s="680"/>
      <c r="O177" s="24">
        <f t="shared" si="39"/>
        <v>1</v>
      </c>
      <c r="P177" s="680"/>
      <c r="Q177" s="24">
        <f t="shared" si="40"/>
        <v>1</v>
      </c>
      <c r="R177" s="676">
        <f t="shared" si="41"/>
        <v>0</v>
      </c>
      <c r="S177" s="326">
        <f t="shared" si="32"/>
        <v>0</v>
      </c>
    </row>
    <row r="178" spans="1:19">
      <c r="A178" s="159"/>
      <c r="B178" s="59"/>
      <c r="C178" s="24">
        <f t="shared" si="33"/>
        <v>1</v>
      </c>
      <c r="D178" s="680"/>
      <c r="E178" s="24">
        <f t="shared" si="34"/>
        <v>1</v>
      </c>
      <c r="F178" s="680"/>
      <c r="G178" s="24">
        <f t="shared" si="35"/>
        <v>1</v>
      </c>
      <c r="H178" s="680"/>
      <c r="I178" s="24">
        <f t="shared" si="36"/>
        <v>1</v>
      </c>
      <c r="J178" s="680"/>
      <c r="K178" s="24">
        <f t="shared" si="37"/>
        <v>1</v>
      </c>
      <c r="L178" s="680"/>
      <c r="M178" s="24">
        <f t="shared" si="38"/>
        <v>1</v>
      </c>
      <c r="N178" s="680"/>
      <c r="O178" s="24">
        <f t="shared" si="39"/>
        <v>1</v>
      </c>
      <c r="P178" s="680"/>
      <c r="Q178" s="24">
        <f t="shared" si="40"/>
        <v>1</v>
      </c>
      <c r="R178" s="676">
        <f t="shared" si="41"/>
        <v>0</v>
      </c>
      <c r="S178" s="326">
        <f t="shared" si="32"/>
        <v>0</v>
      </c>
    </row>
    <row r="179" spans="1:19">
      <c r="A179" s="159"/>
      <c r="B179" s="59"/>
      <c r="C179" s="24">
        <f t="shared" si="33"/>
        <v>1</v>
      </c>
      <c r="D179" s="680"/>
      <c r="E179" s="24">
        <f t="shared" si="34"/>
        <v>1</v>
      </c>
      <c r="F179" s="680"/>
      <c r="G179" s="24">
        <f t="shared" si="35"/>
        <v>1</v>
      </c>
      <c r="H179" s="680"/>
      <c r="I179" s="24">
        <f t="shared" si="36"/>
        <v>1</v>
      </c>
      <c r="J179" s="680"/>
      <c r="K179" s="24">
        <f t="shared" si="37"/>
        <v>1</v>
      </c>
      <c r="L179" s="680"/>
      <c r="M179" s="24">
        <f t="shared" si="38"/>
        <v>1</v>
      </c>
      <c r="N179" s="680"/>
      <c r="O179" s="24">
        <f t="shared" si="39"/>
        <v>1</v>
      </c>
      <c r="P179" s="680"/>
      <c r="Q179" s="24">
        <f t="shared" si="40"/>
        <v>1</v>
      </c>
      <c r="R179" s="676">
        <f t="shared" si="41"/>
        <v>0</v>
      </c>
      <c r="S179" s="326">
        <f t="shared" si="32"/>
        <v>0</v>
      </c>
    </row>
    <row r="180" spans="1:19">
      <c r="A180" s="159"/>
      <c r="B180" s="59"/>
      <c r="C180" s="24">
        <f t="shared" si="33"/>
        <v>1</v>
      </c>
      <c r="D180" s="680"/>
      <c r="E180" s="24">
        <f t="shared" si="34"/>
        <v>1</v>
      </c>
      <c r="F180" s="680"/>
      <c r="G180" s="24">
        <f t="shared" si="35"/>
        <v>1</v>
      </c>
      <c r="H180" s="680"/>
      <c r="I180" s="24">
        <f t="shared" si="36"/>
        <v>1</v>
      </c>
      <c r="J180" s="680"/>
      <c r="K180" s="24">
        <f t="shared" si="37"/>
        <v>1</v>
      </c>
      <c r="L180" s="680"/>
      <c r="M180" s="24">
        <f t="shared" si="38"/>
        <v>1</v>
      </c>
      <c r="N180" s="680"/>
      <c r="O180" s="24">
        <f t="shared" si="39"/>
        <v>1</v>
      </c>
      <c r="P180" s="680"/>
      <c r="Q180" s="24">
        <f t="shared" si="40"/>
        <v>1</v>
      </c>
      <c r="R180" s="676">
        <f t="shared" si="41"/>
        <v>0</v>
      </c>
      <c r="S180" s="326">
        <f t="shared" si="32"/>
        <v>0</v>
      </c>
    </row>
    <row r="181" spans="1:19">
      <c r="A181" s="159"/>
      <c r="B181" s="59"/>
      <c r="C181" s="24">
        <f t="shared" si="33"/>
        <v>1</v>
      </c>
      <c r="D181" s="680"/>
      <c r="E181" s="24">
        <f t="shared" si="34"/>
        <v>1</v>
      </c>
      <c r="F181" s="680"/>
      <c r="G181" s="24">
        <f t="shared" si="35"/>
        <v>1</v>
      </c>
      <c r="H181" s="680"/>
      <c r="I181" s="24">
        <f t="shared" si="36"/>
        <v>1</v>
      </c>
      <c r="J181" s="680"/>
      <c r="K181" s="24">
        <f t="shared" si="37"/>
        <v>1</v>
      </c>
      <c r="L181" s="680"/>
      <c r="M181" s="24">
        <f t="shared" si="38"/>
        <v>1</v>
      </c>
      <c r="N181" s="680"/>
      <c r="O181" s="24">
        <f t="shared" si="39"/>
        <v>1</v>
      </c>
      <c r="P181" s="680"/>
      <c r="Q181" s="24">
        <f t="shared" si="40"/>
        <v>1</v>
      </c>
      <c r="R181" s="676">
        <f t="shared" si="41"/>
        <v>0</v>
      </c>
      <c r="S181" s="326">
        <f t="shared" si="32"/>
        <v>0</v>
      </c>
    </row>
    <row r="182" spans="1:19">
      <c r="A182" s="159"/>
      <c r="B182" s="59"/>
      <c r="C182" s="24">
        <f t="shared" si="33"/>
        <v>1</v>
      </c>
      <c r="D182" s="680"/>
      <c r="E182" s="24">
        <f t="shared" si="34"/>
        <v>1</v>
      </c>
      <c r="F182" s="680"/>
      <c r="G182" s="24">
        <f t="shared" si="35"/>
        <v>1</v>
      </c>
      <c r="H182" s="680"/>
      <c r="I182" s="24">
        <f t="shared" si="36"/>
        <v>1</v>
      </c>
      <c r="J182" s="680"/>
      <c r="K182" s="24">
        <f t="shared" si="37"/>
        <v>1</v>
      </c>
      <c r="L182" s="680"/>
      <c r="M182" s="24">
        <f t="shared" si="38"/>
        <v>1</v>
      </c>
      <c r="N182" s="680"/>
      <c r="O182" s="24">
        <f t="shared" si="39"/>
        <v>1</v>
      </c>
      <c r="P182" s="680"/>
      <c r="Q182" s="24">
        <f t="shared" si="40"/>
        <v>1</v>
      </c>
      <c r="R182" s="676">
        <f t="shared" si="41"/>
        <v>0</v>
      </c>
      <c r="S182" s="326">
        <f t="shared" si="32"/>
        <v>0</v>
      </c>
    </row>
    <row r="183" spans="1:19">
      <c r="A183" s="159"/>
      <c r="B183" s="59"/>
      <c r="C183" s="24">
        <f t="shared" si="33"/>
        <v>1</v>
      </c>
      <c r="D183" s="680"/>
      <c r="E183" s="24">
        <f t="shared" si="34"/>
        <v>1</v>
      </c>
      <c r="F183" s="680"/>
      <c r="G183" s="24">
        <f t="shared" si="35"/>
        <v>1</v>
      </c>
      <c r="H183" s="680"/>
      <c r="I183" s="24">
        <f t="shared" si="36"/>
        <v>1</v>
      </c>
      <c r="J183" s="680"/>
      <c r="K183" s="24">
        <f t="shared" si="37"/>
        <v>1</v>
      </c>
      <c r="L183" s="680"/>
      <c r="M183" s="24">
        <f t="shared" si="38"/>
        <v>1</v>
      </c>
      <c r="N183" s="680"/>
      <c r="O183" s="24">
        <f t="shared" si="39"/>
        <v>1</v>
      </c>
      <c r="P183" s="680"/>
      <c r="Q183" s="24">
        <f t="shared" si="40"/>
        <v>1</v>
      </c>
      <c r="R183" s="676">
        <f t="shared" si="41"/>
        <v>0</v>
      </c>
      <c r="S183" s="326">
        <f t="shared" si="32"/>
        <v>0</v>
      </c>
    </row>
    <row r="184" spans="1:19">
      <c r="A184" s="159"/>
      <c r="B184" s="59"/>
      <c r="C184" s="24">
        <f t="shared" si="33"/>
        <v>1</v>
      </c>
      <c r="D184" s="680"/>
      <c r="E184" s="24">
        <f t="shared" si="34"/>
        <v>1</v>
      </c>
      <c r="F184" s="680"/>
      <c r="G184" s="24">
        <f t="shared" si="35"/>
        <v>1</v>
      </c>
      <c r="H184" s="680"/>
      <c r="I184" s="24">
        <f t="shared" si="36"/>
        <v>1</v>
      </c>
      <c r="J184" s="680"/>
      <c r="K184" s="24">
        <f t="shared" si="37"/>
        <v>1</v>
      </c>
      <c r="L184" s="680"/>
      <c r="M184" s="24">
        <f t="shared" si="38"/>
        <v>1</v>
      </c>
      <c r="N184" s="680"/>
      <c r="O184" s="24">
        <f t="shared" si="39"/>
        <v>1</v>
      </c>
      <c r="P184" s="680"/>
      <c r="Q184" s="24">
        <f t="shared" si="40"/>
        <v>1</v>
      </c>
      <c r="R184" s="676">
        <f t="shared" si="41"/>
        <v>0</v>
      </c>
      <c r="S184" s="326">
        <f t="shared" si="32"/>
        <v>0</v>
      </c>
    </row>
    <row r="185" spans="1:19">
      <c r="A185" s="159"/>
      <c r="B185" s="59"/>
      <c r="C185" s="24">
        <f t="shared" si="33"/>
        <v>1</v>
      </c>
      <c r="D185" s="680"/>
      <c r="E185" s="24">
        <f t="shared" si="34"/>
        <v>1</v>
      </c>
      <c r="F185" s="680"/>
      <c r="G185" s="24">
        <f t="shared" si="35"/>
        <v>1</v>
      </c>
      <c r="H185" s="680"/>
      <c r="I185" s="24">
        <f t="shared" si="36"/>
        <v>1</v>
      </c>
      <c r="J185" s="680"/>
      <c r="K185" s="24">
        <f t="shared" si="37"/>
        <v>1</v>
      </c>
      <c r="L185" s="680"/>
      <c r="M185" s="24">
        <f t="shared" si="38"/>
        <v>1</v>
      </c>
      <c r="N185" s="680"/>
      <c r="O185" s="24">
        <f t="shared" si="39"/>
        <v>1</v>
      </c>
      <c r="P185" s="680"/>
      <c r="Q185" s="24">
        <f t="shared" si="40"/>
        <v>1</v>
      </c>
      <c r="R185" s="676">
        <f t="shared" si="41"/>
        <v>0</v>
      </c>
      <c r="S185" s="326">
        <f t="shared" si="32"/>
        <v>0</v>
      </c>
    </row>
    <row r="186" spans="1:19">
      <c r="A186" s="159"/>
      <c r="B186" s="59"/>
      <c r="C186" s="24">
        <f t="shared" si="33"/>
        <v>1</v>
      </c>
      <c r="D186" s="680"/>
      <c r="E186" s="24">
        <f t="shared" si="34"/>
        <v>1</v>
      </c>
      <c r="F186" s="680"/>
      <c r="G186" s="24">
        <f t="shared" si="35"/>
        <v>1</v>
      </c>
      <c r="H186" s="680"/>
      <c r="I186" s="24">
        <f t="shared" si="36"/>
        <v>1</v>
      </c>
      <c r="J186" s="680"/>
      <c r="K186" s="24">
        <f t="shared" si="37"/>
        <v>1</v>
      </c>
      <c r="L186" s="680"/>
      <c r="M186" s="24">
        <f t="shared" si="38"/>
        <v>1</v>
      </c>
      <c r="N186" s="680"/>
      <c r="O186" s="24">
        <f t="shared" si="39"/>
        <v>1</v>
      </c>
      <c r="P186" s="680"/>
      <c r="Q186" s="24">
        <f t="shared" si="40"/>
        <v>1</v>
      </c>
      <c r="R186" s="676">
        <f t="shared" si="41"/>
        <v>0</v>
      </c>
      <c r="S186" s="326">
        <f t="shared" si="32"/>
        <v>0</v>
      </c>
    </row>
    <row r="187" spans="1:19">
      <c r="A187" s="159"/>
      <c r="B187" s="59"/>
      <c r="C187" s="24">
        <f t="shared" si="33"/>
        <v>1</v>
      </c>
      <c r="D187" s="680"/>
      <c r="E187" s="24">
        <f t="shared" si="34"/>
        <v>1</v>
      </c>
      <c r="F187" s="680"/>
      <c r="G187" s="24">
        <f t="shared" si="35"/>
        <v>1</v>
      </c>
      <c r="H187" s="680"/>
      <c r="I187" s="24">
        <f t="shared" si="36"/>
        <v>1</v>
      </c>
      <c r="J187" s="680"/>
      <c r="K187" s="24">
        <f t="shared" si="37"/>
        <v>1</v>
      </c>
      <c r="L187" s="680"/>
      <c r="M187" s="24">
        <f t="shared" si="38"/>
        <v>1</v>
      </c>
      <c r="N187" s="680"/>
      <c r="O187" s="24">
        <f t="shared" si="39"/>
        <v>1</v>
      </c>
      <c r="P187" s="680"/>
      <c r="Q187" s="24">
        <f t="shared" si="40"/>
        <v>1</v>
      </c>
      <c r="R187" s="676">
        <f t="shared" si="41"/>
        <v>0</v>
      </c>
      <c r="S187" s="326">
        <f t="shared" ref="S187:S222" si="42">ROUND(R187*B187/10000,0)</f>
        <v>0</v>
      </c>
    </row>
    <row r="188" spans="1:19">
      <c r="A188" s="159"/>
      <c r="B188" s="59"/>
      <c r="C188" s="24">
        <f t="shared" si="33"/>
        <v>1</v>
      </c>
      <c r="D188" s="680"/>
      <c r="E188" s="24">
        <f t="shared" si="34"/>
        <v>1</v>
      </c>
      <c r="F188" s="680"/>
      <c r="G188" s="24">
        <f t="shared" si="35"/>
        <v>1</v>
      </c>
      <c r="H188" s="680"/>
      <c r="I188" s="24">
        <f t="shared" si="36"/>
        <v>1</v>
      </c>
      <c r="J188" s="680"/>
      <c r="K188" s="24">
        <f t="shared" si="37"/>
        <v>1</v>
      </c>
      <c r="L188" s="680"/>
      <c r="M188" s="24">
        <f t="shared" si="38"/>
        <v>1</v>
      </c>
      <c r="N188" s="680"/>
      <c r="O188" s="24">
        <f t="shared" si="39"/>
        <v>1</v>
      </c>
      <c r="P188" s="680"/>
      <c r="Q188" s="24">
        <f t="shared" si="40"/>
        <v>1</v>
      </c>
      <c r="R188" s="676">
        <f t="shared" si="41"/>
        <v>0</v>
      </c>
      <c r="S188" s="326">
        <f t="shared" si="42"/>
        <v>0</v>
      </c>
    </row>
    <row r="189" spans="1:19">
      <c r="A189" s="159"/>
      <c r="B189" s="59"/>
      <c r="C189" s="24">
        <f t="shared" si="33"/>
        <v>1</v>
      </c>
      <c r="D189" s="680"/>
      <c r="E189" s="24">
        <f t="shared" si="34"/>
        <v>1</v>
      </c>
      <c r="F189" s="680"/>
      <c r="G189" s="24">
        <f t="shared" si="35"/>
        <v>1</v>
      </c>
      <c r="H189" s="680"/>
      <c r="I189" s="24">
        <f t="shared" si="36"/>
        <v>1</v>
      </c>
      <c r="J189" s="680"/>
      <c r="K189" s="24">
        <f t="shared" si="37"/>
        <v>1</v>
      </c>
      <c r="L189" s="680"/>
      <c r="M189" s="24">
        <f t="shared" si="38"/>
        <v>1</v>
      </c>
      <c r="N189" s="680"/>
      <c r="O189" s="24">
        <f t="shared" si="39"/>
        <v>1</v>
      </c>
      <c r="P189" s="680"/>
      <c r="Q189" s="24">
        <f t="shared" si="40"/>
        <v>1</v>
      </c>
      <c r="R189" s="676">
        <f t="shared" si="41"/>
        <v>0</v>
      </c>
      <c r="S189" s="326">
        <f t="shared" si="42"/>
        <v>0</v>
      </c>
    </row>
    <row r="190" spans="1:19">
      <c r="A190" s="159"/>
      <c r="B190" s="59"/>
      <c r="C190" s="24">
        <f t="shared" si="33"/>
        <v>1</v>
      </c>
      <c r="D190" s="680"/>
      <c r="E190" s="24">
        <f t="shared" si="34"/>
        <v>1</v>
      </c>
      <c r="F190" s="680"/>
      <c r="G190" s="24">
        <f t="shared" si="35"/>
        <v>1</v>
      </c>
      <c r="H190" s="680"/>
      <c r="I190" s="24">
        <f t="shared" si="36"/>
        <v>1</v>
      </c>
      <c r="J190" s="680"/>
      <c r="K190" s="24">
        <f t="shared" si="37"/>
        <v>1</v>
      </c>
      <c r="L190" s="680"/>
      <c r="M190" s="24">
        <f t="shared" si="38"/>
        <v>1</v>
      </c>
      <c r="N190" s="680"/>
      <c r="O190" s="24">
        <f t="shared" si="39"/>
        <v>1</v>
      </c>
      <c r="P190" s="680"/>
      <c r="Q190" s="24">
        <f t="shared" si="40"/>
        <v>1</v>
      </c>
      <c r="R190" s="676">
        <f t="shared" si="41"/>
        <v>0</v>
      </c>
      <c r="S190" s="326">
        <f t="shared" si="42"/>
        <v>0</v>
      </c>
    </row>
    <row r="191" spans="1:19">
      <c r="A191" s="159"/>
      <c r="B191" s="59"/>
      <c r="C191" s="24">
        <f t="shared" si="33"/>
        <v>1</v>
      </c>
      <c r="D191" s="680"/>
      <c r="E191" s="24">
        <f t="shared" si="34"/>
        <v>1</v>
      </c>
      <c r="F191" s="680"/>
      <c r="G191" s="24">
        <f t="shared" si="35"/>
        <v>1</v>
      </c>
      <c r="H191" s="680"/>
      <c r="I191" s="24">
        <f t="shared" si="36"/>
        <v>1</v>
      </c>
      <c r="J191" s="680"/>
      <c r="K191" s="24">
        <f t="shared" si="37"/>
        <v>1</v>
      </c>
      <c r="L191" s="680"/>
      <c r="M191" s="24">
        <f t="shared" si="38"/>
        <v>1</v>
      </c>
      <c r="N191" s="680"/>
      <c r="O191" s="24">
        <f t="shared" si="39"/>
        <v>1</v>
      </c>
      <c r="P191" s="680"/>
      <c r="Q191" s="24">
        <f t="shared" si="40"/>
        <v>1</v>
      </c>
      <c r="R191" s="676">
        <f t="shared" si="41"/>
        <v>0</v>
      </c>
      <c r="S191" s="326">
        <f t="shared" si="42"/>
        <v>0</v>
      </c>
    </row>
    <row r="192" spans="1:19">
      <c r="A192" s="159"/>
      <c r="B192" s="59"/>
      <c r="C192" s="24">
        <f t="shared" si="33"/>
        <v>1</v>
      </c>
      <c r="D192" s="680"/>
      <c r="E192" s="24">
        <f t="shared" si="34"/>
        <v>1</v>
      </c>
      <c r="F192" s="680"/>
      <c r="G192" s="24">
        <f t="shared" si="35"/>
        <v>1</v>
      </c>
      <c r="H192" s="680"/>
      <c r="I192" s="24">
        <f t="shared" si="36"/>
        <v>1</v>
      </c>
      <c r="J192" s="680"/>
      <c r="K192" s="24">
        <f t="shared" si="37"/>
        <v>1</v>
      </c>
      <c r="L192" s="680"/>
      <c r="M192" s="24">
        <f t="shared" si="38"/>
        <v>1</v>
      </c>
      <c r="N192" s="680"/>
      <c r="O192" s="24">
        <f t="shared" si="39"/>
        <v>1</v>
      </c>
      <c r="P192" s="680"/>
      <c r="Q192" s="24">
        <f t="shared" si="40"/>
        <v>1</v>
      </c>
      <c r="R192" s="676">
        <f t="shared" si="41"/>
        <v>0</v>
      </c>
      <c r="S192" s="326">
        <f t="shared" si="42"/>
        <v>0</v>
      </c>
    </row>
    <row r="193" spans="1:19">
      <c r="A193" s="159"/>
      <c r="B193" s="59"/>
      <c r="C193" s="24">
        <f t="shared" si="33"/>
        <v>1</v>
      </c>
      <c r="D193" s="680"/>
      <c r="E193" s="24">
        <f t="shared" si="34"/>
        <v>1</v>
      </c>
      <c r="F193" s="680"/>
      <c r="G193" s="24">
        <f t="shared" si="35"/>
        <v>1</v>
      </c>
      <c r="H193" s="680"/>
      <c r="I193" s="24">
        <f t="shared" si="36"/>
        <v>1</v>
      </c>
      <c r="J193" s="680"/>
      <c r="K193" s="24">
        <f t="shared" si="37"/>
        <v>1</v>
      </c>
      <c r="L193" s="680"/>
      <c r="M193" s="24">
        <f t="shared" si="38"/>
        <v>1</v>
      </c>
      <c r="N193" s="680"/>
      <c r="O193" s="24">
        <f t="shared" si="39"/>
        <v>1</v>
      </c>
      <c r="P193" s="680"/>
      <c r="Q193" s="24">
        <f t="shared" si="40"/>
        <v>1</v>
      </c>
      <c r="R193" s="676">
        <f t="shared" si="41"/>
        <v>0</v>
      </c>
      <c r="S193" s="326">
        <f t="shared" si="42"/>
        <v>0</v>
      </c>
    </row>
    <row r="194" spans="1:19">
      <c r="A194" s="159"/>
      <c r="B194" s="59"/>
      <c r="C194" s="24">
        <f t="shared" si="33"/>
        <v>1</v>
      </c>
      <c r="D194" s="680"/>
      <c r="E194" s="24">
        <f t="shared" si="34"/>
        <v>1</v>
      </c>
      <c r="F194" s="680"/>
      <c r="G194" s="24">
        <f t="shared" si="35"/>
        <v>1</v>
      </c>
      <c r="H194" s="680"/>
      <c r="I194" s="24">
        <f t="shared" si="36"/>
        <v>1</v>
      </c>
      <c r="J194" s="680"/>
      <c r="K194" s="24">
        <f t="shared" si="37"/>
        <v>1</v>
      </c>
      <c r="L194" s="680"/>
      <c r="M194" s="24">
        <f t="shared" si="38"/>
        <v>1</v>
      </c>
      <c r="N194" s="680"/>
      <c r="O194" s="24">
        <f t="shared" si="39"/>
        <v>1</v>
      </c>
      <c r="P194" s="680"/>
      <c r="Q194" s="24">
        <f t="shared" si="40"/>
        <v>1</v>
      </c>
      <c r="R194" s="676">
        <f t="shared" si="41"/>
        <v>0</v>
      </c>
      <c r="S194" s="326">
        <f t="shared" si="42"/>
        <v>0</v>
      </c>
    </row>
    <row r="195" spans="1:19">
      <c r="A195" s="159"/>
      <c r="B195" s="59"/>
      <c r="C195" s="24">
        <f t="shared" si="33"/>
        <v>1</v>
      </c>
      <c r="D195" s="680"/>
      <c r="E195" s="24">
        <f t="shared" si="34"/>
        <v>1</v>
      </c>
      <c r="F195" s="680"/>
      <c r="G195" s="24">
        <f t="shared" si="35"/>
        <v>1</v>
      </c>
      <c r="H195" s="680"/>
      <c r="I195" s="24">
        <f t="shared" si="36"/>
        <v>1</v>
      </c>
      <c r="J195" s="680"/>
      <c r="K195" s="24">
        <f t="shared" si="37"/>
        <v>1</v>
      </c>
      <c r="L195" s="680"/>
      <c r="M195" s="24">
        <f t="shared" si="38"/>
        <v>1</v>
      </c>
      <c r="N195" s="680"/>
      <c r="O195" s="24">
        <f t="shared" si="39"/>
        <v>1</v>
      </c>
      <c r="P195" s="680"/>
      <c r="Q195" s="24">
        <f t="shared" si="40"/>
        <v>1</v>
      </c>
      <c r="R195" s="676">
        <f t="shared" si="41"/>
        <v>0</v>
      </c>
      <c r="S195" s="326">
        <f t="shared" si="42"/>
        <v>0</v>
      </c>
    </row>
    <row r="196" spans="1:19">
      <c r="A196" s="159"/>
      <c r="B196" s="59"/>
      <c r="C196" s="24">
        <f t="shared" si="33"/>
        <v>1</v>
      </c>
      <c r="D196" s="680"/>
      <c r="E196" s="24">
        <f t="shared" si="34"/>
        <v>1</v>
      </c>
      <c r="F196" s="680"/>
      <c r="G196" s="24">
        <f t="shared" si="35"/>
        <v>1</v>
      </c>
      <c r="H196" s="680"/>
      <c r="I196" s="24">
        <f t="shared" si="36"/>
        <v>1</v>
      </c>
      <c r="J196" s="680"/>
      <c r="K196" s="24">
        <f t="shared" si="37"/>
        <v>1</v>
      </c>
      <c r="L196" s="680"/>
      <c r="M196" s="24">
        <f t="shared" si="38"/>
        <v>1</v>
      </c>
      <c r="N196" s="680"/>
      <c r="O196" s="24">
        <f t="shared" si="39"/>
        <v>1</v>
      </c>
      <c r="P196" s="680"/>
      <c r="Q196" s="24">
        <f t="shared" si="40"/>
        <v>1</v>
      </c>
      <c r="R196" s="676">
        <f t="shared" si="41"/>
        <v>0</v>
      </c>
      <c r="S196" s="326">
        <f t="shared" si="42"/>
        <v>0</v>
      </c>
    </row>
    <row r="197" spans="1:19">
      <c r="A197" s="159"/>
      <c r="B197" s="59"/>
      <c r="C197" s="24">
        <f t="shared" si="33"/>
        <v>1</v>
      </c>
      <c r="D197" s="680"/>
      <c r="E197" s="24">
        <f t="shared" si="34"/>
        <v>1</v>
      </c>
      <c r="F197" s="680"/>
      <c r="G197" s="24">
        <f t="shared" si="35"/>
        <v>1</v>
      </c>
      <c r="H197" s="680"/>
      <c r="I197" s="24">
        <f t="shared" si="36"/>
        <v>1</v>
      </c>
      <c r="J197" s="680"/>
      <c r="K197" s="24">
        <f t="shared" si="37"/>
        <v>1</v>
      </c>
      <c r="L197" s="680"/>
      <c r="M197" s="24">
        <f t="shared" si="38"/>
        <v>1</v>
      </c>
      <c r="N197" s="680"/>
      <c r="O197" s="24">
        <f t="shared" si="39"/>
        <v>1</v>
      </c>
      <c r="P197" s="680"/>
      <c r="Q197" s="24">
        <f t="shared" si="40"/>
        <v>1</v>
      </c>
      <c r="R197" s="676">
        <f t="shared" si="41"/>
        <v>0</v>
      </c>
      <c r="S197" s="326">
        <f t="shared" si="42"/>
        <v>0</v>
      </c>
    </row>
    <row r="198" spans="1:19">
      <c r="A198" s="159"/>
      <c r="B198" s="59"/>
      <c r="C198" s="24">
        <f t="shared" si="33"/>
        <v>1</v>
      </c>
      <c r="D198" s="680"/>
      <c r="E198" s="24">
        <f t="shared" si="34"/>
        <v>1</v>
      </c>
      <c r="F198" s="680"/>
      <c r="G198" s="24">
        <f t="shared" si="35"/>
        <v>1</v>
      </c>
      <c r="H198" s="680"/>
      <c r="I198" s="24">
        <f t="shared" si="36"/>
        <v>1</v>
      </c>
      <c r="J198" s="680"/>
      <c r="K198" s="24">
        <f t="shared" si="37"/>
        <v>1</v>
      </c>
      <c r="L198" s="680"/>
      <c r="M198" s="24">
        <f t="shared" si="38"/>
        <v>1</v>
      </c>
      <c r="N198" s="680"/>
      <c r="O198" s="24">
        <f t="shared" si="39"/>
        <v>1</v>
      </c>
      <c r="P198" s="680"/>
      <c r="Q198" s="24">
        <f t="shared" si="40"/>
        <v>1</v>
      </c>
      <c r="R198" s="676">
        <f t="shared" si="41"/>
        <v>0</v>
      </c>
      <c r="S198" s="326">
        <f t="shared" si="42"/>
        <v>0</v>
      </c>
    </row>
    <row r="199" spans="1:19">
      <c r="A199" s="159"/>
      <c r="B199" s="59"/>
      <c r="C199" s="24">
        <f t="shared" si="33"/>
        <v>1</v>
      </c>
      <c r="D199" s="680"/>
      <c r="E199" s="24">
        <f t="shared" si="34"/>
        <v>1</v>
      </c>
      <c r="F199" s="680"/>
      <c r="G199" s="24">
        <f t="shared" si="35"/>
        <v>1</v>
      </c>
      <c r="H199" s="680"/>
      <c r="I199" s="24">
        <f t="shared" si="36"/>
        <v>1</v>
      </c>
      <c r="J199" s="680"/>
      <c r="K199" s="24">
        <f t="shared" si="37"/>
        <v>1</v>
      </c>
      <c r="L199" s="680"/>
      <c r="M199" s="24">
        <f t="shared" si="38"/>
        <v>1</v>
      </c>
      <c r="N199" s="680"/>
      <c r="O199" s="24">
        <f t="shared" si="39"/>
        <v>1</v>
      </c>
      <c r="P199" s="680"/>
      <c r="Q199" s="24">
        <f t="shared" si="40"/>
        <v>1</v>
      </c>
      <c r="R199" s="676">
        <f t="shared" si="41"/>
        <v>0</v>
      </c>
      <c r="S199" s="326">
        <f t="shared" si="42"/>
        <v>0</v>
      </c>
    </row>
    <row r="200" spans="1:19">
      <c r="A200" s="159"/>
      <c r="B200" s="59"/>
      <c r="C200" s="24">
        <f t="shared" si="33"/>
        <v>1</v>
      </c>
      <c r="D200" s="680"/>
      <c r="E200" s="24">
        <f t="shared" si="34"/>
        <v>1</v>
      </c>
      <c r="F200" s="680"/>
      <c r="G200" s="24">
        <f t="shared" si="35"/>
        <v>1</v>
      </c>
      <c r="H200" s="680"/>
      <c r="I200" s="24">
        <f t="shared" si="36"/>
        <v>1</v>
      </c>
      <c r="J200" s="680"/>
      <c r="K200" s="24">
        <f t="shared" si="37"/>
        <v>1</v>
      </c>
      <c r="L200" s="680"/>
      <c r="M200" s="24">
        <f t="shared" si="38"/>
        <v>1</v>
      </c>
      <c r="N200" s="680"/>
      <c r="O200" s="24">
        <f t="shared" si="39"/>
        <v>1</v>
      </c>
      <c r="P200" s="680"/>
      <c r="Q200" s="24">
        <f t="shared" si="40"/>
        <v>1</v>
      </c>
      <c r="R200" s="676">
        <f t="shared" si="41"/>
        <v>0</v>
      </c>
      <c r="S200" s="326">
        <f t="shared" si="42"/>
        <v>0</v>
      </c>
    </row>
    <row r="201" spans="1:19">
      <c r="A201" s="159"/>
      <c r="B201" s="59"/>
      <c r="C201" s="24">
        <f t="shared" si="33"/>
        <v>1</v>
      </c>
      <c r="D201" s="680"/>
      <c r="E201" s="24">
        <f t="shared" si="34"/>
        <v>1</v>
      </c>
      <c r="F201" s="680"/>
      <c r="G201" s="24">
        <f t="shared" si="35"/>
        <v>1</v>
      </c>
      <c r="H201" s="680"/>
      <c r="I201" s="24">
        <f t="shared" si="36"/>
        <v>1</v>
      </c>
      <c r="J201" s="680"/>
      <c r="K201" s="24">
        <f t="shared" si="37"/>
        <v>1</v>
      </c>
      <c r="L201" s="680"/>
      <c r="M201" s="24">
        <f t="shared" si="38"/>
        <v>1</v>
      </c>
      <c r="N201" s="680"/>
      <c r="O201" s="24">
        <f t="shared" si="39"/>
        <v>1</v>
      </c>
      <c r="P201" s="680"/>
      <c r="Q201" s="24">
        <f t="shared" si="40"/>
        <v>1</v>
      </c>
      <c r="R201" s="676">
        <f t="shared" si="41"/>
        <v>0</v>
      </c>
      <c r="S201" s="326">
        <f t="shared" si="42"/>
        <v>0</v>
      </c>
    </row>
    <row r="202" spans="1:19">
      <c r="A202" s="159"/>
      <c r="B202" s="59"/>
      <c r="C202" s="24">
        <f t="shared" si="33"/>
        <v>1</v>
      </c>
      <c r="D202" s="680"/>
      <c r="E202" s="24">
        <f t="shared" si="34"/>
        <v>1</v>
      </c>
      <c r="F202" s="680"/>
      <c r="G202" s="24">
        <f t="shared" si="35"/>
        <v>1</v>
      </c>
      <c r="H202" s="680"/>
      <c r="I202" s="24">
        <f t="shared" si="36"/>
        <v>1</v>
      </c>
      <c r="J202" s="680"/>
      <c r="K202" s="24">
        <f t="shared" si="37"/>
        <v>1</v>
      </c>
      <c r="L202" s="680"/>
      <c r="M202" s="24">
        <f t="shared" si="38"/>
        <v>1</v>
      </c>
      <c r="N202" s="680"/>
      <c r="O202" s="24">
        <f t="shared" si="39"/>
        <v>1</v>
      </c>
      <c r="P202" s="680"/>
      <c r="Q202" s="24">
        <f t="shared" si="40"/>
        <v>1</v>
      </c>
      <c r="R202" s="676">
        <f t="shared" si="41"/>
        <v>0</v>
      </c>
      <c r="S202" s="326">
        <f t="shared" si="42"/>
        <v>0</v>
      </c>
    </row>
    <row r="203" spans="1:19">
      <c r="A203" s="159"/>
      <c r="B203" s="59"/>
      <c r="C203" s="24">
        <f t="shared" si="33"/>
        <v>1</v>
      </c>
      <c r="D203" s="680"/>
      <c r="E203" s="24">
        <f t="shared" si="34"/>
        <v>1</v>
      </c>
      <c r="F203" s="680"/>
      <c r="G203" s="24">
        <f t="shared" si="35"/>
        <v>1</v>
      </c>
      <c r="H203" s="680"/>
      <c r="I203" s="24">
        <f t="shared" si="36"/>
        <v>1</v>
      </c>
      <c r="J203" s="680"/>
      <c r="K203" s="24">
        <f t="shared" si="37"/>
        <v>1</v>
      </c>
      <c r="L203" s="680"/>
      <c r="M203" s="24">
        <f t="shared" si="38"/>
        <v>1</v>
      </c>
      <c r="N203" s="680"/>
      <c r="O203" s="24">
        <f t="shared" si="39"/>
        <v>1</v>
      </c>
      <c r="P203" s="680"/>
      <c r="Q203" s="24">
        <f t="shared" si="40"/>
        <v>1</v>
      </c>
      <c r="R203" s="676">
        <f t="shared" si="41"/>
        <v>0</v>
      </c>
      <c r="S203" s="326">
        <f t="shared" si="42"/>
        <v>0</v>
      </c>
    </row>
    <row r="204" spans="1:19">
      <c r="A204" s="159"/>
      <c r="B204" s="59"/>
      <c r="C204" s="24">
        <f t="shared" si="33"/>
        <v>1</v>
      </c>
      <c r="D204" s="680"/>
      <c r="E204" s="24">
        <f t="shared" si="34"/>
        <v>1</v>
      </c>
      <c r="F204" s="680"/>
      <c r="G204" s="24">
        <f t="shared" si="35"/>
        <v>1</v>
      </c>
      <c r="H204" s="680"/>
      <c r="I204" s="24">
        <f t="shared" si="36"/>
        <v>1</v>
      </c>
      <c r="J204" s="680"/>
      <c r="K204" s="24">
        <f t="shared" si="37"/>
        <v>1</v>
      </c>
      <c r="L204" s="680"/>
      <c r="M204" s="24">
        <f t="shared" si="38"/>
        <v>1</v>
      </c>
      <c r="N204" s="680"/>
      <c r="O204" s="24">
        <f t="shared" si="39"/>
        <v>1</v>
      </c>
      <c r="P204" s="680"/>
      <c r="Q204" s="24">
        <f t="shared" si="40"/>
        <v>1</v>
      </c>
      <c r="R204" s="676">
        <f t="shared" si="41"/>
        <v>0</v>
      </c>
      <c r="S204" s="326">
        <f t="shared" si="42"/>
        <v>0</v>
      </c>
    </row>
    <row r="205" spans="1:19">
      <c r="A205" s="159"/>
      <c r="B205" s="59"/>
      <c r="C205" s="24">
        <f t="shared" si="33"/>
        <v>1</v>
      </c>
      <c r="D205" s="680"/>
      <c r="E205" s="24">
        <f t="shared" si="34"/>
        <v>1</v>
      </c>
      <c r="F205" s="680"/>
      <c r="G205" s="24">
        <f t="shared" si="35"/>
        <v>1</v>
      </c>
      <c r="H205" s="680"/>
      <c r="I205" s="24">
        <f t="shared" si="36"/>
        <v>1</v>
      </c>
      <c r="J205" s="680"/>
      <c r="K205" s="24">
        <f t="shared" si="37"/>
        <v>1</v>
      </c>
      <c r="L205" s="680"/>
      <c r="M205" s="24">
        <f t="shared" si="38"/>
        <v>1</v>
      </c>
      <c r="N205" s="680"/>
      <c r="O205" s="24">
        <f t="shared" si="39"/>
        <v>1</v>
      </c>
      <c r="P205" s="680"/>
      <c r="Q205" s="24">
        <f t="shared" si="40"/>
        <v>1</v>
      </c>
      <c r="R205" s="676">
        <f t="shared" si="41"/>
        <v>0</v>
      </c>
      <c r="S205" s="326">
        <f t="shared" si="42"/>
        <v>0</v>
      </c>
    </row>
    <row r="206" spans="1:19">
      <c r="A206" s="159"/>
      <c r="B206" s="59"/>
      <c r="C206" s="24">
        <f t="shared" si="33"/>
        <v>1</v>
      </c>
      <c r="D206" s="680"/>
      <c r="E206" s="24">
        <f t="shared" si="34"/>
        <v>1</v>
      </c>
      <c r="F206" s="680"/>
      <c r="G206" s="24">
        <f t="shared" si="35"/>
        <v>1</v>
      </c>
      <c r="H206" s="680"/>
      <c r="I206" s="24">
        <f t="shared" si="36"/>
        <v>1</v>
      </c>
      <c r="J206" s="680"/>
      <c r="K206" s="24">
        <f t="shared" si="37"/>
        <v>1</v>
      </c>
      <c r="L206" s="680"/>
      <c r="M206" s="24">
        <f t="shared" si="38"/>
        <v>1</v>
      </c>
      <c r="N206" s="680"/>
      <c r="O206" s="24">
        <f t="shared" si="39"/>
        <v>1</v>
      </c>
      <c r="P206" s="680"/>
      <c r="Q206" s="24">
        <f t="shared" si="40"/>
        <v>1</v>
      </c>
      <c r="R206" s="676">
        <f t="shared" si="41"/>
        <v>0</v>
      </c>
      <c r="S206" s="326">
        <f t="shared" si="42"/>
        <v>0</v>
      </c>
    </row>
    <row r="207" spans="1:19">
      <c r="A207" s="159"/>
      <c r="B207" s="59"/>
      <c r="C207" s="24">
        <f t="shared" si="33"/>
        <v>1</v>
      </c>
      <c r="D207" s="680"/>
      <c r="E207" s="24">
        <f t="shared" si="34"/>
        <v>1</v>
      </c>
      <c r="F207" s="680"/>
      <c r="G207" s="24">
        <f t="shared" si="35"/>
        <v>1</v>
      </c>
      <c r="H207" s="680"/>
      <c r="I207" s="24">
        <f t="shared" si="36"/>
        <v>1</v>
      </c>
      <c r="J207" s="680"/>
      <c r="K207" s="24">
        <f t="shared" si="37"/>
        <v>1</v>
      </c>
      <c r="L207" s="680"/>
      <c r="M207" s="24">
        <f t="shared" si="38"/>
        <v>1</v>
      </c>
      <c r="N207" s="680"/>
      <c r="O207" s="24">
        <f t="shared" si="39"/>
        <v>1</v>
      </c>
      <c r="P207" s="680"/>
      <c r="Q207" s="24">
        <f t="shared" si="40"/>
        <v>1</v>
      </c>
      <c r="R207" s="676">
        <f t="shared" si="41"/>
        <v>0</v>
      </c>
      <c r="S207" s="326">
        <f t="shared" si="42"/>
        <v>0</v>
      </c>
    </row>
    <row r="208" spans="1:19">
      <c r="A208" s="159"/>
      <c r="B208" s="59"/>
      <c r="C208" s="24">
        <f t="shared" si="33"/>
        <v>1</v>
      </c>
      <c r="D208" s="680"/>
      <c r="E208" s="24">
        <f t="shared" si="34"/>
        <v>1</v>
      </c>
      <c r="F208" s="680"/>
      <c r="G208" s="24">
        <f t="shared" si="35"/>
        <v>1</v>
      </c>
      <c r="H208" s="680"/>
      <c r="I208" s="24">
        <f t="shared" si="36"/>
        <v>1</v>
      </c>
      <c r="J208" s="680"/>
      <c r="K208" s="24">
        <f t="shared" si="37"/>
        <v>1</v>
      </c>
      <c r="L208" s="680"/>
      <c r="M208" s="24">
        <f t="shared" si="38"/>
        <v>1</v>
      </c>
      <c r="N208" s="680"/>
      <c r="O208" s="24">
        <f t="shared" si="39"/>
        <v>1</v>
      </c>
      <c r="P208" s="680"/>
      <c r="Q208" s="24">
        <f t="shared" si="40"/>
        <v>1</v>
      </c>
      <c r="R208" s="676">
        <f t="shared" si="41"/>
        <v>0</v>
      </c>
      <c r="S208" s="326">
        <f t="shared" si="42"/>
        <v>0</v>
      </c>
    </row>
    <row r="209" spans="1:19">
      <c r="A209" s="159"/>
      <c r="B209" s="59"/>
      <c r="C209" s="24">
        <f t="shared" si="33"/>
        <v>1</v>
      </c>
      <c r="D209" s="680"/>
      <c r="E209" s="24">
        <f t="shared" si="34"/>
        <v>1</v>
      </c>
      <c r="F209" s="680"/>
      <c r="G209" s="24">
        <f t="shared" si="35"/>
        <v>1</v>
      </c>
      <c r="H209" s="680"/>
      <c r="I209" s="24">
        <f t="shared" si="36"/>
        <v>1</v>
      </c>
      <c r="J209" s="680"/>
      <c r="K209" s="24">
        <f t="shared" si="37"/>
        <v>1</v>
      </c>
      <c r="L209" s="680"/>
      <c r="M209" s="24">
        <f t="shared" si="38"/>
        <v>1</v>
      </c>
      <c r="N209" s="680"/>
      <c r="O209" s="24">
        <f t="shared" si="39"/>
        <v>1</v>
      </c>
      <c r="P209" s="680"/>
      <c r="Q209" s="24">
        <f t="shared" si="40"/>
        <v>1</v>
      </c>
      <c r="R209" s="676">
        <f t="shared" si="41"/>
        <v>0</v>
      </c>
      <c r="S209" s="326">
        <f t="shared" si="42"/>
        <v>0</v>
      </c>
    </row>
    <row r="210" spans="1:19">
      <c r="A210" s="159"/>
      <c r="B210" s="59"/>
      <c r="C210" s="24">
        <f t="shared" si="33"/>
        <v>1</v>
      </c>
      <c r="D210" s="680"/>
      <c r="E210" s="24">
        <f t="shared" si="34"/>
        <v>1</v>
      </c>
      <c r="F210" s="680"/>
      <c r="G210" s="24">
        <f t="shared" si="35"/>
        <v>1</v>
      </c>
      <c r="H210" s="680"/>
      <c r="I210" s="24">
        <f t="shared" si="36"/>
        <v>1</v>
      </c>
      <c r="J210" s="680"/>
      <c r="K210" s="24">
        <f t="shared" si="37"/>
        <v>1</v>
      </c>
      <c r="L210" s="680"/>
      <c r="M210" s="24">
        <f t="shared" si="38"/>
        <v>1</v>
      </c>
      <c r="N210" s="680"/>
      <c r="O210" s="24">
        <f t="shared" si="39"/>
        <v>1</v>
      </c>
      <c r="P210" s="680"/>
      <c r="Q210" s="24">
        <f t="shared" si="40"/>
        <v>1</v>
      </c>
      <c r="R210" s="676">
        <f t="shared" si="41"/>
        <v>0</v>
      </c>
      <c r="S210" s="326">
        <f t="shared" si="42"/>
        <v>0</v>
      </c>
    </row>
    <row r="211" spans="1:19">
      <c r="A211" s="159"/>
      <c r="B211" s="59"/>
      <c r="C211" s="24">
        <f t="shared" si="33"/>
        <v>1</v>
      </c>
      <c r="D211" s="680"/>
      <c r="E211" s="24">
        <f t="shared" si="34"/>
        <v>1</v>
      </c>
      <c r="F211" s="680"/>
      <c r="G211" s="24">
        <f t="shared" si="35"/>
        <v>1</v>
      </c>
      <c r="H211" s="680"/>
      <c r="I211" s="24">
        <f t="shared" si="36"/>
        <v>1</v>
      </c>
      <c r="J211" s="680"/>
      <c r="K211" s="24">
        <f t="shared" si="37"/>
        <v>1</v>
      </c>
      <c r="L211" s="680"/>
      <c r="M211" s="24">
        <f t="shared" si="38"/>
        <v>1</v>
      </c>
      <c r="N211" s="680"/>
      <c r="O211" s="24">
        <f t="shared" si="39"/>
        <v>1</v>
      </c>
      <c r="P211" s="680"/>
      <c r="Q211" s="24">
        <f t="shared" si="40"/>
        <v>1</v>
      </c>
      <c r="R211" s="676">
        <f t="shared" si="41"/>
        <v>0</v>
      </c>
      <c r="S211" s="326">
        <f t="shared" si="42"/>
        <v>0</v>
      </c>
    </row>
    <row r="212" spans="1:19">
      <c r="A212" s="159"/>
      <c r="B212" s="59"/>
      <c r="C212" s="24">
        <f t="shared" si="33"/>
        <v>1</v>
      </c>
      <c r="D212" s="680"/>
      <c r="E212" s="24">
        <f t="shared" si="34"/>
        <v>1</v>
      </c>
      <c r="F212" s="680"/>
      <c r="G212" s="24">
        <f t="shared" si="35"/>
        <v>1</v>
      </c>
      <c r="H212" s="680"/>
      <c r="I212" s="24">
        <f t="shared" si="36"/>
        <v>1</v>
      </c>
      <c r="J212" s="680"/>
      <c r="K212" s="24">
        <f t="shared" si="37"/>
        <v>1</v>
      </c>
      <c r="L212" s="680"/>
      <c r="M212" s="24">
        <f t="shared" si="38"/>
        <v>1</v>
      </c>
      <c r="N212" s="680"/>
      <c r="O212" s="24">
        <f t="shared" si="39"/>
        <v>1</v>
      </c>
      <c r="P212" s="680"/>
      <c r="Q212" s="24">
        <f t="shared" si="40"/>
        <v>1</v>
      </c>
      <c r="R212" s="676">
        <f t="shared" si="41"/>
        <v>0</v>
      </c>
      <c r="S212" s="326">
        <f t="shared" si="42"/>
        <v>0</v>
      </c>
    </row>
    <row r="213" spans="1:19">
      <c r="A213" s="159"/>
      <c r="B213" s="59"/>
      <c r="C213" s="24">
        <f t="shared" si="33"/>
        <v>1</v>
      </c>
      <c r="D213" s="680"/>
      <c r="E213" s="24">
        <f t="shared" si="34"/>
        <v>1</v>
      </c>
      <c r="F213" s="680"/>
      <c r="G213" s="24">
        <f t="shared" si="35"/>
        <v>1</v>
      </c>
      <c r="H213" s="680"/>
      <c r="I213" s="24">
        <f t="shared" si="36"/>
        <v>1</v>
      </c>
      <c r="J213" s="680"/>
      <c r="K213" s="24">
        <f t="shared" si="37"/>
        <v>1</v>
      </c>
      <c r="L213" s="680"/>
      <c r="M213" s="24">
        <f t="shared" si="38"/>
        <v>1</v>
      </c>
      <c r="N213" s="680"/>
      <c r="O213" s="24">
        <f t="shared" si="39"/>
        <v>1</v>
      </c>
      <c r="P213" s="680"/>
      <c r="Q213" s="24">
        <f t="shared" si="40"/>
        <v>1</v>
      </c>
      <c r="R213" s="676">
        <f t="shared" si="41"/>
        <v>0</v>
      </c>
      <c r="S213" s="326">
        <f t="shared" si="42"/>
        <v>0</v>
      </c>
    </row>
    <row r="214" spans="1:19">
      <c r="A214" s="159"/>
      <c r="B214" s="59"/>
      <c r="C214" s="24">
        <f t="shared" si="33"/>
        <v>1</v>
      </c>
      <c r="D214" s="680"/>
      <c r="E214" s="24">
        <f t="shared" si="34"/>
        <v>1</v>
      </c>
      <c r="F214" s="680"/>
      <c r="G214" s="24">
        <f t="shared" si="35"/>
        <v>1</v>
      </c>
      <c r="H214" s="680"/>
      <c r="I214" s="24">
        <f t="shared" si="36"/>
        <v>1</v>
      </c>
      <c r="J214" s="680"/>
      <c r="K214" s="24">
        <f t="shared" si="37"/>
        <v>1</v>
      </c>
      <c r="L214" s="680"/>
      <c r="M214" s="24">
        <f t="shared" si="38"/>
        <v>1</v>
      </c>
      <c r="N214" s="680"/>
      <c r="O214" s="24">
        <f t="shared" si="39"/>
        <v>1</v>
      </c>
      <c r="P214" s="680"/>
      <c r="Q214" s="24">
        <f t="shared" si="40"/>
        <v>1</v>
      </c>
      <c r="R214" s="676">
        <f t="shared" si="41"/>
        <v>0</v>
      </c>
      <c r="S214" s="326">
        <f t="shared" si="42"/>
        <v>0</v>
      </c>
    </row>
    <row r="215" spans="1:19">
      <c r="A215" s="159"/>
      <c r="B215" s="59"/>
      <c r="C215" s="24">
        <f t="shared" si="33"/>
        <v>1</v>
      </c>
      <c r="D215" s="680"/>
      <c r="E215" s="24">
        <f t="shared" si="34"/>
        <v>1</v>
      </c>
      <c r="F215" s="680"/>
      <c r="G215" s="24">
        <f t="shared" si="35"/>
        <v>1</v>
      </c>
      <c r="H215" s="680"/>
      <c r="I215" s="24">
        <f t="shared" si="36"/>
        <v>1</v>
      </c>
      <c r="J215" s="680"/>
      <c r="K215" s="24">
        <f t="shared" si="37"/>
        <v>1</v>
      </c>
      <c r="L215" s="680"/>
      <c r="M215" s="24">
        <f t="shared" si="38"/>
        <v>1</v>
      </c>
      <c r="N215" s="680"/>
      <c r="O215" s="24">
        <f t="shared" si="39"/>
        <v>1</v>
      </c>
      <c r="P215" s="680"/>
      <c r="Q215" s="24">
        <f t="shared" si="40"/>
        <v>1</v>
      </c>
      <c r="R215" s="676">
        <f t="shared" si="41"/>
        <v>0</v>
      </c>
      <c r="S215" s="326">
        <f t="shared" si="42"/>
        <v>0</v>
      </c>
    </row>
    <row r="216" spans="1:19">
      <c r="A216" s="159"/>
      <c r="B216" s="59"/>
      <c r="C216" s="24">
        <f t="shared" si="33"/>
        <v>1</v>
      </c>
      <c r="D216" s="680"/>
      <c r="E216" s="24">
        <f t="shared" si="34"/>
        <v>1</v>
      </c>
      <c r="F216" s="680"/>
      <c r="G216" s="24">
        <f t="shared" si="35"/>
        <v>1</v>
      </c>
      <c r="H216" s="680"/>
      <c r="I216" s="24">
        <f t="shared" si="36"/>
        <v>1</v>
      </c>
      <c r="J216" s="680"/>
      <c r="K216" s="24">
        <f t="shared" si="37"/>
        <v>1</v>
      </c>
      <c r="L216" s="680"/>
      <c r="M216" s="24">
        <f t="shared" si="38"/>
        <v>1</v>
      </c>
      <c r="N216" s="680"/>
      <c r="O216" s="24">
        <f t="shared" si="39"/>
        <v>1</v>
      </c>
      <c r="P216" s="680"/>
      <c r="Q216" s="24">
        <f t="shared" si="40"/>
        <v>1</v>
      </c>
      <c r="R216" s="676">
        <f t="shared" si="41"/>
        <v>0</v>
      </c>
      <c r="S216" s="326">
        <f t="shared" si="42"/>
        <v>0</v>
      </c>
    </row>
    <row r="217" spans="1:19">
      <c r="A217" s="159"/>
      <c r="B217" s="59"/>
      <c r="C217" s="24">
        <f t="shared" si="33"/>
        <v>1</v>
      </c>
      <c r="D217" s="680"/>
      <c r="E217" s="24">
        <f t="shared" si="34"/>
        <v>1</v>
      </c>
      <c r="F217" s="680"/>
      <c r="G217" s="24">
        <f t="shared" si="35"/>
        <v>1</v>
      </c>
      <c r="H217" s="680"/>
      <c r="I217" s="24">
        <f t="shared" si="36"/>
        <v>1</v>
      </c>
      <c r="J217" s="680"/>
      <c r="K217" s="24">
        <f t="shared" si="37"/>
        <v>1</v>
      </c>
      <c r="L217" s="680"/>
      <c r="M217" s="24">
        <f t="shared" si="38"/>
        <v>1</v>
      </c>
      <c r="N217" s="680"/>
      <c r="O217" s="24">
        <f t="shared" si="39"/>
        <v>1</v>
      </c>
      <c r="P217" s="680"/>
      <c r="Q217" s="24">
        <f t="shared" si="40"/>
        <v>1</v>
      </c>
      <c r="R217" s="676">
        <f t="shared" si="41"/>
        <v>0</v>
      </c>
      <c r="S217" s="326">
        <f t="shared" si="42"/>
        <v>0</v>
      </c>
    </row>
    <row r="218" spans="1:19">
      <c r="A218" s="159"/>
      <c r="B218" s="59"/>
      <c r="C218" s="24">
        <f t="shared" ref="C218:C281" si="43">IF(B218="",1,(LOOKUP(B218,$3:$3,$4:$4)-LOOKUP($B$24,$3:$3,$4:$4)+100)/100)</f>
        <v>1</v>
      </c>
      <c r="D218" s="680"/>
      <c r="E218" s="24">
        <f t="shared" ref="E218:E281" si="44">(SUMIF($5:$5,D218,$6:$6)-SUMIF($5:$5,$D$24,$6:$6)+100)/100</f>
        <v>1</v>
      </c>
      <c r="F218" s="680"/>
      <c r="G218" s="24">
        <f t="shared" ref="G218:G281" si="45">(SUMIF($7:$7,F218,$8:$8)-SUMIF($7:$7,$F$24,$8:$8)+100)/100</f>
        <v>1</v>
      </c>
      <c r="H218" s="680"/>
      <c r="I218" s="24">
        <f t="shared" ref="I218:I281" si="46">(SUMIF($9:$9,H218,$10:$10)-SUMIF($9:$9,$H$24,$10:$10)+100)/100</f>
        <v>1</v>
      </c>
      <c r="J218" s="680"/>
      <c r="K218" s="24">
        <f t="shared" ref="K218:K281" si="47">(SUMIF($11:$11,J218,$12:$12)-SUMIF($11:$11,$J$24,$12:$12)+100)/100</f>
        <v>1</v>
      </c>
      <c r="L218" s="680"/>
      <c r="M218" s="24">
        <f t="shared" ref="M218:M281" si="48">(SUMIF($13:$13,L218,$14:$14)-SUMIF($13:$13,$L$24,$14:$14)+100)/100</f>
        <v>1</v>
      </c>
      <c r="N218" s="680"/>
      <c r="O218" s="24">
        <f t="shared" ref="O218:O281" si="49">(SUMIF($15:$15,N218,$16:$16)-SUMIF($15:$15,$N$24,$16:$16)+100)/100</f>
        <v>1</v>
      </c>
      <c r="P218" s="680"/>
      <c r="Q218" s="24">
        <f t="shared" ref="Q218:Q281" si="50">(SUMIF($17:$17,P218,$18:$18)-SUMIF($17:$17,$P$24,$18:$18)+100)/100</f>
        <v>1</v>
      </c>
      <c r="R218" s="676">
        <f t="shared" ref="R218:R281" si="51">IF(B218="",0,ROUND($R$24*C218*E218*G218*I218*K218*M218*O218*Q218,0))</f>
        <v>0</v>
      </c>
      <c r="S218" s="326">
        <f t="shared" si="42"/>
        <v>0</v>
      </c>
    </row>
    <row r="219" spans="1:19">
      <c r="A219" s="159"/>
      <c r="B219" s="59"/>
      <c r="C219" s="24">
        <f t="shared" si="43"/>
        <v>1</v>
      </c>
      <c r="D219" s="680"/>
      <c r="E219" s="24">
        <f t="shared" si="44"/>
        <v>1</v>
      </c>
      <c r="F219" s="680"/>
      <c r="G219" s="24">
        <f t="shared" si="45"/>
        <v>1</v>
      </c>
      <c r="H219" s="680"/>
      <c r="I219" s="24">
        <f t="shared" si="46"/>
        <v>1</v>
      </c>
      <c r="J219" s="680"/>
      <c r="K219" s="24">
        <f t="shared" si="47"/>
        <v>1</v>
      </c>
      <c r="L219" s="680"/>
      <c r="M219" s="24">
        <f t="shared" si="48"/>
        <v>1</v>
      </c>
      <c r="N219" s="680"/>
      <c r="O219" s="24">
        <f t="shared" si="49"/>
        <v>1</v>
      </c>
      <c r="P219" s="680"/>
      <c r="Q219" s="24">
        <f t="shared" si="50"/>
        <v>1</v>
      </c>
      <c r="R219" s="676">
        <f t="shared" si="51"/>
        <v>0</v>
      </c>
      <c r="S219" s="326">
        <f t="shared" si="42"/>
        <v>0</v>
      </c>
    </row>
    <row r="220" spans="1:19">
      <c r="A220" s="159"/>
      <c r="B220" s="59"/>
      <c r="C220" s="24">
        <f t="shared" si="43"/>
        <v>1</v>
      </c>
      <c r="D220" s="680"/>
      <c r="E220" s="24">
        <f t="shared" si="44"/>
        <v>1</v>
      </c>
      <c r="F220" s="680"/>
      <c r="G220" s="24">
        <f t="shared" si="45"/>
        <v>1</v>
      </c>
      <c r="H220" s="680"/>
      <c r="I220" s="24">
        <f t="shared" si="46"/>
        <v>1</v>
      </c>
      <c r="J220" s="680"/>
      <c r="K220" s="24">
        <f t="shared" si="47"/>
        <v>1</v>
      </c>
      <c r="L220" s="680"/>
      <c r="M220" s="24">
        <f t="shared" si="48"/>
        <v>1</v>
      </c>
      <c r="N220" s="680"/>
      <c r="O220" s="24">
        <f t="shared" si="49"/>
        <v>1</v>
      </c>
      <c r="P220" s="680"/>
      <c r="Q220" s="24">
        <f t="shared" si="50"/>
        <v>1</v>
      </c>
      <c r="R220" s="676">
        <f t="shared" si="51"/>
        <v>0</v>
      </c>
      <c r="S220" s="326">
        <f t="shared" si="42"/>
        <v>0</v>
      </c>
    </row>
    <row r="221" spans="1:19">
      <c r="A221" s="159"/>
      <c r="B221" s="59"/>
      <c r="C221" s="24">
        <f t="shared" si="43"/>
        <v>1</v>
      </c>
      <c r="D221" s="680"/>
      <c r="E221" s="24">
        <f t="shared" si="44"/>
        <v>1</v>
      </c>
      <c r="F221" s="680"/>
      <c r="G221" s="24">
        <f t="shared" si="45"/>
        <v>1</v>
      </c>
      <c r="H221" s="680"/>
      <c r="I221" s="24">
        <f t="shared" si="46"/>
        <v>1</v>
      </c>
      <c r="J221" s="680"/>
      <c r="K221" s="24">
        <f t="shared" si="47"/>
        <v>1</v>
      </c>
      <c r="L221" s="680"/>
      <c r="M221" s="24">
        <f t="shared" si="48"/>
        <v>1</v>
      </c>
      <c r="N221" s="680"/>
      <c r="O221" s="24">
        <f t="shared" si="49"/>
        <v>1</v>
      </c>
      <c r="P221" s="680"/>
      <c r="Q221" s="24">
        <f t="shared" si="50"/>
        <v>1</v>
      </c>
      <c r="R221" s="676">
        <f t="shared" si="51"/>
        <v>0</v>
      </c>
      <c r="S221" s="326">
        <f t="shared" si="42"/>
        <v>0</v>
      </c>
    </row>
    <row r="222" spans="1:19">
      <c r="A222" s="159"/>
      <c r="B222" s="59"/>
      <c r="C222" s="24">
        <f t="shared" si="43"/>
        <v>1</v>
      </c>
      <c r="D222" s="680"/>
      <c r="E222" s="24">
        <f t="shared" si="44"/>
        <v>1</v>
      </c>
      <c r="F222" s="680"/>
      <c r="G222" s="24">
        <f t="shared" si="45"/>
        <v>1</v>
      </c>
      <c r="H222" s="680"/>
      <c r="I222" s="24">
        <f t="shared" si="46"/>
        <v>1</v>
      </c>
      <c r="J222" s="680"/>
      <c r="K222" s="24">
        <f t="shared" si="47"/>
        <v>1</v>
      </c>
      <c r="L222" s="680"/>
      <c r="M222" s="24">
        <f t="shared" si="48"/>
        <v>1</v>
      </c>
      <c r="N222" s="680"/>
      <c r="O222" s="24">
        <f t="shared" si="49"/>
        <v>1</v>
      </c>
      <c r="P222" s="680"/>
      <c r="Q222" s="24">
        <f t="shared" si="50"/>
        <v>1</v>
      </c>
      <c r="R222" s="676">
        <f t="shared" si="51"/>
        <v>0</v>
      </c>
      <c r="S222" s="326">
        <f t="shared" si="42"/>
        <v>0</v>
      </c>
    </row>
    <row r="223" spans="1:19">
      <c r="A223" s="159"/>
      <c r="B223" s="59"/>
      <c r="C223" s="24">
        <f t="shared" si="43"/>
        <v>1</v>
      </c>
      <c r="D223" s="680"/>
      <c r="E223" s="24">
        <f t="shared" si="44"/>
        <v>1</v>
      </c>
      <c r="F223" s="680"/>
      <c r="G223" s="24">
        <f t="shared" si="45"/>
        <v>1</v>
      </c>
      <c r="H223" s="680"/>
      <c r="I223" s="24">
        <f t="shared" si="46"/>
        <v>1</v>
      </c>
      <c r="J223" s="680"/>
      <c r="K223" s="24">
        <f t="shared" si="47"/>
        <v>1</v>
      </c>
      <c r="L223" s="680"/>
      <c r="M223" s="24">
        <f t="shared" si="48"/>
        <v>1</v>
      </c>
      <c r="N223" s="680"/>
      <c r="O223" s="24">
        <f t="shared" si="49"/>
        <v>1</v>
      </c>
      <c r="P223" s="680"/>
      <c r="Q223" s="24">
        <f t="shared" si="50"/>
        <v>1</v>
      </c>
      <c r="R223" s="676">
        <f t="shared" si="51"/>
        <v>0</v>
      </c>
      <c r="S223" s="326">
        <f t="shared" ref="S223:S286" si="52">ROUND(R223*B223/10000,0)</f>
        <v>0</v>
      </c>
    </row>
    <row r="224" spans="1:19">
      <c r="A224" s="159"/>
      <c r="B224" s="59"/>
      <c r="C224" s="24">
        <f t="shared" si="43"/>
        <v>1</v>
      </c>
      <c r="D224" s="680"/>
      <c r="E224" s="24">
        <f t="shared" si="44"/>
        <v>1</v>
      </c>
      <c r="F224" s="680"/>
      <c r="G224" s="24">
        <f t="shared" si="45"/>
        <v>1</v>
      </c>
      <c r="H224" s="680"/>
      <c r="I224" s="24">
        <f t="shared" si="46"/>
        <v>1</v>
      </c>
      <c r="J224" s="680"/>
      <c r="K224" s="24">
        <f t="shared" si="47"/>
        <v>1</v>
      </c>
      <c r="L224" s="680"/>
      <c r="M224" s="24">
        <f t="shared" si="48"/>
        <v>1</v>
      </c>
      <c r="N224" s="680"/>
      <c r="O224" s="24">
        <f t="shared" si="49"/>
        <v>1</v>
      </c>
      <c r="P224" s="680"/>
      <c r="Q224" s="24">
        <f t="shared" si="50"/>
        <v>1</v>
      </c>
      <c r="R224" s="676">
        <f t="shared" si="51"/>
        <v>0</v>
      </c>
      <c r="S224" s="326">
        <f t="shared" si="52"/>
        <v>0</v>
      </c>
    </row>
    <row r="225" spans="1:19">
      <c r="A225" s="159"/>
      <c r="B225" s="59"/>
      <c r="C225" s="24">
        <f t="shared" si="43"/>
        <v>1</v>
      </c>
      <c r="D225" s="680"/>
      <c r="E225" s="24">
        <f t="shared" si="44"/>
        <v>1</v>
      </c>
      <c r="F225" s="680"/>
      <c r="G225" s="24">
        <f t="shared" si="45"/>
        <v>1</v>
      </c>
      <c r="H225" s="680"/>
      <c r="I225" s="24">
        <f t="shared" si="46"/>
        <v>1</v>
      </c>
      <c r="J225" s="680"/>
      <c r="K225" s="24">
        <f t="shared" si="47"/>
        <v>1</v>
      </c>
      <c r="L225" s="680"/>
      <c r="M225" s="24">
        <f t="shared" si="48"/>
        <v>1</v>
      </c>
      <c r="N225" s="680"/>
      <c r="O225" s="24">
        <f t="shared" si="49"/>
        <v>1</v>
      </c>
      <c r="P225" s="680"/>
      <c r="Q225" s="24">
        <f t="shared" si="50"/>
        <v>1</v>
      </c>
      <c r="R225" s="676">
        <f t="shared" si="51"/>
        <v>0</v>
      </c>
      <c r="S225" s="326">
        <f t="shared" si="52"/>
        <v>0</v>
      </c>
    </row>
    <row r="226" spans="1:19">
      <c r="A226" s="159"/>
      <c r="B226" s="59"/>
      <c r="C226" s="24">
        <f t="shared" si="43"/>
        <v>1</v>
      </c>
      <c r="D226" s="680"/>
      <c r="E226" s="24">
        <f t="shared" si="44"/>
        <v>1</v>
      </c>
      <c r="F226" s="680"/>
      <c r="G226" s="24">
        <f t="shared" si="45"/>
        <v>1</v>
      </c>
      <c r="H226" s="680"/>
      <c r="I226" s="24">
        <f t="shared" si="46"/>
        <v>1</v>
      </c>
      <c r="J226" s="680"/>
      <c r="K226" s="24">
        <f t="shared" si="47"/>
        <v>1</v>
      </c>
      <c r="L226" s="680"/>
      <c r="M226" s="24">
        <f t="shared" si="48"/>
        <v>1</v>
      </c>
      <c r="N226" s="680"/>
      <c r="O226" s="24">
        <f t="shared" si="49"/>
        <v>1</v>
      </c>
      <c r="P226" s="680"/>
      <c r="Q226" s="24">
        <f t="shared" si="50"/>
        <v>1</v>
      </c>
      <c r="R226" s="676">
        <f t="shared" si="51"/>
        <v>0</v>
      </c>
      <c r="S226" s="326">
        <f t="shared" si="52"/>
        <v>0</v>
      </c>
    </row>
    <row r="227" spans="1:19">
      <c r="A227" s="159"/>
      <c r="B227" s="59"/>
      <c r="C227" s="24">
        <f t="shared" si="43"/>
        <v>1</v>
      </c>
      <c r="D227" s="680"/>
      <c r="E227" s="24">
        <f t="shared" si="44"/>
        <v>1</v>
      </c>
      <c r="F227" s="680"/>
      <c r="G227" s="24">
        <f t="shared" si="45"/>
        <v>1</v>
      </c>
      <c r="H227" s="680"/>
      <c r="I227" s="24">
        <f t="shared" si="46"/>
        <v>1</v>
      </c>
      <c r="J227" s="680"/>
      <c r="K227" s="24">
        <f t="shared" si="47"/>
        <v>1</v>
      </c>
      <c r="L227" s="680"/>
      <c r="M227" s="24">
        <f t="shared" si="48"/>
        <v>1</v>
      </c>
      <c r="N227" s="680"/>
      <c r="O227" s="24">
        <f t="shared" si="49"/>
        <v>1</v>
      </c>
      <c r="P227" s="680"/>
      <c r="Q227" s="24">
        <f t="shared" si="50"/>
        <v>1</v>
      </c>
      <c r="R227" s="676">
        <f t="shared" si="51"/>
        <v>0</v>
      </c>
      <c r="S227" s="326">
        <f t="shared" si="52"/>
        <v>0</v>
      </c>
    </row>
    <row r="228" spans="1:19">
      <c r="A228" s="159"/>
      <c r="B228" s="59"/>
      <c r="C228" s="24">
        <f t="shared" si="43"/>
        <v>1</v>
      </c>
      <c r="D228" s="680"/>
      <c r="E228" s="24">
        <f t="shared" si="44"/>
        <v>1</v>
      </c>
      <c r="F228" s="680"/>
      <c r="G228" s="24">
        <f t="shared" si="45"/>
        <v>1</v>
      </c>
      <c r="H228" s="680"/>
      <c r="I228" s="24">
        <f t="shared" si="46"/>
        <v>1</v>
      </c>
      <c r="J228" s="680"/>
      <c r="K228" s="24">
        <f t="shared" si="47"/>
        <v>1</v>
      </c>
      <c r="L228" s="680"/>
      <c r="M228" s="24">
        <f t="shared" si="48"/>
        <v>1</v>
      </c>
      <c r="N228" s="680"/>
      <c r="O228" s="24">
        <f t="shared" si="49"/>
        <v>1</v>
      </c>
      <c r="P228" s="680"/>
      <c r="Q228" s="24">
        <f t="shared" si="50"/>
        <v>1</v>
      </c>
      <c r="R228" s="676">
        <f t="shared" si="51"/>
        <v>0</v>
      </c>
      <c r="S228" s="326">
        <f t="shared" si="52"/>
        <v>0</v>
      </c>
    </row>
    <row r="229" spans="1:19">
      <c r="A229" s="159"/>
      <c r="B229" s="59"/>
      <c r="C229" s="24">
        <f t="shared" si="43"/>
        <v>1</v>
      </c>
      <c r="D229" s="680"/>
      <c r="E229" s="24">
        <f t="shared" si="44"/>
        <v>1</v>
      </c>
      <c r="F229" s="680"/>
      <c r="G229" s="24">
        <f t="shared" si="45"/>
        <v>1</v>
      </c>
      <c r="H229" s="680"/>
      <c r="I229" s="24">
        <f t="shared" si="46"/>
        <v>1</v>
      </c>
      <c r="J229" s="680"/>
      <c r="K229" s="24">
        <f t="shared" si="47"/>
        <v>1</v>
      </c>
      <c r="L229" s="680"/>
      <c r="M229" s="24">
        <f t="shared" si="48"/>
        <v>1</v>
      </c>
      <c r="N229" s="680"/>
      <c r="O229" s="24">
        <f t="shared" si="49"/>
        <v>1</v>
      </c>
      <c r="P229" s="680"/>
      <c r="Q229" s="24">
        <f t="shared" si="50"/>
        <v>1</v>
      </c>
      <c r="R229" s="676">
        <f t="shared" si="51"/>
        <v>0</v>
      </c>
      <c r="S229" s="326">
        <f t="shared" si="52"/>
        <v>0</v>
      </c>
    </row>
    <row r="230" spans="1:19">
      <c r="A230" s="159"/>
      <c r="B230" s="59"/>
      <c r="C230" s="24">
        <f t="shared" si="43"/>
        <v>1</v>
      </c>
      <c r="D230" s="680"/>
      <c r="E230" s="24">
        <f t="shared" si="44"/>
        <v>1</v>
      </c>
      <c r="F230" s="680"/>
      <c r="G230" s="24">
        <f t="shared" si="45"/>
        <v>1</v>
      </c>
      <c r="H230" s="680"/>
      <c r="I230" s="24">
        <f t="shared" si="46"/>
        <v>1</v>
      </c>
      <c r="J230" s="680"/>
      <c r="K230" s="24">
        <f t="shared" si="47"/>
        <v>1</v>
      </c>
      <c r="L230" s="680"/>
      <c r="M230" s="24">
        <f t="shared" si="48"/>
        <v>1</v>
      </c>
      <c r="N230" s="680"/>
      <c r="O230" s="24">
        <f t="shared" si="49"/>
        <v>1</v>
      </c>
      <c r="P230" s="680"/>
      <c r="Q230" s="24">
        <f t="shared" si="50"/>
        <v>1</v>
      </c>
      <c r="R230" s="676">
        <f t="shared" si="51"/>
        <v>0</v>
      </c>
      <c r="S230" s="326">
        <f t="shared" si="52"/>
        <v>0</v>
      </c>
    </row>
    <row r="231" spans="1:19">
      <c r="A231" s="159"/>
      <c r="B231" s="59"/>
      <c r="C231" s="24">
        <f t="shared" si="43"/>
        <v>1</v>
      </c>
      <c r="D231" s="680"/>
      <c r="E231" s="24">
        <f t="shared" si="44"/>
        <v>1</v>
      </c>
      <c r="F231" s="680"/>
      <c r="G231" s="24">
        <f t="shared" si="45"/>
        <v>1</v>
      </c>
      <c r="H231" s="680"/>
      <c r="I231" s="24">
        <f t="shared" si="46"/>
        <v>1</v>
      </c>
      <c r="J231" s="680"/>
      <c r="K231" s="24">
        <f t="shared" si="47"/>
        <v>1</v>
      </c>
      <c r="L231" s="680"/>
      <c r="M231" s="24">
        <f t="shared" si="48"/>
        <v>1</v>
      </c>
      <c r="N231" s="680"/>
      <c r="O231" s="24">
        <f t="shared" si="49"/>
        <v>1</v>
      </c>
      <c r="P231" s="680"/>
      <c r="Q231" s="24">
        <f t="shared" si="50"/>
        <v>1</v>
      </c>
      <c r="R231" s="676">
        <f t="shared" si="51"/>
        <v>0</v>
      </c>
      <c r="S231" s="326">
        <f t="shared" si="52"/>
        <v>0</v>
      </c>
    </row>
    <row r="232" spans="1:19">
      <c r="A232" s="159"/>
      <c r="B232" s="59"/>
      <c r="C232" s="24">
        <f t="shared" si="43"/>
        <v>1</v>
      </c>
      <c r="D232" s="680"/>
      <c r="E232" s="24">
        <f t="shared" si="44"/>
        <v>1</v>
      </c>
      <c r="F232" s="680"/>
      <c r="G232" s="24">
        <f t="shared" si="45"/>
        <v>1</v>
      </c>
      <c r="H232" s="680"/>
      <c r="I232" s="24">
        <f t="shared" si="46"/>
        <v>1</v>
      </c>
      <c r="J232" s="680"/>
      <c r="K232" s="24">
        <f t="shared" si="47"/>
        <v>1</v>
      </c>
      <c r="L232" s="680"/>
      <c r="M232" s="24">
        <f t="shared" si="48"/>
        <v>1</v>
      </c>
      <c r="N232" s="680"/>
      <c r="O232" s="24">
        <f t="shared" si="49"/>
        <v>1</v>
      </c>
      <c r="P232" s="680"/>
      <c r="Q232" s="24">
        <f t="shared" si="50"/>
        <v>1</v>
      </c>
      <c r="R232" s="676">
        <f t="shared" si="51"/>
        <v>0</v>
      </c>
      <c r="S232" s="326">
        <f t="shared" si="52"/>
        <v>0</v>
      </c>
    </row>
    <row r="233" spans="1:19">
      <c r="A233" s="159"/>
      <c r="B233" s="59"/>
      <c r="C233" s="24">
        <f t="shared" si="43"/>
        <v>1</v>
      </c>
      <c r="D233" s="680"/>
      <c r="E233" s="24">
        <f t="shared" si="44"/>
        <v>1</v>
      </c>
      <c r="F233" s="680"/>
      <c r="G233" s="24">
        <f t="shared" si="45"/>
        <v>1</v>
      </c>
      <c r="H233" s="680"/>
      <c r="I233" s="24">
        <f t="shared" si="46"/>
        <v>1</v>
      </c>
      <c r="J233" s="680"/>
      <c r="K233" s="24">
        <f t="shared" si="47"/>
        <v>1</v>
      </c>
      <c r="L233" s="680"/>
      <c r="M233" s="24">
        <f t="shared" si="48"/>
        <v>1</v>
      </c>
      <c r="N233" s="680"/>
      <c r="O233" s="24">
        <f t="shared" si="49"/>
        <v>1</v>
      </c>
      <c r="P233" s="680"/>
      <c r="Q233" s="24">
        <f t="shared" si="50"/>
        <v>1</v>
      </c>
      <c r="R233" s="676">
        <f t="shared" si="51"/>
        <v>0</v>
      </c>
      <c r="S233" s="326">
        <f t="shared" si="52"/>
        <v>0</v>
      </c>
    </row>
    <row r="234" spans="1:19">
      <c r="A234" s="159"/>
      <c r="B234" s="59"/>
      <c r="C234" s="24">
        <f t="shared" si="43"/>
        <v>1</v>
      </c>
      <c r="D234" s="680"/>
      <c r="E234" s="24">
        <f t="shared" si="44"/>
        <v>1</v>
      </c>
      <c r="F234" s="680"/>
      <c r="G234" s="24">
        <f t="shared" si="45"/>
        <v>1</v>
      </c>
      <c r="H234" s="680"/>
      <c r="I234" s="24">
        <f t="shared" si="46"/>
        <v>1</v>
      </c>
      <c r="J234" s="680"/>
      <c r="K234" s="24">
        <f t="shared" si="47"/>
        <v>1</v>
      </c>
      <c r="L234" s="680"/>
      <c r="M234" s="24">
        <f t="shared" si="48"/>
        <v>1</v>
      </c>
      <c r="N234" s="680"/>
      <c r="O234" s="24">
        <f t="shared" si="49"/>
        <v>1</v>
      </c>
      <c r="P234" s="680"/>
      <c r="Q234" s="24">
        <f t="shared" si="50"/>
        <v>1</v>
      </c>
      <c r="R234" s="676">
        <f t="shared" si="51"/>
        <v>0</v>
      </c>
      <c r="S234" s="326">
        <f t="shared" si="52"/>
        <v>0</v>
      </c>
    </row>
    <row r="235" spans="1:19">
      <c r="A235" s="159"/>
      <c r="B235" s="59"/>
      <c r="C235" s="24">
        <f t="shared" si="43"/>
        <v>1</v>
      </c>
      <c r="D235" s="680"/>
      <c r="E235" s="24">
        <f t="shared" si="44"/>
        <v>1</v>
      </c>
      <c r="F235" s="680"/>
      <c r="G235" s="24">
        <f t="shared" si="45"/>
        <v>1</v>
      </c>
      <c r="H235" s="680"/>
      <c r="I235" s="24">
        <f t="shared" si="46"/>
        <v>1</v>
      </c>
      <c r="J235" s="680"/>
      <c r="K235" s="24">
        <f t="shared" si="47"/>
        <v>1</v>
      </c>
      <c r="L235" s="680"/>
      <c r="M235" s="24">
        <f t="shared" si="48"/>
        <v>1</v>
      </c>
      <c r="N235" s="680"/>
      <c r="O235" s="24">
        <f t="shared" si="49"/>
        <v>1</v>
      </c>
      <c r="P235" s="680"/>
      <c r="Q235" s="24">
        <f t="shared" si="50"/>
        <v>1</v>
      </c>
      <c r="R235" s="676">
        <f t="shared" si="51"/>
        <v>0</v>
      </c>
      <c r="S235" s="326">
        <f t="shared" si="52"/>
        <v>0</v>
      </c>
    </row>
    <row r="236" spans="1:19">
      <c r="A236" s="159"/>
      <c r="B236" s="59"/>
      <c r="C236" s="24">
        <f t="shared" si="43"/>
        <v>1</v>
      </c>
      <c r="D236" s="680"/>
      <c r="E236" s="24">
        <f t="shared" si="44"/>
        <v>1</v>
      </c>
      <c r="F236" s="680"/>
      <c r="G236" s="24">
        <f t="shared" si="45"/>
        <v>1</v>
      </c>
      <c r="H236" s="680"/>
      <c r="I236" s="24">
        <f t="shared" si="46"/>
        <v>1</v>
      </c>
      <c r="J236" s="680"/>
      <c r="K236" s="24">
        <f t="shared" si="47"/>
        <v>1</v>
      </c>
      <c r="L236" s="680"/>
      <c r="M236" s="24">
        <f t="shared" si="48"/>
        <v>1</v>
      </c>
      <c r="N236" s="680"/>
      <c r="O236" s="24">
        <f t="shared" si="49"/>
        <v>1</v>
      </c>
      <c r="P236" s="680"/>
      <c r="Q236" s="24">
        <f t="shared" si="50"/>
        <v>1</v>
      </c>
      <c r="R236" s="676">
        <f t="shared" si="51"/>
        <v>0</v>
      </c>
      <c r="S236" s="326">
        <f t="shared" si="52"/>
        <v>0</v>
      </c>
    </row>
    <row r="237" spans="1:19">
      <c r="A237" s="159"/>
      <c r="B237" s="59"/>
      <c r="C237" s="24">
        <f t="shared" si="43"/>
        <v>1</v>
      </c>
      <c r="D237" s="680"/>
      <c r="E237" s="24">
        <f t="shared" si="44"/>
        <v>1</v>
      </c>
      <c r="F237" s="680"/>
      <c r="G237" s="24">
        <f t="shared" si="45"/>
        <v>1</v>
      </c>
      <c r="H237" s="680"/>
      <c r="I237" s="24">
        <f t="shared" si="46"/>
        <v>1</v>
      </c>
      <c r="J237" s="680"/>
      <c r="K237" s="24">
        <f t="shared" si="47"/>
        <v>1</v>
      </c>
      <c r="L237" s="680"/>
      <c r="M237" s="24">
        <f t="shared" si="48"/>
        <v>1</v>
      </c>
      <c r="N237" s="680"/>
      <c r="O237" s="24">
        <f t="shared" si="49"/>
        <v>1</v>
      </c>
      <c r="P237" s="680"/>
      <c r="Q237" s="24">
        <f t="shared" si="50"/>
        <v>1</v>
      </c>
      <c r="R237" s="676">
        <f t="shared" si="51"/>
        <v>0</v>
      </c>
      <c r="S237" s="326">
        <f t="shared" si="52"/>
        <v>0</v>
      </c>
    </row>
    <row r="238" spans="1:19">
      <c r="A238" s="159"/>
      <c r="B238" s="59"/>
      <c r="C238" s="24">
        <f t="shared" si="43"/>
        <v>1</v>
      </c>
      <c r="D238" s="680"/>
      <c r="E238" s="24">
        <f t="shared" si="44"/>
        <v>1</v>
      </c>
      <c r="F238" s="680"/>
      <c r="G238" s="24">
        <f t="shared" si="45"/>
        <v>1</v>
      </c>
      <c r="H238" s="680"/>
      <c r="I238" s="24">
        <f t="shared" si="46"/>
        <v>1</v>
      </c>
      <c r="J238" s="680"/>
      <c r="K238" s="24">
        <f t="shared" si="47"/>
        <v>1</v>
      </c>
      <c r="L238" s="680"/>
      <c r="M238" s="24">
        <f t="shared" si="48"/>
        <v>1</v>
      </c>
      <c r="N238" s="680"/>
      <c r="O238" s="24">
        <f t="shared" si="49"/>
        <v>1</v>
      </c>
      <c r="P238" s="680"/>
      <c r="Q238" s="24">
        <f t="shared" si="50"/>
        <v>1</v>
      </c>
      <c r="R238" s="676">
        <f t="shared" si="51"/>
        <v>0</v>
      </c>
      <c r="S238" s="326">
        <f t="shared" si="52"/>
        <v>0</v>
      </c>
    </row>
    <row r="239" spans="1:19">
      <c r="A239" s="159"/>
      <c r="B239" s="59"/>
      <c r="C239" s="24">
        <f t="shared" si="43"/>
        <v>1</v>
      </c>
      <c r="D239" s="680"/>
      <c r="E239" s="24">
        <f t="shared" si="44"/>
        <v>1</v>
      </c>
      <c r="F239" s="680"/>
      <c r="G239" s="24">
        <f t="shared" si="45"/>
        <v>1</v>
      </c>
      <c r="H239" s="680"/>
      <c r="I239" s="24">
        <f t="shared" si="46"/>
        <v>1</v>
      </c>
      <c r="J239" s="680"/>
      <c r="K239" s="24">
        <f t="shared" si="47"/>
        <v>1</v>
      </c>
      <c r="L239" s="680"/>
      <c r="M239" s="24">
        <f t="shared" si="48"/>
        <v>1</v>
      </c>
      <c r="N239" s="680"/>
      <c r="O239" s="24">
        <f t="shared" si="49"/>
        <v>1</v>
      </c>
      <c r="P239" s="680"/>
      <c r="Q239" s="24">
        <f t="shared" si="50"/>
        <v>1</v>
      </c>
      <c r="R239" s="676">
        <f t="shared" si="51"/>
        <v>0</v>
      </c>
      <c r="S239" s="326">
        <f t="shared" si="52"/>
        <v>0</v>
      </c>
    </row>
    <row r="240" spans="1:19">
      <c r="A240" s="159"/>
      <c r="B240" s="59"/>
      <c r="C240" s="24">
        <f t="shared" si="43"/>
        <v>1</v>
      </c>
      <c r="D240" s="680"/>
      <c r="E240" s="24">
        <f t="shared" si="44"/>
        <v>1</v>
      </c>
      <c r="F240" s="680"/>
      <c r="G240" s="24">
        <f t="shared" si="45"/>
        <v>1</v>
      </c>
      <c r="H240" s="680"/>
      <c r="I240" s="24">
        <f t="shared" si="46"/>
        <v>1</v>
      </c>
      <c r="J240" s="680"/>
      <c r="K240" s="24">
        <f t="shared" si="47"/>
        <v>1</v>
      </c>
      <c r="L240" s="680"/>
      <c r="M240" s="24">
        <f t="shared" si="48"/>
        <v>1</v>
      </c>
      <c r="N240" s="680"/>
      <c r="O240" s="24">
        <f t="shared" si="49"/>
        <v>1</v>
      </c>
      <c r="P240" s="680"/>
      <c r="Q240" s="24">
        <f t="shared" si="50"/>
        <v>1</v>
      </c>
      <c r="R240" s="676">
        <f t="shared" si="51"/>
        <v>0</v>
      </c>
      <c r="S240" s="326">
        <f t="shared" si="52"/>
        <v>0</v>
      </c>
    </row>
    <row r="241" spans="1:19">
      <c r="A241" s="159"/>
      <c r="B241" s="59"/>
      <c r="C241" s="24">
        <f t="shared" si="43"/>
        <v>1</v>
      </c>
      <c r="D241" s="680"/>
      <c r="E241" s="24">
        <f t="shared" si="44"/>
        <v>1</v>
      </c>
      <c r="F241" s="680"/>
      <c r="G241" s="24">
        <f t="shared" si="45"/>
        <v>1</v>
      </c>
      <c r="H241" s="680"/>
      <c r="I241" s="24">
        <f t="shared" si="46"/>
        <v>1</v>
      </c>
      <c r="J241" s="680"/>
      <c r="K241" s="24">
        <f t="shared" si="47"/>
        <v>1</v>
      </c>
      <c r="L241" s="680"/>
      <c r="M241" s="24">
        <f t="shared" si="48"/>
        <v>1</v>
      </c>
      <c r="N241" s="680"/>
      <c r="O241" s="24">
        <f t="shared" si="49"/>
        <v>1</v>
      </c>
      <c r="P241" s="680"/>
      <c r="Q241" s="24">
        <f t="shared" si="50"/>
        <v>1</v>
      </c>
      <c r="R241" s="676">
        <f t="shared" si="51"/>
        <v>0</v>
      </c>
      <c r="S241" s="326">
        <f t="shared" si="52"/>
        <v>0</v>
      </c>
    </row>
    <row r="242" spans="1:19">
      <c r="A242" s="159"/>
      <c r="B242" s="59"/>
      <c r="C242" s="24">
        <f t="shared" si="43"/>
        <v>1</v>
      </c>
      <c r="D242" s="680"/>
      <c r="E242" s="24">
        <f t="shared" si="44"/>
        <v>1</v>
      </c>
      <c r="F242" s="680"/>
      <c r="G242" s="24">
        <f t="shared" si="45"/>
        <v>1</v>
      </c>
      <c r="H242" s="680"/>
      <c r="I242" s="24">
        <f t="shared" si="46"/>
        <v>1</v>
      </c>
      <c r="J242" s="680"/>
      <c r="K242" s="24">
        <f t="shared" si="47"/>
        <v>1</v>
      </c>
      <c r="L242" s="680"/>
      <c r="M242" s="24">
        <f t="shared" si="48"/>
        <v>1</v>
      </c>
      <c r="N242" s="680"/>
      <c r="O242" s="24">
        <f t="shared" si="49"/>
        <v>1</v>
      </c>
      <c r="P242" s="680"/>
      <c r="Q242" s="24">
        <f t="shared" si="50"/>
        <v>1</v>
      </c>
      <c r="R242" s="676">
        <f t="shared" si="51"/>
        <v>0</v>
      </c>
      <c r="S242" s="326">
        <f t="shared" si="52"/>
        <v>0</v>
      </c>
    </row>
    <row r="243" spans="1:19">
      <c r="A243" s="159"/>
      <c r="B243" s="59"/>
      <c r="C243" s="24">
        <f t="shared" si="43"/>
        <v>1</v>
      </c>
      <c r="D243" s="680"/>
      <c r="E243" s="24">
        <f t="shared" si="44"/>
        <v>1</v>
      </c>
      <c r="F243" s="680"/>
      <c r="G243" s="24">
        <f t="shared" si="45"/>
        <v>1</v>
      </c>
      <c r="H243" s="680"/>
      <c r="I243" s="24">
        <f t="shared" si="46"/>
        <v>1</v>
      </c>
      <c r="J243" s="680"/>
      <c r="K243" s="24">
        <f t="shared" si="47"/>
        <v>1</v>
      </c>
      <c r="L243" s="680"/>
      <c r="M243" s="24">
        <f t="shared" si="48"/>
        <v>1</v>
      </c>
      <c r="N243" s="680"/>
      <c r="O243" s="24">
        <f t="shared" si="49"/>
        <v>1</v>
      </c>
      <c r="P243" s="680"/>
      <c r="Q243" s="24">
        <f t="shared" si="50"/>
        <v>1</v>
      </c>
      <c r="R243" s="676">
        <f t="shared" si="51"/>
        <v>0</v>
      </c>
      <c r="S243" s="326">
        <f t="shared" si="52"/>
        <v>0</v>
      </c>
    </row>
    <row r="244" spans="1:19">
      <c r="A244" s="159"/>
      <c r="B244" s="59"/>
      <c r="C244" s="24">
        <f t="shared" si="43"/>
        <v>1</v>
      </c>
      <c r="D244" s="680"/>
      <c r="E244" s="24">
        <f t="shared" si="44"/>
        <v>1</v>
      </c>
      <c r="F244" s="680"/>
      <c r="G244" s="24">
        <f t="shared" si="45"/>
        <v>1</v>
      </c>
      <c r="H244" s="680"/>
      <c r="I244" s="24">
        <f t="shared" si="46"/>
        <v>1</v>
      </c>
      <c r="J244" s="680"/>
      <c r="K244" s="24">
        <f t="shared" si="47"/>
        <v>1</v>
      </c>
      <c r="L244" s="680"/>
      <c r="M244" s="24">
        <f t="shared" si="48"/>
        <v>1</v>
      </c>
      <c r="N244" s="680"/>
      <c r="O244" s="24">
        <f t="shared" si="49"/>
        <v>1</v>
      </c>
      <c r="P244" s="680"/>
      <c r="Q244" s="24">
        <f t="shared" si="50"/>
        <v>1</v>
      </c>
      <c r="R244" s="676">
        <f t="shared" si="51"/>
        <v>0</v>
      </c>
      <c r="S244" s="326">
        <f t="shared" si="52"/>
        <v>0</v>
      </c>
    </row>
    <row r="245" spans="1:19">
      <c r="A245" s="159"/>
      <c r="B245" s="59"/>
      <c r="C245" s="24">
        <f t="shared" si="43"/>
        <v>1</v>
      </c>
      <c r="D245" s="680"/>
      <c r="E245" s="24">
        <f t="shared" si="44"/>
        <v>1</v>
      </c>
      <c r="F245" s="680"/>
      <c r="G245" s="24">
        <f t="shared" si="45"/>
        <v>1</v>
      </c>
      <c r="H245" s="680"/>
      <c r="I245" s="24">
        <f t="shared" si="46"/>
        <v>1</v>
      </c>
      <c r="J245" s="680"/>
      <c r="K245" s="24">
        <f t="shared" si="47"/>
        <v>1</v>
      </c>
      <c r="L245" s="680"/>
      <c r="M245" s="24">
        <f t="shared" si="48"/>
        <v>1</v>
      </c>
      <c r="N245" s="680"/>
      <c r="O245" s="24">
        <f t="shared" si="49"/>
        <v>1</v>
      </c>
      <c r="P245" s="680"/>
      <c r="Q245" s="24">
        <f t="shared" si="50"/>
        <v>1</v>
      </c>
      <c r="R245" s="676">
        <f t="shared" si="51"/>
        <v>0</v>
      </c>
      <c r="S245" s="326">
        <f t="shared" si="52"/>
        <v>0</v>
      </c>
    </row>
    <row r="246" spans="1:19">
      <c r="A246" s="159"/>
      <c r="B246" s="59"/>
      <c r="C246" s="24">
        <f t="shared" si="43"/>
        <v>1</v>
      </c>
      <c r="D246" s="680"/>
      <c r="E246" s="24">
        <f t="shared" si="44"/>
        <v>1</v>
      </c>
      <c r="F246" s="680"/>
      <c r="G246" s="24">
        <f t="shared" si="45"/>
        <v>1</v>
      </c>
      <c r="H246" s="680"/>
      <c r="I246" s="24">
        <f t="shared" si="46"/>
        <v>1</v>
      </c>
      <c r="J246" s="680"/>
      <c r="K246" s="24">
        <f t="shared" si="47"/>
        <v>1</v>
      </c>
      <c r="L246" s="680"/>
      <c r="M246" s="24">
        <f t="shared" si="48"/>
        <v>1</v>
      </c>
      <c r="N246" s="680"/>
      <c r="O246" s="24">
        <f t="shared" si="49"/>
        <v>1</v>
      </c>
      <c r="P246" s="680"/>
      <c r="Q246" s="24">
        <f t="shared" si="50"/>
        <v>1</v>
      </c>
      <c r="R246" s="676">
        <f t="shared" si="51"/>
        <v>0</v>
      </c>
      <c r="S246" s="326">
        <f t="shared" si="52"/>
        <v>0</v>
      </c>
    </row>
    <row r="247" spans="1:19">
      <c r="A247" s="159"/>
      <c r="B247" s="59"/>
      <c r="C247" s="24">
        <f t="shared" si="43"/>
        <v>1</v>
      </c>
      <c r="D247" s="680"/>
      <c r="E247" s="24">
        <f t="shared" si="44"/>
        <v>1</v>
      </c>
      <c r="F247" s="680"/>
      <c r="G247" s="24">
        <f t="shared" si="45"/>
        <v>1</v>
      </c>
      <c r="H247" s="680"/>
      <c r="I247" s="24">
        <f t="shared" si="46"/>
        <v>1</v>
      </c>
      <c r="J247" s="680"/>
      <c r="K247" s="24">
        <f t="shared" si="47"/>
        <v>1</v>
      </c>
      <c r="L247" s="680"/>
      <c r="M247" s="24">
        <f t="shared" si="48"/>
        <v>1</v>
      </c>
      <c r="N247" s="680"/>
      <c r="O247" s="24">
        <f t="shared" si="49"/>
        <v>1</v>
      </c>
      <c r="P247" s="680"/>
      <c r="Q247" s="24">
        <f t="shared" si="50"/>
        <v>1</v>
      </c>
      <c r="R247" s="676">
        <f t="shared" si="51"/>
        <v>0</v>
      </c>
      <c r="S247" s="326">
        <f t="shared" si="52"/>
        <v>0</v>
      </c>
    </row>
    <row r="248" spans="1:19">
      <c r="A248" s="159"/>
      <c r="B248" s="59"/>
      <c r="C248" s="24">
        <f t="shared" si="43"/>
        <v>1</v>
      </c>
      <c r="D248" s="680"/>
      <c r="E248" s="24">
        <f t="shared" si="44"/>
        <v>1</v>
      </c>
      <c r="F248" s="680"/>
      <c r="G248" s="24">
        <f t="shared" si="45"/>
        <v>1</v>
      </c>
      <c r="H248" s="680"/>
      <c r="I248" s="24">
        <f t="shared" si="46"/>
        <v>1</v>
      </c>
      <c r="J248" s="680"/>
      <c r="K248" s="24">
        <f t="shared" si="47"/>
        <v>1</v>
      </c>
      <c r="L248" s="680"/>
      <c r="M248" s="24">
        <f t="shared" si="48"/>
        <v>1</v>
      </c>
      <c r="N248" s="680"/>
      <c r="O248" s="24">
        <f t="shared" si="49"/>
        <v>1</v>
      </c>
      <c r="P248" s="680"/>
      <c r="Q248" s="24">
        <f t="shared" si="50"/>
        <v>1</v>
      </c>
      <c r="R248" s="676">
        <f t="shared" si="51"/>
        <v>0</v>
      </c>
      <c r="S248" s="326">
        <f t="shared" si="52"/>
        <v>0</v>
      </c>
    </row>
    <row r="249" spans="1:19">
      <c r="A249" s="159"/>
      <c r="B249" s="59"/>
      <c r="C249" s="24">
        <f t="shared" si="43"/>
        <v>1</v>
      </c>
      <c r="D249" s="680"/>
      <c r="E249" s="24">
        <f t="shared" si="44"/>
        <v>1</v>
      </c>
      <c r="F249" s="680"/>
      <c r="G249" s="24">
        <f t="shared" si="45"/>
        <v>1</v>
      </c>
      <c r="H249" s="680"/>
      <c r="I249" s="24">
        <f t="shared" si="46"/>
        <v>1</v>
      </c>
      <c r="J249" s="680"/>
      <c r="K249" s="24">
        <f t="shared" si="47"/>
        <v>1</v>
      </c>
      <c r="L249" s="680"/>
      <c r="M249" s="24">
        <f t="shared" si="48"/>
        <v>1</v>
      </c>
      <c r="N249" s="680"/>
      <c r="O249" s="24">
        <f t="shared" si="49"/>
        <v>1</v>
      </c>
      <c r="P249" s="680"/>
      <c r="Q249" s="24">
        <f t="shared" si="50"/>
        <v>1</v>
      </c>
      <c r="R249" s="676">
        <f t="shared" si="51"/>
        <v>0</v>
      </c>
      <c r="S249" s="326">
        <f t="shared" si="52"/>
        <v>0</v>
      </c>
    </row>
    <row r="250" spans="1:19">
      <c r="A250" s="159"/>
      <c r="B250" s="59"/>
      <c r="C250" s="24">
        <f t="shared" si="43"/>
        <v>1</v>
      </c>
      <c r="D250" s="680"/>
      <c r="E250" s="24">
        <f t="shared" si="44"/>
        <v>1</v>
      </c>
      <c r="F250" s="680"/>
      <c r="G250" s="24">
        <f t="shared" si="45"/>
        <v>1</v>
      </c>
      <c r="H250" s="680"/>
      <c r="I250" s="24">
        <f t="shared" si="46"/>
        <v>1</v>
      </c>
      <c r="J250" s="680"/>
      <c r="K250" s="24">
        <f t="shared" si="47"/>
        <v>1</v>
      </c>
      <c r="L250" s="680"/>
      <c r="M250" s="24">
        <f t="shared" si="48"/>
        <v>1</v>
      </c>
      <c r="N250" s="680"/>
      <c r="O250" s="24">
        <f t="shared" si="49"/>
        <v>1</v>
      </c>
      <c r="P250" s="680"/>
      <c r="Q250" s="24">
        <f t="shared" si="50"/>
        <v>1</v>
      </c>
      <c r="R250" s="676">
        <f t="shared" si="51"/>
        <v>0</v>
      </c>
      <c r="S250" s="326">
        <f t="shared" si="52"/>
        <v>0</v>
      </c>
    </row>
    <row r="251" spans="1:19">
      <c r="A251" s="159"/>
      <c r="B251" s="59"/>
      <c r="C251" s="24">
        <f t="shared" si="43"/>
        <v>1</v>
      </c>
      <c r="D251" s="680"/>
      <c r="E251" s="24">
        <f t="shared" si="44"/>
        <v>1</v>
      </c>
      <c r="F251" s="680"/>
      <c r="G251" s="24">
        <f t="shared" si="45"/>
        <v>1</v>
      </c>
      <c r="H251" s="680"/>
      <c r="I251" s="24">
        <f t="shared" si="46"/>
        <v>1</v>
      </c>
      <c r="J251" s="680"/>
      <c r="K251" s="24">
        <f t="shared" si="47"/>
        <v>1</v>
      </c>
      <c r="L251" s="680"/>
      <c r="M251" s="24">
        <f t="shared" si="48"/>
        <v>1</v>
      </c>
      <c r="N251" s="680"/>
      <c r="O251" s="24">
        <f t="shared" si="49"/>
        <v>1</v>
      </c>
      <c r="P251" s="680"/>
      <c r="Q251" s="24">
        <f t="shared" si="50"/>
        <v>1</v>
      </c>
      <c r="R251" s="676">
        <f t="shared" si="51"/>
        <v>0</v>
      </c>
      <c r="S251" s="326">
        <f t="shared" si="52"/>
        <v>0</v>
      </c>
    </row>
    <row r="252" spans="1:19">
      <c r="A252" s="159"/>
      <c r="B252" s="59"/>
      <c r="C252" s="24">
        <f t="shared" si="43"/>
        <v>1</v>
      </c>
      <c r="D252" s="680"/>
      <c r="E252" s="24">
        <f t="shared" si="44"/>
        <v>1</v>
      </c>
      <c r="F252" s="680"/>
      <c r="G252" s="24">
        <f t="shared" si="45"/>
        <v>1</v>
      </c>
      <c r="H252" s="680"/>
      <c r="I252" s="24">
        <f t="shared" si="46"/>
        <v>1</v>
      </c>
      <c r="J252" s="680"/>
      <c r="K252" s="24">
        <f t="shared" si="47"/>
        <v>1</v>
      </c>
      <c r="L252" s="680"/>
      <c r="M252" s="24">
        <f t="shared" si="48"/>
        <v>1</v>
      </c>
      <c r="N252" s="680"/>
      <c r="O252" s="24">
        <f t="shared" si="49"/>
        <v>1</v>
      </c>
      <c r="P252" s="680"/>
      <c r="Q252" s="24">
        <f t="shared" si="50"/>
        <v>1</v>
      </c>
      <c r="R252" s="676">
        <f t="shared" si="51"/>
        <v>0</v>
      </c>
      <c r="S252" s="326">
        <f t="shared" si="52"/>
        <v>0</v>
      </c>
    </row>
    <row r="253" spans="1:19">
      <c r="A253" s="159"/>
      <c r="B253" s="59"/>
      <c r="C253" s="24">
        <f t="shared" si="43"/>
        <v>1</v>
      </c>
      <c r="D253" s="680"/>
      <c r="E253" s="24">
        <f t="shared" si="44"/>
        <v>1</v>
      </c>
      <c r="F253" s="680"/>
      <c r="G253" s="24">
        <f t="shared" si="45"/>
        <v>1</v>
      </c>
      <c r="H253" s="680"/>
      <c r="I253" s="24">
        <f t="shared" si="46"/>
        <v>1</v>
      </c>
      <c r="J253" s="680"/>
      <c r="K253" s="24">
        <f t="shared" si="47"/>
        <v>1</v>
      </c>
      <c r="L253" s="680"/>
      <c r="M253" s="24">
        <f t="shared" si="48"/>
        <v>1</v>
      </c>
      <c r="N253" s="680"/>
      <c r="O253" s="24">
        <f t="shared" si="49"/>
        <v>1</v>
      </c>
      <c r="P253" s="680"/>
      <c r="Q253" s="24">
        <f t="shared" si="50"/>
        <v>1</v>
      </c>
      <c r="R253" s="676">
        <f t="shared" si="51"/>
        <v>0</v>
      </c>
      <c r="S253" s="326">
        <f t="shared" si="52"/>
        <v>0</v>
      </c>
    </row>
    <row r="254" spans="1:19">
      <c r="A254" s="159"/>
      <c r="B254" s="59"/>
      <c r="C254" s="24">
        <f t="shared" si="43"/>
        <v>1</v>
      </c>
      <c r="D254" s="680"/>
      <c r="E254" s="24">
        <f t="shared" si="44"/>
        <v>1</v>
      </c>
      <c r="F254" s="680"/>
      <c r="G254" s="24">
        <f t="shared" si="45"/>
        <v>1</v>
      </c>
      <c r="H254" s="680"/>
      <c r="I254" s="24">
        <f t="shared" si="46"/>
        <v>1</v>
      </c>
      <c r="J254" s="680"/>
      <c r="K254" s="24">
        <f t="shared" si="47"/>
        <v>1</v>
      </c>
      <c r="L254" s="680"/>
      <c r="M254" s="24">
        <f t="shared" si="48"/>
        <v>1</v>
      </c>
      <c r="N254" s="680"/>
      <c r="O254" s="24">
        <f t="shared" si="49"/>
        <v>1</v>
      </c>
      <c r="P254" s="680"/>
      <c r="Q254" s="24">
        <f t="shared" si="50"/>
        <v>1</v>
      </c>
      <c r="R254" s="676">
        <f t="shared" si="51"/>
        <v>0</v>
      </c>
      <c r="S254" s="326">
        <f t="shared" si="52"/>
        <v>0</v>
      </c>
    </row>
    <row r="255" spans="1:19">
      <c r="A255" s="159"/>
      <c r="B255" s="59"/>
      <c r="C255" s="24">
        <f t="shared" si="43"/>
        <v>1</v>
      </c>
      <c r="D255" s="680"/>
      <c r="E255" s="24">
        <f t="shared" si="44"/>
        <v>1</v>
      </c>
      <c r="F255" s="680"/>
      <c r="G255" s="24">
        <f t="shared" si="45"/>
        <v>1</v>
      </c>
      <c r="H255" s="680"/>
      <c r="I255" s="24">
        <f t="shared" si="46"/>
        <v>1</v>
      </c>
      <c r="J255" s="680"/>
      <c r="K255" s="24">
        <f t="shared" si="47"/>
        <v>1</v>
      </c>
      <c r="L255" s="680"/>
      <c r="M255" s="24">
        <f t="shared" si="48"/>
        <v>1</v>
      </c>
      <c r="N255" s="680"/>
      <c r="O255" s="24">
        <f t="shared" si="49"/>
        <v>1</v>
      </c>
      <c r="P255" s="680"/>
      <c r="Q255" s="24">
        <f t="shared" si="50"/>
        <v>1</v>
      </c>
      <c r="R255" s="676">
        <f t="shared" si="51"/>
        <v>0</v>
      </c>
      <c r="S255" s="326">
        <f t="shared" si="52"/>
        <v>0</v>
      </c>
    </row>
    <row r="256" spans="1:19">
      <c r="A256" s="159"/>
      <c r="B256" s="59"/>
      <c r="C256" s="24">
        <f t="shared" si="43"/>
        <v>1</v>
      </c>
      <c r="D256" s="680"/>
      <c r="E256" s="24">
        <f t="shared" si="44"/>
        <v>1</v>
      </c>
      <c r="F256" s="680"/>
      <c r="G256" s="24">
        <f t="shared" si="45"/>
        <v>1</v>
      </c>
      <c r="H256" s="680"/>
      <c r="I256" s="24">
        <f t="shared" si="46"/>
        <v>1</v>
      </c>
      <c r="J256" s="680"/>
      <c r="K256" s="24">
        <f t="shared" si="47"/>
        <v>1</v>
      </c>
      <c r="L256" s="680"/>
      <c r="M256" s="24">
        <f t="shared" si="48"/>
        <v>1</v>
      </c>
      <c r="N256" s="680"/>
      <c r="O256" s="24">
        <f t="shared" si="49"/>
        <v>1</v>
      </c>
      <c r="P256" s="680"/>
      <c r="Q256" s="24">
        <f t="shared" si="50"/>
        <v>1</v>
      </c>
      <c r="R256" s="676">
        <f t="shared" si="51"/>
        <v>0</v>
      </c>
      <c r="S256" s="326">
        <f t="shared" si="52"/>
        <v>0</v>
      </c>
    </row>
    <row r="257" spans="1:19">
      <c r="A257" s="159"/>
      <c r="B257" s="59"/>
      <c r="C257" s="24">
        <f t="shared" si="43"/>
        <v>1</v>
      </c>
      <c r="D257" s="680"/>
      <c r="E257" s="24">
        <f t="shared" si="44"/>
        <v>1</v>
      </c>
      <c r="F257" s="680"/>
      <c r="G257" s="24">
        <f t="shared" si="45"/>
        <v>1</v>
      </c>
      <c r="H257" s="680"/>
      <c r="I257" s="24">
        <f t="shared" si="46"/>
        <v>1</v>
      </c>
      <c r="J257" s="680"/>
      <c r="K257" s="24">
        <f t="shared" si="47"/>
        <v>1</v>
      </c>
      <c r="L257" s="680"/>
      <c r="M257" s="24">
        <f t="shared" si="48"/>
        <v>1</v>
      </c>
      <c r="N257" s="680"/>
      <c r="O257" s="24">
        <f t="shared" si="49"/>
        <v>1</v>
      </c>
      <c r="P257" s="680"/>
      <c r="Q257" s="24">
        <f t="shared" si="50"/>
        <v>1</v>
      </c>
      <c r="R257" s="676">
        <f t="shared" si="51"/>
        <v>0</v>
      </c>
      <c r="S257" s="326">
        <f t="shared" si="52"/>
        <v>0</v>
      </c>
    </row>
    <row r="258" spans="1:19">
      <c r="A258" s="159"/>
      <c r="B258" s="59"/>
      <c r="C258" s="24">
        <f t="shared" si="43"/>
        <v>1</v>
      </c>
      <c r="D258" s="680"/>
      <c r="E258" s="24">
        <f t="shared" si="44"/>
        <v>1</v>
      </c>
      <c r="F258" s="680"/>
      <c r="G258" s="24">
        <f t="shared" si="45"/>
        <v>1</v>
      </c>
      <c r="H258" s="680"/>
      <c r="I258" s="24">
        <f t="shared" si="46"/>
        <v>1</v>
      </c>
      <c r="J258" s="680"/>
      <c r="K258" s="24">
        <f t="shared" si="47"/>
        <v>1</v>
      </c>
      <c r="L258" s="680"/>
      <c r="M258" s="24">
        <f t="shared" si="48"/>
        <v>1</v>
      </c>
      <c r="N258" s="680"/>
      <c r="O258" s="24">
        <f t="shared" si="49"/>
        <v>1</v>
      </c>
      <c r="P258" s="680"/>
      <c r="Q258" s="24">
        <f t="shared" si="50"/>
        <v>1</v>
      </c>
      <c r="R258" s="676">
        <f t="shared" si="51"/>
        <v>0</v>
      </c>
      <c r="S258" s="326">
        <f t="shared" si="52"/>
        <v>0</v>
      </c>
    </row>
    <row r="259" spans="1:19">
      <c r="A259" s="159"/>
      <c r="B259" s="59"/>
      <c r="C259" s="24">
        <f t="shared" si="43"/>
        <v>1</v>
      </c>
      <c r="D259" s="680"/>
      <c r="E259" s="24">
        <f t="shared" si="44"/>
        <v>1</v>
      </c>
      <c r="F259" s="680"/>
      <c r="G259" s="24">
        <f t="shared" si="45"/>
        <v>1</v>
      </c>
      <c r="H259" s="680"/>
      <c r="I259" s="24">
        <f t="shared" si="46"/>
        <v>1</v>
      </c>
      <c r="J259" s="680"/>
      <c r="K259" s="24">
        <f t="shared" si="47"/>
        <v>1</v>
      </c>
      <c r="L259" s="680"/>
      <c r="M259" s="24">
        <f t="shared" si="48"/>
        <v>1</v>
      </c>
      <c r="N259" s="680"/>
      <c r="O259" s="24">
        <f t="shared" si="49"/>
        <v>1</v>
      </c>
      <c r="P259" s="680"/>
      <c r="Q259" s="24">
        <f t="shared" si="50"/>
        <v>1</v>
      </c>
      <c r="R259" s="676">
        <f t="shared" si="51"/>
        <v>0</v>
      </c>
      <c r="S259" s="326">
        <f t="shared" si="52"/>
        <v>0</v>
      </c>
    </row>
    <row r="260" spans="1:19">
      <c r="A260" s="159"/>
      <c r="B260" s="59"/>
      <c r="C260" s="24">
        <f t="shared" si="43"/>
        <v>1</v>
      </c>
      <c r="D260" s="680"/>
      <c r="E260" s="24">
        <f t="shared" si="44"/>
        <v>1</v>
      </c>
      <c r="F260" s="680"/>
      <c r="G260" s="24">
        <f t="shared" si="45"/>
        <v>1</v>
      </c>
      <c r="H260" s="680"/>
      <c r="I260" s="24">
        <f t="shared" si="46"/>
        <v>1</v>
      </c>
      <c r="J260" s="680"/>
      <c r="K260" s="24">
        <f t="shared" si="47"/>
        <v>1</v>
      </c>
      <c r="L260" s="680"/>
      <c r="M260" s="24">
        <f t="shared" si="48"/>
        <v>1</v>
      </c>
      <c r="N260" s="680"/>
      <c r="O260" s="24">
        <f t="shared" si="49"/>
        <v>1</v>
      </c>
      <c r="P260" s="680"/>
      <c r="Q260" s="24">
        <f t="shared" si="50"/>
        <v>1</v>
      </c>
      <c r="R260" s="676">
        <f t="shared" si="51"/>
        <v>0</v>
      </c>
      <c r="S260" s="326">
        <f t="shared" si="52"/>
        <v>0</v>
      </c>
    </row>
    <row r="261" spans="1:19">
      <c r="A261" s="159"/>
      <c r="B261" s="59"/>
      <c r="C261" s="24">
        <f t="shared" si="43"/>
        <v>1</v>
      </c>
      <c r="D261" s="680"/>
      <c r="E261" s="24">
        <f t="shared" si="44"/>
        <v>1</v>
      </c>
      <c r="F261" s="680"/>
      <c r="G261" s="24">
        <f t="shared" si="45"/>
        <v>1</v>
      </c>
      <c r="H261" s="680"/>
      <c r="I261" s="24">
        <f t="shared" si="46"/>
        <v>1</v>
      </c>
      <c r="J261" s="680"/>
      <c r="K261" s="24">
        <f t="shared" si="47"/>
        <v>1</v>
      </c>
      <c r="L261" s="680"/>
      <c r="M261" s="24">
        <f t="shared" si="48"/>
        <v>1</v>
      </c>
      <c r="N261" s="680"/>
      <c r="O261" s="24">
        <f t="shared" si="49"/>
        <v>1</v>
      </c>
      <c r="P261" s="680"/>
      <c r="Q261" s="24">
        <f t="shared" si="50"/>
        <v>1</v>
      </c>
      <c r="R261" s="676">
        <f t="shared" si="51"/>
        <v>0</v>
      </c>
      <c r="S261" s="326">
        <f t="shared" si="52"/>
        <v>0</v>
      </c>
    </row>
    <row r="262" spans="1:19">
      <c r="A262" s="159"/>
      <c r="B262" s="59"/>
      <c r="C262" s="24">
        <f t="shared" si="43"/>
        <v>1</v>
      </c>
      <c r="D262" s="680"/>
      <c r="E262" s="24">
        <f t="shared" si="44"/>
        <v>1</v>
      </c>
      <c r="F262" s="680"/>
      <c r="G262" s="24">
        <f t="shared" si="45"/>
        <v>1</v>
      </c>
      <c r="H262" s="680"/>
      <c r="I262" s="24">
        <f t="shared" si="46"/>
        <v>1</v>
      </c>
      <c r="J262" s="680"/>
      <c r="K262" s="24">
        <f t="shared" si="47"/>
        <v>1</v>
      </c>
      <c r="L262" s="680"/>
      <c r="M262" s="24">
        <f t="shared" si="48"/>
        <v>1</v>
      </c>
      <c r="N262" s="680"/>
      <c r="O262" s="24">
        <f t="shared" si="49"/>
        <v>1</v>
      </c>
      <c r="P262" s="680"/>
      <c r="Q262" s="24">
        <f t="shared" si="50"/>
        <v>1</v>
      </c>
      <c r="R262" s="676">
        <f t="shared" si="51"/>
        <v>0</v>
      </c>
      <c r="S262" s="326">
        <f t="shared" si="52"/>
        <v>0</v>
      </c>
    </row>
    <row r="263" spans="1:19">
      <c r="A263" s="159"/>
      <c r="B263" s="59"/>
      <c r="C263" s="24">
        <f t="shared" si="43"/>
        <v>1</v>
      </c>
      <c r="D263" s="680"/>
      <c r="E263" s="24">
        <f t="shared" si="44"/>
        <v>1</v>
      </c>
      <c r="F263" s="680"/>
      <c r="G263" s="24">
        <f t="shared" si="45"/>
        <v>1</v>
      </c>
      <c r="H263" s="680"/>
      <c r="I263" s="24">
        <f t="shared" si="46"/>
        <v>1</v>
      </c>
      <c r="J263" s="680"/>
      <c r="K263" s="24">
        <f t="shared" si="47"/>
        <v>1</v>
      </c>
      <c r="L263" s="680"/>
      <c r="M263" s="24">
        <f t="shared" si="48"/>
        <v>1</v>
      </c>
      <c r="N263" s="680"/>
      <c r="O263" s="24">
        <f t="shared" si="49"/>
        <v>1</v>
      </c>
      <c r="P263" s="680"/>
      <c r="Q263" s="24">
        <f t="shared" si="50"/>
        <v>1</v>
      </c>
      <c r="R263" s="676">
        <f t="shared" si="51"/>
        <v>0</v>
      </c>
      <c r="S263" s="326">
        <f t="shared" si="52"/>
        <v>0</v>
      </c>
    </row>
    <row r="264" spans="1:19">
      <c r="A264" s="159"/>
      <c r="B264" s="59"/>
      <c r="C264" s="24">
        <f t="shared" si="43"/>
        <v>1</v>
      </c>
      <c r="D264" s="680"/>
      <c r="E264" s="24">
        <f t="shared" si="44"/>
        <v>1</v>
      </c>
      <c r="F264" s="680"/>
      <c r="G264" s="24">
        <f t="shared" si="45"/>
        <v>1</v>
      </c>
      <c r="H264" s="680"/>
      <c r="I264" s="24">
        <f t="shared" si="46"/>
        <v>1</v>
      </c>
      <c r="J264" s="680"/>
      <c r="K264" s="24">
        <f t="shared" si="47"/>
        <v>1</v>
      </c>
      <c r="L264" s="680"/>
      <c r="M264" s="24">
        <f t="shared" si="48"/>
        <v>1</v>
      </c>
      <c r="N264" s="680"/>
      <c r="O264" s="24">
        <f t="shared" si="49"/>
        <v>1</v>
      </c>
      <c r="P264" s="680"/>
      <c r="Q264" s="24">
        <f t="shared" si="50"/>
        <v>1</v>
      </c>
      <c r="R264" s="676">
        <f t="shared" si="51"/>
        <v>0</v>
      </c>
      <c r="S264" s="326">
        <f t="shared" si="52"/>
        <v>0</v>
      </c>
    </row>
    <row r="265" spans="1:19">
      <c r="A265" s="159"/>
      <c r="B265" s="59"/>
      <c r="C265" s="24">
        <f t="shared" si="43"/>
        <v>1</v>
      </c>
      <c r="D265" s="680"/>
      <c r="E265" s="24">
        <f t="shared" si="44"/>
        <v>1</v>
      </c>
      <c r="F265" s="680"/>
      <c r="G265" s="24">
        <f t="shared" si="45"/>
        <v>1</v>
      </c>
      <c r="H265" s="680"/>
      <c r="I265" s="24">
        <f t="shared" si="46"/>
        <v>1</v>
      </c>
      <c r="J265" s="680"/>
      <c r="K265" s="24">
        <f t="shared" si="47"/>
        <v>1</v>
      </c>
      <c r="L265" s="680"/>
      <c r="M265" s="24">
        <f t="shared" si="48"/>
        <v>1</v>
      </c>
      <c r="N265" s="680"/>
      <c r="O265" s="24">
        <f t="shared" si="49"/>
        <v>1</v>
      </c>
      <c r="P265" s="680"/>
      <c r="Q265" s="24">
        <f t="shared" si="50"/>
        <v>1</v>
      </c>
      <c r="R265" s="676">
        <f t="shared" si="51"/>
        <v>0</v>
      </c>
      <c r="S265" s="326">
        <f t="shared" si="52"/>
        <v>0</v>
      </c>
    </row>
    <row r="266" spans="1:19">
      <c r="A266" s="159"/>
      <c r="B266" s="59"/>
      <c r="C266" s="24">
        <f t="shared" si="43"/>
        <v>1</v>
      </c>
      <c r="D266" s="680"/>
      <c r="E266" s="24">
        <f t="shared" si="44"/>
        <v>1</v>
      </c>
      <c r="F266" s="680"/>
      <c r="G266" s="24">
        <f t="shared" si="45"/>
        <v>1</v>
      </c>
      <c r="H266" s="680"/>
      <c r="I266" s="24">
        <f t="shared" si="46"/>
        <v>1</v>
      </c>
      <c r="J266" s="680"/>
      <c r="K266" s="24">
        <f t="shared" si="47"/>
        <v>1</v>
      </c>
      <c r="L266" s="680"/>
      <c r="M266" s="24">
        <f t="shared" si="48"/>
        <v>1</v>
      </c>
      <c r="N266" s="680"/>
      <c r="O266" s="24">
        <f t="shared" si="49"/>
        <v>1</v>
      </c>
      <c r="P266" s="680"/>
      <c r="Q266" s="24">
        <f t="shared" si="50"/>
        <v>1</v>
      </c>
      <c r="R266" s="676">
        <f t="shared" si="51"/>
        <v>0</v>
      </c>
      <c r="S266" s="326">
        <f t="shared" si="52"/>
        <v>0</v>
      </c>
    </row>
    <row r="267" spans="1:19">
      <c r="A267" s="159"/>
      <c r="B267" s="59"/>
      <c r="C267" s="24">
        <f t="shared" si="43"/>
        <v>1</v>
      </c>
      <c r="D267" s="680"/>
      <c r="E267" s="24">
        <f t="shared" si="44"/>
        <v>1</v>
      </c>
      <c r="F267" s="680"/>
      <c r="G267" s="24">
        <f t="shared" si="45"/>
        <v>1</v>
      </c>
      <c r="H267" s="680"/>
      <c r="I267" s="24">
        <f t="shared" si="46"/>
        <v>1</v>
      </c>
      <c r="J267" s="680"/>
      <c r="K267" s="24">
        <f t="shared" si="47"/>
        <v>1</v>
      </c>
      <c r="L267" s="680"/>
      <c r="M267" s="24">
        <f t="shared" si="48"/>
        <v>1</v>
      </c>
      <c r="N267" s="680"/>
      <c r="O267" s="24">
        <f t="shared" si="49"/>
        <v>1</v>
      </c>
      <c r="P267" s="680"/>
      <c r="Q267" s="24">
        <f t="shared" si="50"/>
        <v>1</v>
      </c>
      <c r="R267" s="676">
        <f t="shared" si="51"/>
        <v>0</v>
      </c>
      <c r="S267" s="326">
        <f t="shared" si="52"/>
        <v>0</v>
      </c>
    </row>
    <row r="268" spans="1:19">
      <c r="A268" s="159"/>
      <c r="B268" s="59"/>
      <c r="C268" s="24">
        <f t="shared" si="43"/>
        <v>1</v>
      </c>
      <c r="D268" s="680"/>
      <c r="E268" s="24">
        <f t="shared" si="44"/>
        <v>1</v>
      </c>
      <c r="F268" s="680"/>
      <c r="G268" s="24">
        <f t="shared" si="45"/>
        <v>1</v>
      </c>
      <c r="H268" s="680"/>
      <c r="I268" s="24">
        <f t="shared" si="46"/>
        <v>1</v>
      </c>
      <c r="J268" s="680"/>
      <c r="K268" s="24">
        <f t="shared" si="47"/>
        <v>1</v>
      </c>
      <c r="L268" s="680"/>
      <c r="M268" s="24">
        <f t="shared" si="48"/>
        <v>1</v>
      </c>
      <c r="N268" s="680"/>
      <c r="O268" s="24">
        <f t="shared" si="49"/>
        <v>1</v>
      </c>
      <c r="P268" s="680"/>
      <c r="Q268" s="24">
        <f t="shared" si="50"/>
        <v>1</v>
      </c>
      <c r="R268" s="676">
        <f t="shared" si="51"/>
        <v>0</v>
      </c>
      <c r="S268" s="326">
        <f t="shared" si="52"/>
        <v>0</v>
      </c>
    </row>
    <row r="269" spans="1:19">
      <c r="A269" s="159"/>
      <c r="B269" s="59"/>
      <c r="C269" s="24">
        <f t="shared" si="43"/>
        <v>1</v>
      </c>
      <c r="D269" s="680"/>
      <c r="E269" s="24">
        <f t="shared" si="44"/>
        <v>1</v>
      </c>
      <c r="F269" s="680"/>
      <c r="G269" s="24">
        <f t="shared" si="45"/>
        <v>1</v>
      </c>
      <c r="H269" s="680"/>
      <c r="I269" s="24">
        <f t="shared" si="46"/>
        <v>1</v>
      </c>
      <c r="J269" s="680"/>
      <c r="K269" s="24">
        <f t="shared" si="47"/>
        <v>1</v>
      </c>
      <c r="L269" s="680"/>
      <c r="M269" s="24">
        <f t="shared" si="48"/>
        <v>1</v>
      </c>
      <c r="N269" s="680"/>
      <c r="O269" s="24">
        <f t="shared" si="49"/>
        <v>1</v>
      </c>
      <c r="P269" s="680"/>
      <c r="Q269" s="24">
        <f t="shared" si="50"/>
        <v>1</v>
      </c>
      <c r="R269" s="676">
        <f t="shared" si="51"/>
        <v>0</v>
      </c>
      <c r="S269" s="326">
        <f t="shared" si="52"/>
        <v>0</v>
      </c>
    </row>
    <row r="270" spans="1:19">
      <c r="A270" s="159"/>
      <c r="B270" s="59"/>
      <c r="C270" s="24">
        <f t="shared" si="43"/>
        <v>1</v>
      </c>
      <c r="D270" s="680"/>
      <c r="E270" s="24">
        <f t="shared" si="44"/>
        <v>1</v>
      </c>
      <c r="F270" s="680"/>
      <c r="G270" s="24">
        <f t="shared" si="45"/>
        <v>1</v>
      </c>
      <c r="H270" s="680"/>
      <c r="I270" s="24">
        <f t="shared" si="46"/>
        <v>1</v>
      </c>
      <c r="J270" s="680"/>
      <c r="K270" s="24">
        <f t="shared" si="47"/>
        <v>1</v>
      </c>
      <c r="L270" s="680"/>
      <c r="M270" s="24">
        <f t="shared" si="48"/>
        <v>1</v>
      </c>
      <c r="N270" s="680"/>
      <c r="O270" s="24">
        <f t="shared" si="49"/>
        <v>1</v>
      </c>
      <c r="P270" s="680"/>
      <c r="Q270" s="24">
        <f t="shared" si="50"/>
        <v>1</v>
      </c>
      <c r="R270" s="676">
        <f t="shared" si="51"/>
        <v>0</v>
      </c>
      <c r="S270" s="326">
        <f t="shared" si="52"/>
        <v>0</v>
      </c>
    </row>
    <row r="271" spans="1:19">
      <c r="A271" s="159"/>
      <c r="B271" s="59"/>
      <c r="C271" s="24">
        <f t="shared" si="43"/>
        <v>1</v>
      </c>
      <c r="D271" s="680"/>
      <c r="E271" s="24">
        <f t="shared" si="44"/>
        <v>1</v>
      </c>
      <c r="F271" s="680"/>
      <c r="G271" s="24">
        <f t="shared" si="45"/>
        <v>1</v>
      </c>
      <c r="H271" s="680"/>
      <c r="I271" s="24">
        <f t="shared" si="46"/>
        <v>1</v>
      </c>
      <c r="J271" s="680"/>
      <c r="K271" s="24">
        <f t="shared" si="47"/>
        <v>1</v>
      </c>
      <c r="L271" s="680"/>
      <c r="M271" s="24">
        <f t="shared" si="48"/>
        <v>1</v>
      </c>
      <c r="N271" s="680"/>
      <c r="O271" s="24">
        <f t="shared" si="49"/>
        <v>1</v>
      </c>
      <c r="P271" s="680"/>
      <c r="Q271" s="24">
        <f t="shared" si="50"/>
        <v>1</v>
      </c>
      <c r="R271" s="676">
        <f t="shared" si="51"/>
        <v>0</v>
      </c>
      <c r="S271" s="326">
        <f t="shared" si="52"/>
        <v>0</v>
      </c>
    </row>
    <row r="272" spans="1:19">
      <c r="A272" s="159"/>
      <c r="B272" s="59"/>
      <c r="C272" s="24">
        <f t="shared" si="43"/>
        <v>1</v>
      </c>
      <c r="D272" s="680"/>
      <c r="E272" s="24">
        <f t="shared" si="44"/>
        <v>1</v>
      </c>
      <c r="F272" s="680"/>
      <c r="G272" s="24">
        <f t="shared" si="45"/>
        <v>1</v>
      </c>
      <c r="H272" s="680"/>
      <c r="I272" s="24">
        <f t="shared" si="46"/>
        <v>1</v>
      </c>
      <c r="J272" s="680"/>
      <c r="K272" s="24">
        <f t="shared" si="47"/>
        <v>1</v>
      </c>
      <c r="L272" s="680"/>
      <c r="M272" s="24">
        <f t="shared" si="48"/>
        <v>1</v>
      </c>
      <c r="N272" s="680"/>
      <c r="O272" s="24">
        <f t="shared" si="49"/>
        <v>1</v>
      </c>
      <c r="P272" s="680"/>
      <c r="Q272" s="24">
        <f t="shared" si="50"/>
        <v>1</v>
      </c>
      <c r="R272" s="676">
        <f t="shared" si="51"/>
        <v>0</v>
      </c>
      <c r="S272" s="326">
        <f t="shared" si="52"/>
        <v>0</v>
      </c>
    </row>
    <row r="273" spans="1:19">
      <c r="A273" s="159"/>
      <c r="B273" s="59"/>
      <c r="C273" s="24">
        <f t="shared" si="43"/>
        <v>1</v>
      </c>
      <c r="D273" s="680"/>
      <c r="E273" s="24">
        <f t="shared" si="44"/>
        <v>1</v>
      </c>
      <c r="F273" s="680"/>
      <c r="G273" s="24">
        <f t="shared" si="45"/>
        <v>1</v>
      </c>
      <c r="H273" s="680"/>
      <c r="I273" s="24">
        <f t="shared" si="46"/>
        <v>1</v>
      </c>
      <c r="J273" s="680"/>
      <c r="K273" s="24">
        <f t="shared" si="47"/>
        <v>1</v>
      </c>
      <c r="L273" s="680"/>
      <c r="M273" s="24">
        <f t="shared" si="48"/>
        <v>1</v>
      </c>
      <c r="N273" s="680"/>
      <c r="O273" s="24">
        <f t="shared" si="49"/>
        <v>1</v>
      </c>
      <c r="P273" s="680"/>
      <c r="Q273" s="24">
        <f t="shared" si="50"/>
        <v>1</v>
      </c>
      <c r="R273" s="676">
        <f t="shared" si="51"/>
        <v>0</v>
      </c>
      <c r="S273" s="326">
        <f t="shared" si="52"/>
        <v>0</v>
      </c>
    </row>
    <row r="274" spans="1:19">
      <c r="A274" s="159"/>
      <c r="B274" s="59"/>
      <c r="C274" s="24">
        <f t="shared" si="43"/>
        <v>1</v>
      </c>
      <c r="D274" s="680"/>
      <c r="E274" s="24">
        <f t="shared" si="44"/>
        <v>1</v>
      </c>
      <c r="F274" s="680"/>
      <c r="G274" s="24">
        <f t="shared" si="45"/>
        <v>1</v>
      </c>
      <c r="H274" s="680"/>
      <c r="I274" s="24">
        <f t="shared" si="46"/>
        <v>1</v>
      </c>
      <c r="J274" s="680"/>
      <c r="K274" s="24">
        <f t="shared" si="47"/>
        <v>1</v>
      </c>
      <c r="L274" s="680"/>
      <c r="M274" s="24">
        <f t="shared" si="48"/>
        <v>1</v>
      </c>
      <c r="N274" s="680"/>
      <c r="O274" s="24">
        <f t="shared" si="49"/>
        <v>1</v>
      </c>
      <c r="P274" s="680"/>
      <c r="Q274" s="24">
        <f t="shared" si="50"/>
        <v>1</v>
      </c>
      <c r="R274" s="676">
        <f t="shared" si="51"/>
        <v>0</v>
      </c>
      <c r="S274" s="326">
        <f t="shared" si="52"/>
        <v>0</v>
      </c>
    </row>
    <row r="275" spans="1:19">
      <c r="A275" s="159"/>
      <c r="B275" s="59"/>
      <c r="C275" s="24">
        <f t="shared" si="43"/>
        <v>1</v>
      </c>
      <c r="D275" s="680"/>
      <c r="E275" s="24">
        <f t="shared" si="44"/>
        <v>1</v>
      </c>
      <c r="F275" s="680"/>
      <c r="G275" s="24">
        <f t="shared" si="45"/>
        <v>1</v>
      </c>
      <c r="H275" s="680"/>
      <c r="I275" s="24">
        <f t="shared" si="46"/>
        <v>1</v>
      </c>
      <c r="J275" s="680"/>
      <c r="K275" s="24">
        <f t="shared" si="47"/>
        <v>1</v>
      </c>
      <c r="L275" s="680"/>
      <c r="M275" s="24">
        <f t="shared" si="48"/>
        <v>1</v>
      </c>
      <c r="N275" s="680"/>
      <c r="O275" s="24">
        <f t="shared" si="49"/>
        <v>1</v>
      </c>
      <c r="P275" s="680"/>
      <c r="Q275" s="24">
        <f t="shared" si="50"/>
        <v>1</v>
      </c>
      <c r="R275" s="676">
        <f t="shared" si="51"/>
        <v>0</v>
      </c>
      <c r="S275" s="326">
        <f t="shared" si="52"/>
        <v>0</v>
      </c>
    </row>
    <row r="276" spans="1:19">
      <c r="A276" s="159"/>
      <c r="B276" s="59"/>
      <c r="C276" s="24">
        <f t="shared" si="43"/>
        <v>1</v>
      </c>
      <c r="D276" s="680"/>
      <c r="E276" s="24">
        <f t="shared" si="44"/>
        <v>1</v>
      </c>
      <c r="F276" s="680"/>
      <c r="G276" s="24">
        <f t="shared" si="45"/>
        <v>1</v>
      </c>
      <c r="H276" s="680"/>
      <c r="I276" s="24">
        <f t="shared" si="46"/>
        <v>1</v>
      </c>
      <c r="J276" s="680"/>
      <c r="K276" s="24">
        <f t="shared" si="47"/>
        <v>1</v>
      </c>
      <c r="L276" s="680"/>
      <c r="M276" s="24">
        <f t="shared" si="48"/>
        <v>1</v>
      </c>
      <c r="N276" s="680"/>
      <c r="O276" s="24">
        <f t="shared" si="49"/>
        <v>1</v>
      </c>
      <c r="P276" s="680"/>
      <c r="Q276" s="24">
        <f t="shared" si="50"/>
        <v>1</v>
      </c>
      <c r="R276" s="676">
        <f t="shared" si="51"/>
        <v>0</v>
      </c>
      <c r="S276" s="326">
        <f t="shared" si="52"/>
        <v>0</v>
      </c>
    </row>
    <row r="277" spans="1:19">
      <c r="A277" s="159"/>
      <c r="B277" s="59"/>
      <c r="C277" s="24">
        <f t="shared" si="43"/>
        <v>1</v>
      </c>
      <c r="D277" s="680"/>
      <c r="E277" s="24">
        <f t="shared" si="44"/>
        <v>1</v>
      </c>
      <c r="F277" s="680"/>
      <c r="G277" s="24">
        <f t="shared" si="45"/>
        <v>1</v>
      </c>
      <c r="H277" s="680"/>
      <c r="I277" s="24">
        <f t="shared" si="46"/>
        <v>1</v>
      </c>
      <c r="J277" s="680"/>
      <c r="K277" s="24">
        <f t="shared" si="47"/>
        <v>1</v>
      </c>
      <c r="L277" s="680"/>
      <c r="M277" s="24">
        <f t="shared" si="48"/>
        <v>1</v>
      </c>
      <c r="N277" s="680"/>
      <c r="O277" s="24">
        <f t="shared" si="49"/>
        <v>1</v>
      </c>
      <c r="P277" s="680"/>
      <c r="Q277" s="24">
        <f t="shared" si="50"/>
        <v>1</v>
      </c>
      <c r="R277" s="676">
        <f t="shared" si="51"/>
        <v>0</v>
      </c>
      <c r="S277" s="326">
        <f t="shared" si="52"/>
        <v>0</v>
      </c>
    </row>
    <row r="278" spans="1:19">
      <c r="A278" s="159"/>
      <c r="B278" s="59"/>
      <c r="C278" s="24">
        <f t="shared" si="43"/>
        <v>1</v>
      </c>
      <c r="D278" s="680"/>
      <c r="E278" s="24">
        <f t="shared" si="44"/>
        <v>1</v>
      </c>
      <c r="F278" s="680"/>
      <c r="G278" s="24">
        <f t="shared" si="45"/>
        <v>1</v>
      </c>
      <c r="H278" s="680"/>
      <c r="I278" s="24">
        <f t="shared" si="46"/>
        <v>1</v>
      </c>
      <c r="J278" s="680"/>
      <c r="K278" s="24">
        <f t="shared" si="47"/>
        <v>1</v>
      </c>
      <c r="L278" s="680"/>
      <c r="M278" s="24">
        <f t="shared" si="48"/>
        <v>1</v>
      </c>
      <c r="N278" s="680"/>
      <c r="O278" s="24">
        <f t="shared" si="49"/>
        <v>1</v>
      </c>
      <c r="P278" s="680"/>
      <c r="Q278" s="24">
        <f t="shared" si="50"/>
        <v>1</v>
      </c>
      <c r="R278" s="676">
        <f t="shared" si="51"/>
        <v>0</v>
      </c>
      <c r="S278" s="326">
        <f t="shared" si="52"/>
        <v>0</v>
      </c>
    </row>
    <row r="279" spans="1:19">
      <c r="A279" s="159"/>
      <c r="B279" s="59"/>
      <c r="C279" s="24">
        <f t="shared" si="43"/>
        <v>1</v>
      </c>
      <c r="D279" s="680"/>
      <c r="E279" s="24">
        <f t="shared" si="44"/>
        <v>1</v>
      </c>
      <c r="F279" s="680"/>
      <c r="G279" s="24">
        <f t="shared" si="45"/>
        <v>1</v>
      </c>
      <c r="H279" s="680"/>
      <c r="I279" s="24">
        <f t="shared" si="46"/>
        <v>1</v>
      </c>
      <c r="J279" s="680"/>
      <c r="K279" s="24">
        <f t="shared" si="47"/>
        <v>1</v>
      </c>
      <c r="L279" s="680"/>
      <c r="M279" s="24">
        <f t="shared" si="48"/>
        <v>1</v>
      </c>
      <c r="N279" s="680"/>
      <c r="O279" s="24">
        <f t="shared" si="49"/>
        <v>1</v>
      </c>
      <c r="P279" s="680"/>
      <c r="Q279" s="24">
        <f t="shared" si="50"/>
        <v>1</v>
      </c>
      <c r="R279" s="676">
        <f t="shared" si="51"/>
        <v>0</v>
      </c>
      <c r="S279" s="326">
        <f t="shared" si="52"/>
        <v>0</v>
      </c>
    </row>
    <row r="280" spans="1:19">
      <c r="A280" s="159"/>
      <c r="B280" s="59"/>
      <c r="C280" s="24">
        <f t="shared" si="43"/>
        <v>1</v>
      </c>
      <c r="D280" s="680"/>
      <c r="E280" s="24">
        <f t="shared" si="44"/>
        <v>1</v>
      </c>
      <c r="F280" s="680"/>
      <c r="G280" s="24">
        <f t="shared" si="45"/>
        <v>1</v>
      </c>
      <c r="H280" s="680"/>
      <c r="I280" s="24">
        <f t="shared" si="46"/>
        <v>1</v>
      </c>
      <c r="J280" s="680"/>
      <c r="K280" s="24">
        <f t="shared" si="47"/>
        <v>1</v>
      </c>
      <c r="L280" s="680"/>
      <c r="M280" s="24">
        <f t="shared" si="48"/>
        <v>1</v>
      </c>
      <c r="N280" s="680"/>
      <c r="O280" s="24">
        <f t="shared" si="49"/>
        <v>1</v>
      </c>
      <c r="P280" s="680"/>
      <c r="Q280" s="24">
        <f t="shared" si="50"/>
        <v>1</v>
      </c>
      <c r="R280" s="676">
        <f t="shared" si="51"/>
        <v>0</v>
      </c>
      <c r="S280" s="326">
        <f t="shared" si="52"/>
        <v>0</v>
      </c>
    </row>
    <row r="281" spans="1:19">
      <c r="A281" s="159"/>
      <c r="B281" s="59"/>
      <c r="C281" s="24">
        <f t="shared" si="43"/>
        <v>1</v>
      </c>
      <c r="D281" s="680"/>
      <c r="E281" s="24">
        <f t="shared" si="44"/>
        <v>1</v>
      </c>
      <c r="F281" s="680"/>
      <c r="G281" s="24">
        <f t="shared" si="45"/>
        <v>1</v>
      </c>
      <c r="H281" s="680"/>
      <c r="I281" s="24">
        <f t="shared" si="46"/>
        <v>1</v>
      </c>
      <c r="J281" s="680"/>
      <c r="K281" s="24">
        <f t="shared" si="47"/>
        <v>1</v>
      </c>
      <c r="L281" s="680"/>
      <c r="M281" s="24">
        <f t="shared" si="48"/>
        <v>1</v>
      </c>
      <c r="N281" s="680"/>
      <c r="O281" s="24">
        <f t="shared" si="49"/>
        <v>1</v>
      </c>
      <c r="P281" s="680"/>
      <c r="Q281" s="24">
        <f t="shared" si="50"/>
        <v>1</v>
      </c>
      <c r="R281" s="676">
        <f t="shared" si="51"/>
        <v>0</v>
      </c>
      <c r="S281" s="326">
        <f t="shared" si="52"/>
        <v>0</v>
      </c>
    </row>
    <row r="282" spans="1:19">
      <c r="A282" s="159"/>
      <c r="B282" s="59"/>
      <c r="C282" s="24">
        <f t="shared" ref="C282:C345" si="53">IF(B282="",1,(LOOKUP(B282,$3:$3,$4:$4)-LOOKUP($B$24,$3:$3,$4:$4)+100)/100)</f>
        <v>1</v>
      </c>
      <c r="D282" s="680"/>
      <c r="E282" s="24">
        <f t="shared" ref="E282:E345" si="54">(SUMIF($5:$5,D282,$6:$6)-SUMIF($5:$5,$D$24,$6:$6)+100)/100</f>
        <v>1</v>
      </c>
      <c r="F282" s="680"/>
      <c r="G282" s="24">
        <f t="shared" ref="G282:G345" si="55">(SUMIF($7:$7,F282,$8:$8)-SUMIF($7:$7,$F$24,$8:$8)+100)/100</f>
        <v>1</v>
      </c>
      <c r="H282" s="680"/>
      <c r="I282" s="24">
        <f t="shared" ref="I282:I345" si="56">(SUMIF($9:$9,H282,$10:$10)-SUMIF($9:$9,$H$24,$10:$10)+100)/100</f>
        <v>1</v>
      </c>
      <c r="J282" s="680"/>
      <c r="K282" s="24">
        <f t="shared" ref="K282:K345" si="57">(SUMIF($11:$11,J282,$12:$12)-SUMIF($11:$11,$J$24,$12:$12)+100)/100</f>
        <v>1</v>
      </c>
      <c r="L282" s="680"/>
      <c r="M282" s="24">
        <f t="shared" ref="M282:M345" si="58">(SUMIF($13:$13,L282,$14:$14)-SUMIF($13:$13,$L$24,$14:$14)+100)/100</f>
        <v>1</v>
      </c>
      <c r="N282" s="680"/>
      <c r="O282" s="24">
        <f t="shared" ref="O282:O345" si="59">(SUMIF($15:$15,N282,$16:$16)-SUMIF($15:$15,$N$24,$16:$16)+100)/100</f>
        <v>1</v>
      </c>
      <c r="P282" s="680"/>
      <c r="Q282" s="24">
        <f t="shared" ref="Q282:Q345" si="60">(SUMIF($17:$17,P282,$18:$18)-SUMIF($17:$17,$P$24,$18:$18)+100)/100</f>
        <v>1</v>
      </c>
      <c r="R282" s="676">
        <f t="shared" ref="R282:R345" si="61">IF(B282="",0,ROUND($R$24*C282*E282*G282*I282*K282*M282*O282*Q282,0))</f>
        <v>0</v>
      </c>
      <c r="S282" s="326">
        <f t="shared" si="52"/>
        <v>0</v>
      </c>
    </row>
    <row r="283" spans="1:19">
      <c r="A283" s="159"/>
      <c r="B283" s="59"/>
      <c r="C283" s="24">
        <f t="shared" si="53"/>
        <v>1</v>
      </c>
      <c r="D283" s="680"/>
      <c r="E283" s="24">
        <f t="shared" si="54"/>
        <v>1</v>
      </c>
      <c r="F283" s="680"/>
      <c r="G283" s="24">
        <f t="shared" si="55"/>
        <v>1</v>
      </c>
      <c r="H283" s="680"/>
      <c r="I283" s="24">
        <f t="shared" si="56"/>
        <v>1</v>
      </c>
      <c r="J283" s="680"/>
      <c r="K283" s="24">
        <f t="shared" si="57"/>
        <v>1</v>
      </c>
      <c r="L283" s="680"/>
      <c r="M283" s="24">
        <f t="shared" si="58"/>
        <v>1</v>
      </c>
      <c r="N283" s="680"/>
      <c r="O283" s="24">
        <f t="shared" si="59"/>
        <v>1</v>
      </c>
      <c r="P283" s="680"/>
      <c r="Q283" s="24">
        <f t="shared" si="60"/>
        <v>1</v>
      </c>
      <c r="R283" s="676">
        <f t="shared" si="61"/>
        <v>0</v>
      </c>
      <c r="S283" s="326">
        <f t="shared" si="52"/>
        <v>0</v>
      </c>
    </row>
    <row r="284" spans="1:19">
      <c r="A284" s="159"/>
      <c r="B284" s="59"/>
      <c r="C284" s="24">
        <f t="shared" si="53"/>
        <v>1</v>
      </c>
      <c r="D284" s="680"/>
      <c r="E284" s="24">
        <f t="shared" si="54"/>
        <v>1</v>
      </c>
      <c r="F284" s="680"/>
      <c r="G284" s="24">
        <f t="shared" si="55"/>
        <v>1</v>
      </c>
      <c r="H284" s="680"/>
      <c r="I284" s="24">
        <f t="shared" si="56"/>
        <v>1</v>
      </c>
      <c r="J284" s="680"/>
      <c r="K284" s="24">
        <f t="shared" si="57"/>
        <v>1</v>
      </c>
      <c r="L284" s="680"/>
      <c r="M284" s="24">
        <f t="shared" si="58"/>
        <v>1</v>
      </c>
      <c r="N284" s="680"/>
      <c r="O284" s="24">
        <f t="shared" si="59"/>
        <v>1</v>
      </c>
      <c r="P284" s="680"/>
      <c r="Q284" s="24">
        <f t="shared" si="60"/>
        <v>1</v>
      </c>
      <c r="R284" s="676">
        <f t="shared" si="61"/>
        <v>0</v>
      </c>
      <c r="S284" s="326">
        <f t="shared" si="52"/>
        <v>0</v>
      </c>
    </row>
    <row r="285" spans="1:19">
      <c r="A285" s="159"/>
      <c r="B285" s="59"/>
      <c r="C285" s="24">
        <f t="shared" si="53"/>
        <v>1</v>
      </c>
      <c r="D285" s="680"/>
      <c r="E285" s="24">
        <f t="shared" si="54"/>
        <v>1</v>
      </c>
      <c r="F285" s="680"/>
      <c r="G285" s="24">
        <f t="shared" si="55"/>
        <v>1</v>
      </c>
      <c r="H285" s="680"/>
      <c r="I285" s="24">
        <f t="shared" si="56"/>
        <v>1</v>
      </c>
      <c r="J285" s="680"/>
      <c r="K285" s="24">
        <f t="shared" si="57"/>
        <v>1</v>
      </c>
      <c r="L285" s="680"/>
      <c r="M285" s="24">
        <f t="shared" si="58"/>
        <v>1</v>
      </c>
      <c r="N285" s="680"/>
      <c r="O285" s="24">
        <f t="shared" si="59"/>
        <v>1</v>
      </c>
      <c r="P285" s="680"/>
      <c r="Q285" s="24">
        <f t="shared" si="60"/>
        <v>1</v>
      </c>
      <c r="R285" s="676">
        <f t="shared" si="61"/>
        <v>0</v>
      </c>
      <c r="S285" s="326">
        <f t="shared" si="52"/>
        <v>0</v>
      </c>
    </row>
    <row r="286" spans="1:19">
      <c r="A286" s="159"/>
      <c r="B286" s="59"/>
      <c r="C286" s="24">
        <f t="shared" si="53"/>
        <v>1</v>
      </c>
      <c r="D286" s="680"/>
      <c r="E286" s="24">
        <f t="shared" si="54"/>
        <v>1</v>
      </c>
      <c r="F286" s="680"/>
      <c r="G286" s="24">
        <f t="shared" si="55"/>
        <v>1</v>
      </c>
      <c r="H286" s="680"/>
      <c r="I286" s="24">
        <f t="shared" si="56"/>
        <v>1</v>
      </c>
      <c r="J286" s="680"/>
      <c r="K286" s="24">
        <f t="shared" si="57"/>
        <v>1</v>
      </c>
      <c r="L286" s="680"/>
      <c r="M286" s="24">
        <f t="shared" si="58"/>
        <v>1</v>
      </c>
      <c r="N286" s="680"/>
      <c r="O286" s="24">
        <f t="shared" si="59"/>
        <v>1</v>
      </c>
      <c r="P286" s="680"/>
      <c r="Q286" s="24">
        <f t="shared" si="60"/>
        <v>1</v>
      </c>
      <c r="R286" s="676">
        <f t="shared" si="61"/>
        <v>0</v>
      </c>
      <c r="S286" s="326">
        <f t="shared" si="52"/>
        <v>0</v>
      </c>
    </row>
    <row r="287" spans="1:19">
      <c r="A287" s="159"/>
      <c r="B287" s="59"/>
      <c r="C287" s="24">
        <f t="shared" si="53"/>
        <v>1</v>
      </c>
      <c r="D287" s="680"/>
      <c r="E287" s="24">
        <f t="shared" si="54"/>
        <v>1</v>
      </c>
      <c r="F287" s="680"/>
      <c r="G287" s="24">
        <f t="shared" si="55"/>
        <v>1</v>
      </c>
      <c r="H287" s="680"/>
      <c r="I287" s="24">
        <f t="shared" si="56"/>
        <v>1</v>
      </c>
      <c r="J287" s="680"/>
      <c r="K287" s="24">
        <f t="shared" si="57"/>
        <v>1</v>
      </c>
      <c r="L287" s="680"/>
      <c r="M287" s="24">
        <f t="shared" si="58"/>
        <v>1</v>
      </c>
      <c r="N287" s="680"/>
      <c r="O287" s="24">
        <f t="shared" si="59"/>
        <v>1</v>
      </c>
      <c r="P287" s="680"/>
      <c r="Q287" s="24">
        <f t="shared" si="60"/>
        <v>1</v>
      </c>
      <c r="R287" s="676">
        <f t="shared" si="61"/>
        <v>0</v>
      </c>
      <c r="S287" s="326">
        <f t="shared" ref="S287:S320" si="62">ROUND(R287*B287/10000,0)</f>
        <v>0</v>
      </c>
    </row>
    <row r="288" spans="1:19">
      <c r="A288" s="159"/>
      <c r="B288" s="59"/>
      <c r="C288" s="24">
        <f t="shared" si="53"/>
        <v>1</v>
      </c>
      <c r="D288" s="680"/>
      <c r="E288" s="24">
        <f t="shared" si="54"/>
        <v>1</v>
      </c>
      <c r="F288" s="680"/>
      <c r="G288" s="24">
        <f t="shared" si="55"/>
        <v>1</v>
      </c>
      <c r="H288" s="680"/>
      <c r="I288" s="24">
        <f t="shared" si="56"/>
        <v>1</v>
      </c>
      <c r="J288" s="680"/>
      <c r="K288" s="24">
        <f t="shared" si="57"/>
        <v>1</v>
      </c>
      <c r="L288" s="680"/>
      <c r="M288" s="24">
        <f t="shared" si="58"/>
        <v>1</v>
      </c>
      <c r="N288" s="680"/>
      <c r="O288" s="24">
        <f t="shared" si="59"/>
        <v>1</v>
      </c>
      <c r="P288" s="680"/>
      <c r="Q288" s="24">
        <f t="shared" si="60"/>
        <v>1</v>
      </c>
      <c r="R288" s="676">
        <f t="shared" si="61"/>
        <v>0</v>
      </c>
      <c r="S288" s="326">
        <f t="shared" si="62"/>
        <v>0</v>
      </c>
    </row>
    <row r="289" spans="1:19">
      <c r="A289" s="159"/>
      <c r="B289" s="59"/>
      <c r="C289" s="24">
        <f t="shared" si="53"/>
        <v>1</v>
      </c>
      <c r="D289" s="680"/>
      <c r="E289" s="24">
        <f t="shared" si="54"/>
        <v>1</v>
      </c>
      <c r="F289" s="680"/>
      <c r="G289" s="24">
        <f t="shared" si="55"/>
        <v>1</v>
      </c>
      <c r="H289" s="680"/>
      <c r="I289" s="24">
        <f t="shared" si="56"/>
        <v>1</v>
      </c>
      <c r="J289" s="680"/>
      <c r="K289" s="24">
        <f t="shared" si="57"/>
        <v>1</v>
      </c>
      <c r="L289" s="680"/>
      <c r="M289" s="24">
        <f t="shared" si="58"/>
        <v>1</v>
      </c>
      <c r="N289" s="680"/>
      <c r="O289" s="24">
        <f t="shared" si="59"/>
        <v>1</v>
      </c>
      <c r="P289" s="680"/>
      <c r="Q289" s="24">
        <f t="shared" si="60"/>
        <v>1</v>
      </c>
      <c r="R289" s="676">
        <f t="shared" si="61"/>
        <v>0</v>
      </c>
      <c r="S289" s="326">
        <f t="shared" si="62"/>
        <v>0</v>
      </c>
    </row>
    <row r="290" spans="1:19">
      <c r="A290" s="159"/>
      <c r="B290" s="59"/>
      <c r="C290" s="24">
        <f t="shared" si="53"/>
        <v>1</v>
      </c>
      <c r="D290" s="680"/>
      <c r="E290" s="24">
        <f t="shared" si="54"/>
        <v>1</v>
      </c>
      <c r="F290" s="680"/>
      <c r="G290" s="24">
        <f t="shared" si="55"/>
        <v>1</v>
      </c>
      <c r="H290" s="680"/>
      <c r="I290" s="24">
        <f t="shared" si="56"/>
        <v>1</v>
      </c>
      <c r="J290" s="680"/>
      <c r="K290" s="24">
        <f t="shared" si="57"/>
        <v>1</v>
      </c>
      <c r="L290" s="680"/>
      <c r="M290" s="24">
        <f t="shared" si="58"/>
        <v>1</v>
      </c>
      <c r="N290" s="680"/>
      <c r="O290" s="24">
        <f t="shared" si="59"/>
        <v>1</v>
      </c>
      <c r="P290" s="680"/>
      <c r="Q290" s="24">
        <f t="shared" si="60"/>
        <v>1</v>
      </c>
      <c r="R290" s="676">
        <f t="shared" si="61"/>
        <v>0</v>
      </c>
      <c r="S290" s="326">
        <f t="shared" si="62"/>
        <v>0</v>
      </c>
    </row>
    <row r="291" spans="1:19">
      <c r="A291" s="159"/>
      <c r="B291" s="59"/>
      <c r="C291" s="24">
        <f t="shared" si="53"/>
        <v>1</v>
      </c>
      <c r="D291" s="680"/>
      <c r="E291" s="24">
        <f t="shared" si="54"/>
        <v>1</v>
      </c>
      <c r="F291" s="680"/>
      <c r="G291" s="24">
        <f t="shared" si="55"/>
        <v>1</v>
      </c>
      <c r="H291" s="680"/>
      <c r="I291" s="24">
        <f t="shared" si="56"/>
        <v>1</v>
      </c>
      <c r="J291" s="680"/>
      <c r="K291" s="24">
        <f t="shared" si="57"/>
        <v>1</v>
      </c>
      <c r="L291" s="680"/>
      <c r="M291" s="24">
        <f t="shared" si="58"/>
        <v>1</v>
      </c>
      <c r="N291" s="680"/>
      <c r="O291" s="24">
        <f t="shared" si="59"/>
        <v>1</v>
      </c>
      <c r="P291" s="680"/>
      <c r="Q291" s="24">
        <f t="shared" si="60"/>
        <v>1</v>
      </c>
      <c r="R291" s="676">
        <f t="shared" si="61"/>
        <v>0</v>
      </c>
      <c r="S291" s="326">
        <f t="shared" si="62"/>
        <v>0</v>
      </c>
    </row>
    <row r="292" spans="1:19">
      <c r="A292" s="159"/>
      <c r="B292" s="59"/>
      <c r="C292" s="24">
        <f t="shared" si="53"/>
        <v>1</v>
      </c>
      <c r="D292" s="680"/>
      <c r="E292" s="24">
        <f t="shared" si="54"/>
        <v>1</v>
      </c>
      <c r="F292" s="680"/>
      <c r="G292" s="24">
        <f t="shared" si="55"/>
        <v>1</v>
      </c>
      <c r="H292" s="680"/>
      <c r="I292" s="24">
        <f t="shared" si="56"/>
        <v>1</v>
      </c>
      <c r="J292" s="680"/>
      <c r="K292" s="24">
        <f t="shared" si="57"/>
        <v>1</v>
      </c>
      <c r="L292" s="680"/>
      <c r="M292" s="24">
        <f t="shared" si="58"/>
        <v>1</v>
      </c>
      <c r="N292" s="680"/>
      <c r="O292" s="24">
        <f t="shared" si="59"/>
        <v>1</v>
      </c>
      <c r="P292" s="680"/>
      <c r="Q292" s="24">
        <f t="shared" si="60"/>
        <v>1</v>
      </c>
      <c r="R292" s="676">
        <f t="shared" si="61"/>
        <v>0</v>
      </c>
      <c r="S292" s="326">
        <f t="shared" si="62"/>
        <v>0</v>
      </c>
    </row>
    <row r="293" spans="1:19">
      <c r="A293" s="159"/>
      <c r="B293" s="59"/>
      <c r="C293" s="24">
        <f t="shared" si="53"/>
        <v>1</v>
      </c>
      <c r="D293" s="680"/>
      <c r="E293" s="24">
        <f t="shared" si="54"/>
        <v>1</v>
      </c>
      <c r="F293" s="680"/>
      <c r="G293" s="24">
        <f t="shared" si="55"/>
        <v>1</v>
      </c>
      <c r="H293" s="680"/>
      <c r="I293" s="24">
        <f t="shared" si="56"/>
        <v>1</v>
      </c>
      <c r="J293" s="680"/>
      <c r="K293" s="24">
        <f t="shared" si="57"/>
        <v>1</v>
      </c>
      <c r="L293" s="680"/>
      <c r="M293" s="24">
        <f t="shared" si="58"/>
        <v>1</v>
      </c>
      <c r="N293" s="680"/>
      <c r="O293" s="24">
        <f t="shared" si="59"/>
        <v>1</v>
      </c>
      <c r="P293" s="680"/>
      <c r="Q293" s="24">
        <f t="shared" si="60"/>
        <v>1</v>
      </c>
      <c r="R293" s="676">
        <f t="shared" si="61"/>
        <v>0</v>
      </c>
      <c r="S293" s="326">
        <f t="shared" si="62"/>
        <v>0</v>
      </c>
    </row>
    <row r="294" spans="1:19">
      <c r="A294" s="159"/>
      <c r="B294" s="59"/>
      <c r="C294" s="24">
        <f t="shared" si="53"/>
        <v>1</v>
      </c>
      <c r="D294" s="680"/>
      <c r="E294" s="24">
        <f t="shared" si="54"/>
        <v>1</v>
      </c>
      <c r="F294" s="680"/>
      <c r="G294" s="24">
        <f t="shared" si="55"/>
        <v>1</v>
      </c>
      <c r="H294" s="680"/>
      <c r="I294" s="24">
        <f t="shared" si="56"/>
        <v>1</v>
      </c>
      <c r="J294" s="680"/>
      <c r="K294" s="24">
        <f t="shared" si="57"/>
        <v>1</v>
      </c>
      <c r="L294" s="680"/>
      <c r="M294" s="24">
        <f t="shared" si="58"/>
        <v>1</v>
      </c>
      <c r="N294" s="680"/>
      <c r="O294" s="24">
        <f t="shared" si="59"/>
        <v>1</v>
      </c>
      <c r="P294" s="680"/>
      <c r="Q294" s="24">
        <f t="shared" si="60"/>
        <v>1</v>
      </c>
      <c r="R294" s="676">
        <f t="shared" si="61"/>
        <v>0</v>
      </c>
      <c r="S294" s="326">
        <f t="shared" si="62"/>
        <v>0</v>
      </c>
    </row>
    <row r="295" spans="1:19">
      <c r="A295" s="159"/>
      <c r="B295" s="59"/>
      <c r="C295" s="24">
        <f t="shared" si="53"/>
        <v>1</v>
      </c>
      <c r="D295" s="680"/>
      <c r="E295" s="24">
        <f t="shared" si="54"/>
        <v>1</v>
      </c>
      <c r="F295" s="680"/>
      <c r="G295" s="24">
        <f t="shared" si="55"/>
        <v>1</v>
      </c>
      <c r="H295" s="680"/>
      <c r="I295" s="24">
        <f t="shared" si="56"/>
        <v>1</v>
      </c>
      <c r="J295" s="680"/>
      <c r="K295" s="24">
        <f t="shared" si="57"/>
        <v>1</v>
      </c>
      <c r="L295" s="680"/>
      <c r="M295" s="24">
        <f t="shared" si="58"/>
        <v>1</v>
      </c>
      <c r="N295" s="680"/>
      <c r="O295" s="24">
        <f t="shared" si="59"/>
        <v>1</v>
      </c>
      <c r="P295" s="680"/>
      <c r="Q295" s="24">
        <f t="shared" si="60"/>
        <v>1</v>
      </c>
      <c r="R295" s="676">
        <f t="shared" si="61"/>
        <v>0</v>
      </c>
      <c r="S295" s="326">
        <f t="shared" si="62"/>
        <v>0</v>
      </c>
    </row>
    <row r="296" spans="1:19">
      <c r="A296" s="159"/>
      <c r="B296" s="59"/>
      <c r="C296" s="24">
        <f t="shared" si="53"/>
        <v>1</v>
      </c>
      <c r="D296" s="680"/>
      <c r="E296" s="24">
        <f t="shared" si="54"/>
        <v>1</v>
      </c>
      <c r="F296" s="680"/>
      <c r="G296" s="24">
        <f t="shared" si="55"/>
        <v>1</v>
      </c>
      <c r="H296" s="680"/>
      <c r="I296" s="24">
        <f t="shared" si="56"/>
        <v>1</v>
      </c>
      <c r="J296" s="680"/>
      <c r="K296" s="24">
        <f t="shared" si="57"/>
        <v>1</v>
      </c>
      <c r="L296" s="680"/>
      <c r="M296" s="24">
        <f t="shared" si="58"/>
        <v>1</v>
      </c>
      <c r="N296" s="680"/>
      <c r="O296" s="24">
        <f t="shared" si="59"/>
        <v>1</v>
      </c>
      <c r="P296" s="680"/>
      <c r="Q296" s="24">
        <f t="shared" si="60"/>
        <v>1</v>
      </c>
      <c r="R296" s="676">
        <f t="shared" si="61"/>
        <v>0</v>
      </c>
      <c r="S296" s="326">
        <f t="shared" si="62"/>
        <v>0</v>
      </c>
    </row>
    <row r="297" spans="1:19">
      <c r="A297" s="159"/>
      <c r="B297" s="59"/>
      <c r="C297" s="24">
        <f t="shared" si="53"/>
        <v>1</v>
      </c>
      <c r="D297" s="680"/>
      <c r="E297" s="24">
        <f t="shared" si="54"/>
        <v>1</v>
      </c>
      <c r="F297" s="680"/>
      <c r="G297" s="24">
        <f t="shared" si="55"/>
        <v>1</v>
      </c>
      <c r="H297" s="680"/>
      <c r="I297" s="24">
        <f t="shared" si="56"/>
        <v>1</v>
      </c>
      <c r="J297" s="680"/>
      <c r="K297" s="24">
        <f t="shared" si="57"/>
        <v>1</v>
      </c>
      <c r="L297" s="680"/>
      <c r="M297" s="24">
        <f t="shared" si="58"/>
        <v>1</v>
      </c>
      <c r="N297" s="680"/>
      <c r="O297" s="24">
        <f t="shared" si="59"/>
        <v>1</v>
      </c>
      <c r="P297" s="680"/>
      <c r="Q297" s="24">
        <f t="shared" si="60"/>
        <v>1</v>
      </c>
      <c r="R297" s="676">
        <f t="shared" si="61"/>
        <v>0</v>
      </c>
      <c r="S297" s="326">
        <f t="shared" si="62"/>
        <v>0</v>
      </c>
    </row>
    <row r="298" spans="1:19">
      <c r="A298" s="159"/>
      <c r="B298" s="59"/>
      <c r="C298" s="24">
        <f t="shared" si="53"/>
        <v>1</v>
      </c>
      <c r="D298" s="680"/>
      <c r="E298" s="24">
        <f t="shared" si="54"/>
        <v>1</v>
      </c>
      <c r="F298" s="680"/>
      <c r="G298" s="24">
        <f t="shared" si="55"/>
        <v>1</v>
      </c>
      <c r="H298" s="680"/>
      <c r="I298" s="24">
        <f t="shared" si="56"/>
        <v>1</v>
      </c>
      <c r="J298" s="680"/>
      <c r="K298" s="24">
        <f t="shared" si="57"/>
        <v>1</v>
      </c>
      <c r="L298" s="680"/>
      <c r="M298" s="24">
        <f t="shared" si="58"/>
        <v>1</v>
      </c>
      <c r="N298" s="680"/>
      <c r="O298" s="24">
        <f t="shared" si="59"/>
        <v>1</v>
      </c>
      <c r="P298" s="680"/>
      <c r="Q298" s="24">
        <f t="shared" si="60"/>
        <v>1</v>
      </c>
      <c r="R298" s="676">
        <f t="shared" si="61"/>
        <v>0</v>
      </c>
      <c r="S298" s="326">
        <f t="shared" si="62"/>
        <v>0</v>
      </c>
    </row>
    <row r="299" spans="1:19">
      <c r="A299" s="159"/>
      <c r="B299" s="59"/>
      <c r="C299" s="24">
        <f t="shared" si="53"/>
        <v>1</v>
      </c>
      <c r="D299" s="680"/>
      <c r="E299" s="24">
        <f t="shared" si="54"/>
        <v>1</v>
      </c>
      <c r="F299" s="680"/>
      <c r="G299" s="24">
        <f t="shared" si="55"/>
        <v>1</v>
      </c>
      <c r="H299" s="680"/>
      <c r="I299" s="24">
        <f t="shared" si="56"/>
        <v>1</v>
      </c>
      <c r="J299" s="680"/>
      <c r="K299" s="24">
        <f t="shared" si="57"/>
        <v>1</v>
      </c>
      <c r="L299" s="680"/>
      <c r="M299" s="24">
        <f t="shared" si="58"/>
        <v>1</v>
      </c>
      <c r="N299" s="680"/>
      <c r="O299" s="24">
        <f t="shared" si="59"/>
        <v>1</v>
      </c>
      <c r="P299" s="680"/>
      <c r="Q299" s="24">
        <f t="shared" si="60"/>
        <v>1</v>
      </c>
      <c r="R299" s="676">
        <f t="shared" si="61"/>
        <v>0</v>
      </c>
      <c r="S299" s="326">
        <f t="shared" si="62"/>
        <v>0</v>
      </c>
    </row>
    <row r="300" spans="1:19">
      <c r="A300" s="159"/>
      <c r="B300" s="59"/>
      <c r="C300" s="24">
        <f t="shared" si="53"/>
        <v>1</v>
      </c>
      <c r="D300" s="680"/>
      <c r="E300" s="24">
        <f t="shared" si="54"/>
        <v>1</v>
      </c>
      <c r="F300" s="680"/>
      <c r="G300" s="24">
        <f t="shared" si="55"/>
        <v>1</v>
      </c>
      <c r="H300" s="680"/>
      <c r="I300" s="24">
        <f t="shared" si="56"/>
        <v>1</v>
      </c>
      <c r="J300" s="680"/>
      <c r="K300" s="24">
        <f t="shared" si="57"/>
        <v>1</v>
      </c>
      <c r="L300" s="680"/>
      <c r="M300" s="24">
        <f t="shared" si="58"/>
        <v>1</v>
      </c>
      <c r="N300" s="680"/>
      <c r="O300" s="24">
        <f t="shared" si="59"/>
        <v>1</v>
      </c>
      <c r="P300" s="680"/>
      <c r="Q300" s="24">
        <f t="shared" si="60"/>
        <v>1</v>
      </c>
      <c r="R300" s="676">
        <f t="shared" si="61"/>
        <v>0</v>
      </c>
      <c r="S300" s="326">
        <f t="shared" si="62"/>
        <v>0</v>
      </c>
    </row>
    <row r="301" spans="1:19">
      <c r="A301" s="159"/>
      <c r="B301" s="59"/>
      <c r="C301" s="24">
        <f t="shared" si="53"/>
        <v>1</v>
      </c>
      <c r="D301" s="680"/>
      <c r="E301" s="24">
        <f t="shared" si="54"/>
        <v>1</v>
      </c>
      <c r="F301" s="680"/>
      <c r="G301" s="24">
        <f t="shared" si="55"/>
        <v>1</v>
      </c>
      <c r="H301" s="680"/>
      <c r="I301" s="24">
        <f t="shared" si="56"/>
        <v>1</v>
      </c>
      <c r="J301" s="680"/>
      <c r="K301" s="24">
        <f t="shared" si="57"/>
        <v>1</v>
      </c>
      <c r="L301" s="680"/>
      <c r="M301" s="24">
        <f t="shared" si="58"/>
        <v>1</v>
      </c>
      <c r="N301" s="680"/>
      <c r="O301" s="24">
        <f t="shared" si="59"/>
        <v>1</v>
      </c>
      <c r="P301" s="680"/>
      <c r="Q301" s="24">
        <f t="shared" si="60"/>
        <v>1</v>
      </c>
      <c r="R301" s="676">
        <f t="shared" si="61"/>
        <v>0</v>
      </c>
      <c r="S301" s="326">
        <f t="shared" si="62"/>
        <v>0</v>
      </c>
    </row>
    <row r="302" spans="1:19">
      <c r="A302" s="159"/>
      <c r="B302" s="59"/>
      <c r="C302" s="24">
        <f t="shared" si="53"/>
        <v>1</v>
      </c>
      <c r="D302" s="680"/>
      <c r="E302" s="24">
        <f t="shared" si="54"/>
        <v>1</v>
      </c>
      <c r="F302" s="680"/>
      <c r="G302" s="24">
        <f t="shared" si="55"/>
        <v>1</v>
      </c>
      <c r="H302" s="680"/>
      <c r="I302" s="24">
        <f t="shared" si="56"/>
        <v>1</v>
      </c>
      <c r="J302" s="680"/>
      <c r="K302" s="24">
        <f t="shared" si="57"/>
        <v>1</v>
      </c>
      <c r="L302" s="680"/>
      <c r="M302" s="24">
        <f t="shared" si="58"/>
        <v>1</v>
      </c>
      <c r="N302" s="680"/>
      <c r="O302" s="24">
        <f t="shared" si="59"/>
        <v>1</v>
      </c>
      <c r="P302" s="680"/>
      <c r="Q302" s="24">
        <f t="shared" si="60"/>
        <v>1</v>
      </c>
      <c r="R302" s="676">
        <f t="shared" si="61"/>
        <v>0</v>
      </c>
      <c r="S302" s="326">
        <f t="shared" si="62"/>
        <v>0</v>
      </c>
    </row>
    <row r="303" spans="1:19">
      <c r="A303" s="159"/>
      <c r="B303" s="59"/>
      <c r="C303" s="24">
        <f t="shared" si="53"/>
        <v>1</v>
      </c>
      <c r="D303" s="680"/>
      <c r="E303" s="24">
        <f t="shared" si="54"/>
        <v>1</v>
      </c>
      <c r="F303" s="680"/>
      <c r="G303" s="24">
        <f t="shared" si="55"/>
        <v>1</v>
      </c>
      <c r="H303" s="680"/>
      <c r="I303" s="24">
        <f t="shared" si="56"/>
        <v>1</v>
      </c>
      <c r="J303" s="680"/>
      <c r="K303" s="24">
        <f t="shared" si="57"/>
        <v>1</v>
      </c>
      <c r="L303" s="680"/>
      <c r="M303" s="24">
        <f t="shared" si="58"/>
        <v>1</v>
      </c>
      <c r="N303" s="680"/>
      <c r="O303" s="24">
        <f t="shared" si="59"/>
        <v>1</v>
      </c>
      <c r="P303" s="680"/>
      <c r="Q303" s="24">
        <f t="shared" si="60"/>
        <v>1</v>
      </c>
      <c r="R303" s="676">
        <f t="shared" si="61"/>
        <v>0</v>
      </c>
      <c r="S303" s="326">
        <f t="shared" si="62"/>
        <v>0</v>
      </c>
    </row>
    <row r="304" spans="1:19">
      <c r="A304" s="159"/>
      <c r="B304" s="59"/>
      <c r="C304" s="24">
        <f t="shared" si="53"/>
        <v>1</v>
      </c>
      <c r="D304" s="680"/>
      <c r="E304" s="24">
        <f t="shared" si="54"/>
        <v>1</v>
      </c>
      <c r="F304" s="680"/>
      <c r="G304" s="24">
        <f t="shared" si="55"/>
        <v>1</v>
      </c>
      <c r="H304" s="680"/>
      <c r="I304" s="24">
        <f t="shared" si="56"/>
        <v>1</v>
      </c>
      <c r="J304" s="680"/>
      <c r="K304" s="24">
        <f t="shared" si="57"/>
        <v>1</v>
      </c>
      <c r="L304" s="680"/>
      <c r="M304" s="24">
        <f t="shared" si="58"/>
        <v>1</v>
      </c>
      <c r="N304" s="680"/>
      <c r="O304" s="24">
        <f t="shared" si="59"/>
        <v>1</v>
      </c>
      <c r="P304" s="680"/>
      <c r="Q304" s="24">
        <f t="shared" si="60"/>
        <v>1</v>
      </c>
      <c r="R304" s="676">
        <f t="shared" si="61"/>
        <v>0</v>
      </c>
      <c r="S304" s="326">
        <f t="shared" si="62"/>
        <v>0</v>
      </c>
    </row>
    <row r="305" spans="1:19">
      <c r="A305" s="159"/>
      <c r="B305" s="59"/>
      <c r="C305" s="24">
        <f t="shared" si="53"/>
        <v>1</v>
      </c>
      <c r="D305" s="680"/>
      <c r="E305" s="24">
        <f t="shared" si="54"/>
        <v>1</v>
      </c>
      <c r="F305" s="680"/>
      <c r="G305" s="24">
        <f t="shared" si="55"/>
        <v>1</v>
      </c>
      <c r="H305" s="680"/>
      <c r="I305" s="24">
        <f t="shared" si="56"/>
        <v>1</v>
      </c>
      <c r="J305" s="680"/>
      <c r="K305" s="24">
        <f t="shared" si="57"/>
        <v>1</v>
      </c>
      <c r="L305" s="680"/>
      <c r="M305" s="24">
        <f t="shared" si="58"/>
        <v>1</v>
      </c>
      <c r="N305" s="680"/>
      <c r="O305" s="24">
        <f t="shared" si="59"/>
        <v>1</v>
      </c>
      <c r="P305" s="680"/>
      <c r="Q305" s="24">
        <f t="shared" si="60"/>
        <v>1</v>
      </c>
      <c r="R305" s="676">
        <f t="shared" si="61"/>
        <v>0</v>
      </c>
      <c r="S305" s="326">
        <f t="shared" si="62"/>
        <v>0</v>
      </c>
    </row>
    <row r="306" spans="1:19">
      <c r="A306" s="159"/>
      <c r="B306" s="59"/>
      <c r="C306" s="24">
        <f t="shared" si="53"/>
        <v>1</v>
      </c>
      <c r="D306" s="680"/>
      <c r="E306" s="24">
        <f t="shared" si="54"/>
        <v>1</v>
      </c>
      <c r="F306" s="680"/>
      <c r="G306" s="24">
        <f t="shared" si="55"/>
        <v>1</v>
      </c>
      <c r="H306" s="680"/>
      <c r="I306" s="24">
        <f t="shared" si="56"/>
        <v>1</v>
      </c>
      <c r="J306" s="680"/>
      <c r="K306" s="24">
        <f t="shared" si="57"/>
        <v>1</v>
      </c>
      <c r="L306" s="680"/>
      <c r="M306" s="24">
        <f t="shared" si="58"/>
        <v>1</v>
      </c>
      <c r="N306" s="680"/>
      <c r="O306" s="24">
        <f t="shared" si="59"/>
        <v>1</v>
      </c>
      <c r="P306" s="680"/>
      <c r="Q306" s="24">
        <f t="shared" si="60"/>
        <v>1</v>
      </c>
      <c r="R306" s="676">
        <f t="shared" si="61"/>
        <v>0</v>
      </c>
      <c r="S306" s="326">
        <f t="shared" si="62"/>
        <v>0</v>
      </c>
    </row>
    <row r="307" spans="1:19">
      <c r="A307" s="159"/>
      <c r="B307" s="59"/>
      <c r="C307" s="24">
        <f t="shared" si="53"/>
        <v>1</v>
      </c>
      <c r="D307" s="680"/>
      <c r="E307" s="24">
        <f t="shared" si="54"/>
        <v>1</v>
      </c>
      <c r="F307" s="680"/>
      <c r="G307" s="24">
        <f t="shared" si="55"/>
        <v>1</v>
      </c>
      <c r="H307" s="680"/>
      <c r="I307" s="24">
        <f t="shared" si="56"/>
        <v>1</v>
      </c>
      <c r="J307" s="680"/>
      <c r="K307" s="24">
        <f t="shared" si="57"/>
        <v>1</v>
      </c>
      <c r="L307" s="680"/>
      <c r="M307" s="24">
        <f t="shared" si="58"/>
        <v>1</v>
      </c>
      <c r="N307" s="680"/>
      <c r="O307" s="24">
        <f t="shared" si="59"/>
        <v>1</v>
      </c>
      <c r="P307" s="680"/>
      <c r="Q307" s="24">
        <f t="shared" si="60"/>
        <v>1</v>
      </c>
      <c r="R307" s="676">
        <f t="shared" si="61"/>
        <v>0</v>
      </c>
      <c r="S307" s="326">
        <f t="shared" si="62"/>
        <v>0</v>
      </c>
    </row>
    <row r="308" spans="1:19">
      <c r="A308" s="159"/>
      <c r="B308" s="59"/>
      <c r="C308" s="24">
        <f t="shared" si="53"/>
        <v>1</v>
      </c>
      <c r="D308" s="680"/>
      <c r="E308" s="24">
        <f t="shared" si="54"/>
        <v>1</v>
      </c>
      <c r="F308" s="680"/>
      <c r="G308" s="24">
        <f t="shared" si="55"/>
        <v>1</v>
      </c>
      <c r="H308" s="680"/>
      <c r="I308" s="24">
        <f t="shared" si="56"/>
        <v>1</v>
      </c>
      <c r="J308" s="680"/>
      <c r="K308" s="24">
        <f t="shared" si="57"/>
        <v>1</v>
      </c>
      <c r="L308" s="680"/>
      <c r="M308" s="24">
        <f t="shared" si="58"/>
        <v>1</v>
      </c>
      <c r="N308" s="680"/>
      <c r="O308" s="24">
        <f t="shared" si="59"/>
        <v>1</v>
      </c>
      <c r="P308" s="680"/>
      <c r="Q308" s="24">
        <f t="shared" si="60"/>
        <v>1</v>
      </c>
      <c r="R308" s="676">
        <f t="shared" si="61"/>
        <v>0</v>
      </c>
      <c r="S308" s="326">
        <f t="shared" si="62"/>
        <v>0</v>
      </c>
    </row>
    <row r="309" spans="1:19">
      <c r="A309" s="159"/>
      <c r="B309" s="59"/>
      <c r="C309" s="24">
        <f t="shared" si="53"/>
        <v>1</v>
      </c>
      <c r="D309" s="680"/>
      <c r="E309" s="24">
        <f t="shared" si="54"/>
        <v>1</v>
      </c>
      <c r="F309" s="680"/>
      <c r="G309" s="24">
        <f t="shared" si="55"/>
        <v>1</v>
      </c>
      <c r="H309" s="680"/>
      <c r="I309" s="24">
        <f t="shared" si="56"/>
        <v>1</v>
      </c>
      <c r="J309" s="680"/>
      <c r="K309" s="24">
        <f t="shared" si="57"/>
        <v>1</v>
      </c>
      <c r="L309" s="680"/>
      <c r="M309" s="24">
        <f t="shared" si="58"/>
        <v>1</v>
      </c>
      <c r="N309" s="680"/>
      <c r="O309" s="24">
        <f t="shared" si="59"/>
        <v>1</v>
      </c>
      <c r="P309" s="680"/>
      <c r="Q309" s="24">
        <f t="shared" si="60"/>
        <v>1</v>
      </c>
      <c r="R309" s="676">
        <f t="shared" si="61"/>
        <v>0</v>
      </c>
      <c r="S309" s="326">
        <f t="shared" si="62"/>
        <v>0</v>
      </c>
    </row>
    <row r="310" spans="1:19">
      <c r="A310" s="159"/>
      <c r="B310" s="59"/>
      <c r="C310" s="24">
        <f t="shared" si="53"/>
        <v>1</v>
      </c>
      <c r="D310" s="680"/>
      <c r="E310" s="24">
        <f t="shared" si="54"/>
        <v>1</v>
      </c>
      <c r="F310" s="680"/>
      <c r="G310" s="24">
        <f t="shared" si="55"/>
        <v>1</v>
      </c>
      <c r="H310" s="680"/>
      <c r="I310" s="24">
        <f t="shared" si="56"/>
        <v>1</v>
      </c>
      <c r="J310" s="680"/>
      <c r="K310" s="24">
        <f t="shared" si="57"/>
        <v>1</v>
      </c>
      <c r="L310" s="680"/>
      <c r="M310" s="24">
        <f t="shared" si="58"/>
        <v>1</v>
      </c>
      <c r="N310" s="680"/>
      <c r="O310" s="24">
        <f t="shared" si="59"/>
        <v>1</v>
      </c>
      <c r="P310" s="680"/>
      <c r="Q310" s="24">
        <f t="shared" si="60"/>
        <v>1</v>
      </c>
      <c r="R310" s="676">
        <f t="shared" si="61"/>
        <v>0</v>
      </c>
      <c r="S310" s="326">
        <f t="shared" si="62"/>
        <v>0</v>
      </c>
    </row>
    <row r="311" spans="1:19">
      <c r="A311" s="159"/>
      <c r="B311" s="59"/>
      <c r="C311" s="24">
        <f t="shared" si="53"/>
        <v>1</v>
      </c>
      <c r="D311" s="680"/>
      <c r="E311" s="24">
        <f t="shared" si="54"/>
        <v>1</v>
      </c>
      <c r="F311" s="680"/>
      <c r="G311" s="24">
        <f t="shared" si="55"/>
        <v>1</v>
      </c>
      <c r="H311" s="680"/>
      <c r="I311" s="24">
        <f t="shared" si="56"/>
        <v>1</v>
      </c>
      <c r="J311" s="680"/>
      <c r="K311" s="24">
        <f t="shared" si="57"/>
        <v>1</v>
      </c>
      <c r="L311" s="680"/>
      <c r="M311" s="24">
        <f t="shared" si="58"/>
        <v>1</v>
      </c>
      <c r="N311" s="680"/>
      <c r="O311" s="24">
        <f t="shared" si="59"/>
        <v>1</v>
      </c>
      <c r="P311" s="680"/>
      <c r="Q311" s="24">
        <f t="shared" si="60"/>
        <v>1</v>
      </c>
      <c r="R311" s="676">
        <f t="shared" si="61"/>
        <v>0</v>
      </c>
      <c r="S311" s="326">
        <f t="shared" si="62"/>
        <v>0</v>
      </c>
    </row>
    <row r="312" spans="1:19">
      <c r="A312" s="159"/>
      <c r="B312" s="59"/>
      <c r="C312" s="24">
        <f t="shared" si="53"/>
        <v>1</v>
      </c>
      <c r="D312" s="680"/>
      <c r="E312" s="24">
        <f t="shared" si="54"/>
        <v>1</v>
      </c>
      <c r="F312" s="680"/>
      <c r="G312" s="24">
        <f t="shared" si="55"/>
        <v>1</v>
      </c>
      <c r="H312" s="680"/>
      <c r="I312" s="24">
        <f t="shared" si="56"/>
        <v>1</v>
      </c>
      <c r="J312" s="680"/>
      <c r="K312" s="24">
        <f t="shared" si="57"/>
        <v>1</v>
      </c>
      <c r="L312" s="680"/>
      <c r="M312" s="24">
        <f t="shared" si="58"/>
        <v>1</v>
      </c>
      <c r="N312" s="680"/>
      <c r="O312" s="24">
        <f t="shared" si="59"/>
        <v>1</v>
      </c>
      <c r="P312" s="680"/>
      <c r="Q312" s="24">
        <f t="shared" si="60"/>
        <v>1</v>
      </c>
      <c r="R312" s="676">
        <f t="shared" si="61"/>
        <v>0</v>
      </c>
      <c r="S312" s="326">
        <f t="shared" si="62"/>
        <v>0</v>
      </c>
    </row>
    <row r="313" spans="1:19">
      <c r="A313" s="159"/>
      <c r="B313" s="59"/>
      <c r="C313" s="24">
        <f t="shared" si="53"/>
        <v>1</v>
      </c>
      <c r="D313" s="680"/>
      <c r="E313" s="24">
        <f t="shared" si="54"/>
        <v>1</v>
      </c>
      <c r="F313" s="680"/>
      <c r="G313" s="24">
        <f t="shared" si="55"/>
        <v>1</v>
      </c>
      <c r="H313" s="680"/>
      <c r="I313" s="24">
        <f t="shared" si="56"/>
        <v>1</v>
      </c>
      <c r="J313" s="680"/>
      <c r="K313" s="24">
        <f t="shared" si="57"/>
        <v>1</v>
      </c>
      <c r="L313" s="680"/>
      <c r="M313" s="24">
        <f t="shared" si="58"/>
        <v>1</v>
      </c>
      <c r="N313" s="680"/>
      <c r="O313" s="24">
        <f t="shared" si="59"/>
        <v>1</v>
      </c>
      <c r="P313" s="680"/>
      <c r="Q313" s="24">
        <f t="shared" si="60"/>
        <v>1</v>
      </c>
      <c r="R313" s="676">
        <f t="shared" si="61"/>
        <v>0</v>
      </c>
      <c r="S313" s="326">
        <f t="shared" si="62"/>
        <v>0</v>
      </c>
    </row>
    <row r="314" spans="1:19">
      <c r="A314" s="159"/>
      <c r="B314" s="59"/>
      <c r="C314" s="24">
        <f t="shared" si="53"/>
        <v>1</v>
      </c>
      <c r="D314" s="680"/>
      <c r="E314" s="24">
        <f t="shared" si="54"/>
        <v>1</v>
      </c>
      <c r="F314" s="680"/>
      <c r="G314" s="24">
        <f t="shared" si="55"/>
        <v>1</v>
      </c>
      <c r="H314" s="680"/>
      <c r="I314" s="24">
        <f t="shared" si="56"/>
        <v>1</v>
      </c>
      <c r="J314" s="680"/>
      <c r="K314" s="24">
        <f t="shared" si="57"/>
        <v>1</v>
      </c>
      <c r="L314" s="680"/>
      <c r="M314" s="24">
        <f t="shared" si="58"/>
        <v>1</v>
      </c>
      <c r="N314" s="680"/>
      <c r="O314" s="24">
        <f t="shared" si="59"/>
        <v>1</v>
      </c>
      <c r="P314" s="680"/>
      <c r="Q314" s="24">
        <f t="shared" si="60"/>
        <v>1</v>
      </c>
      <c r="R314" s="676">
        <f t="shared" si="61"/>
        <v>0</v>
      </c>
      <c r="S314" s="326">
        <f t="shared" si="62"/>
        <v>0</v>
      </c>
    </row>
    <row r="315" spans="1:19">
      <c r="A315" s="159"/>
      <c r="B315" s="59"/>
      <c r="C315" s="24">
        <f t="shared" si="53"/>
        <v>1</v>
      </c>
      <c r="D315" s="680"/>
      <c r="E315" s="24">
        <f t="shared" si="54"/>
        <v>1</v>
      </c>
      <c r="F315" s="680"/>
      <c r="G315" s="24">
        <f t="shared" si="55"/>
        <v>1</v>
      </c>
      <c r="H315" s="680"/>
      <c r="I315" s="24">
        <f t="shared" si="56"/>
        <v>1</v>
      </c>
      <c r="J315" s="680"/>
      <c r="K315" s="24">
        <f t="shared" si="57"/>
        <v>1</v>
      </c>
      <c r="L315" s="680"/>
      <c r="M315" s="24">
        <f t="shared" si="58"/>
        <v>1</v>
      </c>
      <c r="N315" s="680"/>
      <c r="O315" s="24">
        <f t="shared" si="59"/>
        <v>1</v>
      </c>
      <c r="P315" s="680"/>
      <c r="Q315" s="24">
        <f t="shared" si="60"/>
        <v>1</v>
      </c>
      <c r="R315" s="676">
        <f t="shared" si="61"/>
        <v>0</v>
      </c>
      <c r="S315" s="326">
        <f t="shared" si="62"/>
        <v>0</v>
      </c>
    </row>
    <row r="316" spans="1:19">
      <c r="A316" s="159"/>
      <c r="B316" s="59"/>
      <c r="C316" s="24">
        <f t="shared" si="53"/>
        <v>1</v>
      </c>
      <c r="D316" s="680"/>
      <c r="E316" s="24">
        <f t="shared" si="54"/>
        <v>1</v>
      </c>
      <c r="F316" s="680"/>
      <c r="G316" s="24">
        <f t="shared" si="55"/>
        <v>1</v>
      </c>
      <c r="H316" s="680"/>
      <c r="I316" s="24">
        <f t="shared" si="56"/>
        <v>1</v>
      </c>
      <c r="J316" s="680"/>
      <c r="K316" s="24">
        <f t="shared" si="57"/>
        <v>1</v>
      </c>
      <c r="L316" s="680"/>
      <c r="M316" s="24">
        <f t="shared" si="58"/>
        <v>1</v>
      </c>
      <c r="N316" s="680"/>
      <c r="O316" s="24">
        <f t="shared" si="59"/>
        <v>1</v>
      </c>
      <c r="P316" s="680"/>
      <c r="Q316" s="24">
        <f t="shared" si="60"/>
        <v>1</v>
      </c>
      <c r="R316" s="676">
        <f t="shared" si="61"/>
        <v>0</v>
      </c>
      <c r="S316" s="326">
        <f t="shared" si="62"/>
        <v>0</v>
      </c>
    </row>
    <row r="317" spans="1:19">
      <c r="A317" s="159"/>
      <c r="B317" s="59"/>
      <c r="C317" s="24">
        <f t="shared" si="53"/>
        <v>1</v>
      </c>
      <c r="D317" s="680"/>
      <c r="E317" s="24">
        <f t="shared" si="54"/>
        <v>1</v>
      </c>
      <c r="F317" s="680"/>
      <c r="G317" s="24">
        <f t="shared" si="55"/>
        <v>1</v>
      </c>
      <c r="H317" s="680"/>
      <c r="I317" s="24">
        <f t="shared" si="56"/>
        <v>1</v>
      </c>
      <c r="J317" s="680"/>
      <c r="K317" s="24">
        <f t="shared" si="57"/>
        <v>1</v>
      </c>
      <c r="L317" s="680"/>
      <c r="M317" s="24">
        <f t="shared" si="58"/>
        <v>1</v>
      </c>
      <c r="N317" s="680"/>
      <c r="O317" s="24">
        <f t="shared" si="59"/>
        <v>1</v>
      </c>
      <c r="P317" s="680"/>
      <c r="Q317" s="24">
        <f t="shared" si="60"/>
        <v>1</v>
      </c>
      <c r="R317" s="676">
        <f t="shared" si="61"/>
        <v>0</v>
      </c>
      <c r="S317" s="326">
        <f t="shared" si="62"/>
        <v>0</v>
      </c>
    </row>
    <row r="318" spans="1:19">
      <c r="A318" s="159"/>
      <c r="B318" s="59"/>
      <c r="C318" s="24">
        <f t="shared" si="53"/>
        <v>1</v>
      </c>
      <c r="D318" s="680"/>
      <c r="E318" s="24">
        <f t="shared" si="54"/>
        <v>1</v>
      </c>
      <c r="F318" s="680"/>
      <c r="G318" s="24">
        <f t="shared" si="55"/>
        <v>1</v>
      </c>
      <c r="H318" s="680"/>
      <c r="I318" s="24">
        <f t="shared" si="56"/>
        <v>1</v>
      </c>
      <c r="J318" s="680"/>
      <c r="K318" s="24">
        <f t="shared" si="57"/>
        <v>1</v>
      </c>
      <c r="L318" s="680"/>
      <c r="M318" s="24">
        <f t="shared" si="58"/>
        <v>1</v>
      </c>
      <c r="N318" s="680"/>
      <c r="O318" s="24">
        <f t="shared" si="59"/>
        <v>1</v>
      </c>
      <c r="P318" s="680"/>
      <c r="Q318" s="24">
        <f t="shared" si="60"/>
        <v>1</v>
      </c>
      <c r="R318" s="676">
        <f t="shared" si="61"/>
        <v>0</v>
      </c>
      <c r="S318" s="326">
        <f t="shared" si="62"/>
        <v>0</v>
      </c>
    </row>
    <row r="319" spans="1:19">
      <c r="A319" s="159"/>
      <c r="B319" s="59"/>
      <c r="C319" s="24">
        <f t="shared" si="53"/>
        <v>1</v>
      </c>
      <c r="D319" s="680"/>
      <c r="E319" s="24">
        <f t="shared" si="54"/>
        <v>1</v>
      </c>
      <c r="F319" s="680"/>
      <c r="G319" s="24">
        <f t="shared" si="55"/>
        <v>1</v>
      </c>
      <c r="H319" s="680"/>
      <c r="I319" s="24">
        <f t="shared" si="56"/>
        <v>1</v>
      </c>
      <c r="J319" s="680"/>
      <c r="K319" s="24">
        <f t="shared" si="57"/>
        <v>1</v>
      </c>
      <c r="L319" s="680"/>
      <c r="M319" s="24">
        <f t="shared" si="58"/>
        <v>1</v>
      </c>
      <c r="N319" s="680"/>
      <c r="O319" s="24">
        <f t="shared" si="59"/>
        <v>1</v>
      </c>
      <c r="P319" s="680"/>
      <c r="Q319" s="24">
        <f t="shared" si="60"/>
        <v>1</v>
      </c>
      <c r="R319" s="676">
        <f t="shared" si="61"/>
        <v>0</v>
      </c>
      <c r="S319" s="326">
        <f t="shared" si="62"/>
        <v>0</v>
      </c>
    </row>
    <row r="320" spans="1:19">
      <c r="A320" s="159"/>
      <c r="B320" s="59"/>
      <c r="C320" s="24">
        <f t="shared" si="53"/>
        <v>1</v>
      </c>
      <c r="D320" s="680"/>
      <c r="E320" s="24">
        <f t="shared" si="54"/>
        <v>1</v>
      </c>
      <c r="F320" s="680"/>
      <c r="G320" s="24">
        <f t="shared" si="55"/>
        <v>1</v>
      </c>
      <c r="H320" s="680"/>
      <c r="I320" s="24">
        <f t="shared" si="56"/>
        <v>1</v>
      </c>
      <c r="J320" s="680"/>
      <c r="K320" s="24">
        <f t="shared" si="57"/>
        <v>1</v>
      </c>
      <c r="L320" s="680"/>
      <c r="M320" s="24">
        <f t="shared" si="58"/>
        <v>1</v>
      </c>
      <c r="N320" s="680"/>
      <c r="O320" s="24">
        <f t="shared" si="59"/>
        <v>1</v>
      </c>
      <c r="P320" s="680"/>
      <c r="Q320" s="24">
        <f t="shared" si="60"/>
        <v>1</v>
      </c>
      <c r="R320" s="676">
        <f t="shared" si="61"/>
        <v>0</v>
      </c>
      <c r="S320" s="326">
        <f t="shared" si="62"/>
        <v>0</v>
      </c>
    </row>
    <row r="321" spans="1:19">
      <c r="A321" s="159"/>
      <c r="B321" s="59"/>
      <c r="C321" s="24">
        <f t="shared" si="53"/>
        <v>1</v>
      </c>
      <c r="D321" s="680"/>
      <c r="E321" s="24">
        <f t="shared" si="54"/>
        <v>1</v>
      </c>
      <c r="F321" s="680"/>
      <c r="G321" s="24">
        <f t="shared" si="55"/>
        <v>1</v>
      </c>
      <c r="H321" s="680"/>
      <c r="I321" s="24">
        <f t="shared" si="56"/>
        <v>1</v>
      </c>
      <c r="J321" s="680"/>
      <c r="K321" s="24">
        <f t="shared" si="57"/>
        <v>1</v>
      </c>
      <c r="L321" s="680"/>
      <c r="M321" s="24">
        <f t="shared" si="58"/>
        <v>1</v>
      </c>
      <c r="N321" s="680"/>
      <c r="O321" s="24">
        <f t="shared" si="59"/>
        <v>1</v>
      </c>
      <c r="P321" s="680"/>
      <c r="Q321" s="24">
        <f t="shared" si="60"/>
        <v>1</v>
      </c>
      <c r="R321" s="676">
        <f t="shared" si="61"/>
        <v>0</v>
      </c>
      <c r="S321" s="326">
        <f t="shared" ref="S321:S384" si="63">ROUND(R321*B321/10000,0)</f>
        <v>0</v>
      </c>
    </row>
    <row r="322" spans="1:19">
      <c r="A322" s="159"/>
      <c r="B322" s="59"/>
      <c r="C322" s="24">
        <f t="shared" si="53"/>
        <v>1</v>
      </c>
      <c r="D322" s="680"/>
      <c r="E322" s="24">
        <f t="shared" si="54"/>
        <v>1</v>
      </c>
      <c r="F322" s="680"/>
      <c r="G322" s="24">
        <f t="shared" si="55"/>
        <v>1</v>
      </c>
      <c r="H322" s="680"/>
      <c r="I322" s="24">
        <f t="shared" si="56"/>
        <v>1</v>
      </c>
      <c r="J322" s="680"/>
      <c r="K322" s="24">
        <f t="shared" si="57"/>
        <v>1</v>
      </c>
      <c r="L322" s="680"/>
      <c r="M322" s="24">
        <f t="shared" si="58"/>
        <v>1</v>
      </c>
      <c r="N322" s="680"/>
      <c r="O322" s="24">
        <f t="shared" si="59"/>
        <v>1</v>
      </c>
      <c r="P322" s="680"/>
      <c r="Q322" s="24">
        <f t="shared" si="60"/>
        <v>1</v>
      </c>
      <c r="R322" s="676">
        <f t="shared" si="61"/>
        <v>0</v>
      </c>
      <c r="S322" s="326">
        <f t="shared" si="63"/>
        <v>0</v>
      </c>
    </row>
    <row r="323" spans="1:19">
      <c r="A323" s="159"/>
      <c r="B323" s="59"/>
      <c r="C323" s="24">
        <f t="shared" si="53"/>
        <v>1</v>
      </c>
      <c r="D323" s="680"/>
      <c r="E323" s="24">
        <f t="shared" si="54"/>
        <v>1</v>
      </c>
      <c r="F323" s="680"/>
      <c r="G323" s="24">
        <f t="shared" si="55"/>
        <v>1</v>
      </c>
      <c r="H323" s="680"/>
      <c r="I323" s="24">
        <f t="shared" si="56"/>
        <v>1</v>
      </c>
      <c r="J323" s="680"/>
      <c r="K323" s="24">
        <f t="shared" si="57"/>
        <v>1</v>
      </c>
      <c r="L323" s="680"/>
      <c r="M323" s="24">
        <f t="shared" si="58"/>
        <v>1</v>
      </c>
      <c r="N323" s="680"/>
      <c r="O323" s="24">
        <f t="shared" si="59"/>
        <v>1</v>
      </c>
      <c r="P323" s="680"/>
      <c r="Q323" s="24">
        <f t="shared" si="60"/>
        <v>1</v>
      </c>
      <c r="R323" s="676">
        <f t="shared" si="61"/>
        <v>0</v>
      </c>
      <c r="S323" s="326">
        <f t="shared" si="63"/>
        <v>0</v>
      </c>
    </row>
    <row r="324" spans="1:19">
      <c r="A324" s="159"/>
      <c r="B324" s="59"/>
      <c r="C324" s="24">
        <f t="shared" si="53"/>
        <v>1</v>
      </c>
      <c r="D324" s="680"/>
      <c r="E324" s="24">
        <f t="shared" si="54"/>
        <v>1</v>
      </c>
      <c r="F324" s="680"/>
      <c r="G324" s="24">
        <f t="shared" si="55"/>
        <v>1</v>
      </c>
      <c r="H324" s="680"/>
      <c r="I324" s="24">
        <f t="shared" si="56"/>
        <v>1</v>
      </c>
      <c r="J324" s="680"/>
      <c r="K324" s="24">
        <f t="shared" si="57"/>
        <v>1</v>
      </c>
      <c r="L324" s="680"/>
      <c r="M324" s="24">
        <f t="shared" si="58"/>
        <v>1</v>
      </c>
      <c r="N324" s="680"/>
      <c r="O324" s="24">
        <f t="shared" si="59"/>
        <v>1</v>
      </c>
      <c r="P324" s="680"/>
      <c r="Q324" s="24">
        <f t="shared" si="60"/>
        <v>1</v>
      </c>
      <c r="R324" s="676">
        <f t="shared" si="61"/>
        <v>0</v>
      </c>
      <c r="S324" s="326">
        <f t="shared" si="63"/>
        <v>0</v>
      </c>
    </row>
    <row r="325" spans="1:19">
      <c r="A325" s="159"/>
      <c r="B325" s="59"/>
      <c r="C325" s="24">
        <f t="shared" si="53"/>
        <v>1</v>
      </c>
      <c r="D325" s="680"/>
      <c r="E325" s="24">
        <f t="shared" si="54"/>
        <v>1</v>
      </c>
      <c r="F325" s="680"/>
      <c r="G325" s="24">
        <f t="shared" si="55"/>
        <v>1</v>
      </c>
      <c r="H325" s="680"/>
      <c r="I325" s="24">
        <f t="shared" si="56"/>
        <v>1</v>
      </c>
      <c r="J325" s="680"/>
      <c r="K325" s="24">
        <f t="shared" si="57"/>
        <v>1</v>
      </c>
      <c r="L325" s="680"/>
      <c r="M325" s="24">
        <f t="shared" si="58"/>
        <v>1</v>
      </c>
      <c r="N325" s="680"/>
      <c r="O325" s="24">
        <f t="shared" si="59"/>
        <v>1</v>
      </c>
      <c r="P325" s="680"/>
      <c r="Q325" s="24">
        <f t="shared" si="60"/>
        <v>1</v>
      </c>
      <c r="R325" s="676">
        <f t="shared" si="61"/>
        <v>0</v>
      </c>
      <c r="S325" s="326">
        <f t="shared" si="63"/>
        <v>0</v>
      </c>
    </row>
    <row r="326" spans="1:19">
      <c r="A326" s="159"/>
      <c r="B326" s="59"/>
      <c r="C326" s="24">
        <f t="shared" si="53"/>
        <v>1</v>
      </c>
      <c r="D326" s="680"/>
      <c r="E326" s="24">
        <f t="shared" si="54"/>
        <v>1</v>
      </c>
      <c r="F326" s="680"/>
      <c r="G326" s="24">
        <f t="shared" si="55"/>
        <v>1</v>
      </c>
      <c r="H326" s="680"/>
      <c r="I326" s="24">
        <f t="shared" si="56"/>
        <v>1</v>
      </c>
      <c r="J326" s="680"/>
      <c r="K326" s="24">
        <f t="shared" si="57"/>
        <v>1</v>
      </c>
      <c r="L326" s="680"/>
      <c r="M326" s="24">
        <f t="shared" si="58"/>
        <v>1</v>
      </c>
      <c r="N326" s="680"/>
      <c r="O326" s="24">
        <f t="shared" si="59"/>
        <v>1</v>
      </c>
      <c r="P326" s="680"/>
      <c r="Q326" s="24">
        <f t="shared" si="60"/>
        <v>1</v>
      </c>
      <c r="R326" s="676">
        <f t="shared" si="61"/>
        <v>0</v>
      </c>
      <c r="S326" s="326">
        <f t="shared" si="63"/>
        <v>0</v>
      </c>
    </row>
    <row r="327" spans="1:19">
      <c r="A327" s="159"/>
      <c r="B327" s="59"/>
      <c r="C327" s="24">
        <f t="shared" si="53"/>
        <v>1</v>
      </c>
      <c r="D327" s="680"/>
      <c r="E327" s="24">
        <f t="shared" si="54"/>
        <v>1</v>
      </c>
      <c r="F327" s="680"/>
      <c r="G327" s="24">
        <f t="shared" si="55"/>
        <v>1</v>
      </c>
      <c r="H327" s="680"/>
      <c r="I327" s="24">
        <f t="shared" si="56"/>
        <v>1</v>
      </c>
      <c r="J327" s="680"/>
      <c r="K327" s="24">
        <f t="shared" si="57"/>
        <v>1</v>
      </c>
      <c r="L327" s="680"/>
      <c r="M327" s="24">
        <f t="shared" si="58"/>
        <v>1</v>
      </c>
      <c r="N327" s="680"/>
      <c r="O327" s="24">
        <f t="shared" si="59"/>
        <v>1</v>
      </c>
      <c r="P327" s="680"/>
      <c r="Q327" s="24">
        <f t="shared" si="60"/>
        <v>1</v>
      </c>
      <c r="R327" s="676">
        <f t="shared" si="61"/>
        <v>0</v>
      </c>
      <c r="S327" s="326">
        <f t="shared" si="63"/>
        <v>0</v>
      </c>
    </row>
    <row r="328" spans="1:19">
      <c r="A328" s="159"/>
      <c r="B328" s="59"/>
      <c r="C328" s="24">
        <f t="shared" si="53"/>
        <v>1</v>
      </c>
      <c r="D328" s="680"/>
      <c r="E328" s="24">
        <f t="shared" si="54"/>
        <v>1</v>
      </c>
      <c r="F328" s="680"/>
      <c r="G328" s="24">
        <f t="shared" si="55"/>
        <v>1</v>
      </c>
      <c r="H328" s="680"/>
      <c r="I328" s="24">
        <f t="shared" si="56"/>
        <v>1</v>
      </c>
      <c r="J328" s="680"/>
      <c r="K328" s="24">
        <f t="shared" si="57"/>
        <v>1</v>
      </c>
      <c r="L328" s="680"/>
      <c r="M328" s="24">
        <f t="shared" si="58"/>
        <v>1</v>
      </c>
      <c r="N328" s="680"/>
      <c r="O328" s="24">
        <f t="shared" si="59"/>
        <v>1</v>
      </c>
      <c r="P328" s="680"/>
      <c r="Q328" s="24">
        <f t="shared" si="60"/>
        <v>1</v>
      </c>
      <c r="R328" s="676">
        <f t="shared" si="61"/>
        <v>0</v>
      </c>
      <c r="S328" s="326">
        <f t="shared" si="63"/>
        <v>0</v>
      </c>
    </row>
    <row r="329" spans="1:19">
      <c r="A329" s="159"/>
      <c r="B329" s="59"/>
      <c r="C329" s="24">
        <f t="shared" si="53"/>
        <v>1</v>
      </c>
      <c r="D329" s="680"/>
      <c r="E329" s="24">
        <f t="shared" si="54"/>
        <v>1</v>
      </c>
      <c r="F329" s="680"/>
      <c r="G329" s="24">
        <f t="shared" si="55"/>
        <v>1</v>
      </c>
      <c r="H329" s="680"/>
      <c r="I329" s="24">
        <f t="shared" si="56"/>
        <v>1</v>
      </c>
      <c r="J329" s="680"/>
      <c r="K329" s="24">
        <f t="shared" si="57"/>
        <v>1</v>
      </c>
      <c r="L329" s="680"/>
      <c r="M329" s="24">
        <f t="shared" si="58"/>
        <v>1</v>
      </c>
      <c r="N329" s="680"/>
      <c r="O329" s="24">
        <f t="shared" si="59"/>
        <v>1</v>
      </c>
      <c r="P329" s="680"/>
      <c r="Q329" s="24">
        <f t="shared" si="60"/>
        <v>1</v>
      </c>
      <c r="R329" s="676">
        <f t="shared" si="61"/>
        <v>0</v>
      </c>
      <c r="S329" s="326">
        <f t="shared" si="63"/>
        <v>0</v>
      </c>
    </row>
    <row r="330" spans="1:19">
      <c r="A330" s="159"/>
      <c r="B330" s="59"/>
      <c r="C330" s="24">
        <f t="shared" si="53"/>
        <v>1</v>
      </c>
      <c r="D330" s="680"/>
      <c r="E330" s="24">
        <f t="shared" si="54"/>
        <v>1</v>
      </c>
      <c r="F330" s="680"/>
      <c r="G330" s="24">
        <f t="shared" si="55"/>
        <v>1</v>
      </c>
      <c r="H330" s="680"/>
      <c r="I330" s="24">
        <f t="shared" si="56"/>
        <v>1</v>
      </c>
      <c r="J330" s="680"/>
      <c r="K330" s="24">
        <f t="shared" si="57"/>
        <v>1</v>
      </c>
      <c r="L330" s="680"/>
      <c r="M330" s="24">
        <f t="shared" si="58"/>
        <v>1</v>
      </c>
      <c r="N330" s="680"/>
      <c r="O330" s="24">
        <f t="shared" si="59"/>
        <v>1</v>
      </c>
      <c r="P330" s="680"/>
      <c r="Q330" s="24">
        <f t="shared" si="60"/>
        <v>1</v>
      </c>
      <c r="R330" s="676">
        <f t="shared" si="61"/>
        <v>0</v>
      </c>
      <c r="S330" s="326">
        <f t="shared" si="63"/>
        <v>0</v>
      </c>
    </row>
    <row r="331" spans="1:19">
      <c r="A331" s="159"/>
      <c r="B331" s="59"/>
      <c r="C331" s="24">
        <f t="shared" si="53"/>
        <v>1</v>
      </c>
      <c r="D331" s="680"/>
      <c r="E331" s="24">
        <f t="shared" si="54"/>
        <v>1</v>
      </c>
      <c r="F331" s="680"/>
      <c r="G331" s="24">
        <f t="shared" si="55"/>
        <v>1</v>
      </c>
      <c r="H331" s="680"/>
      <c r="I331" s="24">
        <f t="shared" si="56"/>
        <v>1</v>
      </c>
      <c r="J331" s="680"/>
      <c r="K331" s="24">
        <f t="shared" si="57"/>
        <v>1</v>
      </c>
      <c r="L331" s="680"/>
      <c r="M331" s="24">
        <f t="shared" si="58"/>
        <v>1</v>
      </c>
      <c r="N331" s="680"/>
      <c r="O331" s="24">
        <f t="shared" si="59"/>
        <v>1</v>
      </c>
      <c r="P331" s="680"/>
      <c r="Q331" s="24">
        <f t="shared" si="60"/>
        <v>1</v>
      </c>
      <c r="R331" s="676">
        <f t="shared" si="61"/>
        <v>0</v>
      </c>
      <c r="S331" s="326">
        <f t="shared" si="63"/>
        <v>0</v>
      </c>
    </row>
    <row r="332" spans="1:19">
      <c r="A332" s="159"/>
      <c r="B332" s="59"/>
      <c r="C332" s="24">
        <f t="shared" si="53"/>
        <v>1</v>
      </c>
      <c r="D332" s="680"/>
      <c r="E332" s="24">
        <f t="shared" si="54"/>
        <v>1</v>
      </c>
      <c r="F332" s="680"/>
      <c r="G332" s="24">
        <f t="shared" si="55"/>
        <v>1</v>
      </c>
      <c r="H332" s="680"/>
      <c r="I332" s="24">
        <f t="shared" si="56"/>
        <v>1</v>
      </c>
      <c r="J332" s="680"/>
      <c r="K332" s="24">
        <f t="shared" si="57"/>
        <v>1</v>
      </c>
      <c r="L332" s="680"/>
      <c r="M332" s="24">
        <f t="shared" si="58"/>
        <v>1</v>
      </c>
      <c r="N332" s="680"/>
      <c r="O332" s="24">
        <f t="shared" si="59"/>
        <v>1</v>
      </c>
      <c r="P332" s="680"/>
      <c r="Q332" s="24">
        <f t="shared" si="60"/>
        <v>1</v>
      </c>
      <c r="R332" s="676">
        <f t="shared" si="61"/>
        <v>0</v>
      </c>
      <c r="S332" s="326">
        <f t="shared" si="63"/>
        <v>0</v>
      </c>
    </row>
    <row r="333" spans="1:19">
      <c r="A333" s="159"/>
      <c r="B333" s="59"/>
      <c r="C333" s="24">
        <f t="shared" si="53"/>
        <v>1</v>
      </c>
      <c r="D333" s="680"/>
      <c r="E333" s="24">
        <f t="shared" si="54"/>
        <v>1</v>
      </c>
      <c r="F333" s="680"/>
      <c r="G333" s="24">
        <f t="shared" si="55"/>
        <v>1</v>
      </c>
      <c r="H333" s="680"/>
      <c r="I333" s="24">
        <f t="shared" si="56"/>
        <v>1</v>
      </c>
      <c r="J333" s="680"/>
      <c r="K333" s="24">
        <f t="shared" si="57"/>
        <v>1</v>
      </c>
      <c r="L333" s="680"/>
      <c r="M333" s="24">
        <f t="shared" si="58"/>
        <v>1</v>
      </c>
      <c r="N333" s="680"/>
      <c r="O333" s="24">
        <f t="shared" si="59"/>
        <v>1</v>
      </c>
      <c r="P333" s="680"/>
      <c r="Q333" s="24">
        <f t="shared" si="60"/>
        <v>1</v>
      </c>
      <c r="R333" s="676">
        <f t="shared" si="61"/>
        <v>0</v>
      </c>
      <c r="S333" s="326">
        <f t="shared" si="63"/>
        <v>0</v>
      </c>
    </row>
    <row r="334" spans="1:19">
      <c r="A334" s="159"/>
      <c r="B334" s="59"/>
      <c r="C334" s="24">
        <f t="shared" si="53"/>
        <v>1</v>
      </c>
      <c r="D334" s="680"/>
      <c r="E334" s="24">
        <f t="shared" si="54"/>
        <v>1</v>
      </c>
      <c r="F334" s="680"/>
      <c r="G334" s="24">
        <f t="shared" si="55"/>
        <v>1</v>
      </c>
      <c r="H334" s="680"/>
      <c r="I334" s="24">
        <f t="shared" si="56"/>
        <v>1</v>
      </c>
      <c r="J334" s="680"/>
      <c r="K334" s="24">
        <f t="shared" si="57"/>
        <v>1</v>
      </c>
      <c r="L334" s="680"/>
      <c r="M334" s="24">
        <f t="shared" si="58"/>
        <v>1</v>
      </c>
      <c r="N334" s="680"/>
      <c r="O334" s="24">
        <f t="shared" si="59"/>
        <v>1</v>
      </c>
      <c r="P334" s="680"/>
      <c r="Q334" s="24">
        <f t="shared" si="60"/>
        <v>1</v>
      </c>
      <c r="R334" s="676">
        <f t="shared" si="61"/>
        <v>0</v>
      </c>
      <c r="S334" s="326">
        <f t="shared" si="63"/>
        <v>0</v>
      </c>
    </row>
    <row r="335" spans="1:19">
      <c r="A335" s="159"/>
      <c r="B335" s="59"/>
      <c r="C335" s="24">
        <f t="shared" si="53"/>
        <v>1</v>
      </c>
      <c r="D335" s="680"/>
      <c r="E335" s="24">
        <f t="shared" si="54"/>
        <v>1</v>
      </c>
      <c r="F335" s="680"/>
      <c r="G335" s="24">
        <f t="shared" si="55"/>
        <v>1</v>
      </c>
      <c r="H335" s="680"/>
      <c r="I335" s="24">
        <f t="shared" si="56"/>
        <v>1</v>
      </c>
      <c r="J335" s="680"/>
      <c r="K335" s="24">
        <f t="shared" si="57"/>
        <v>1</v>
      </c>
      <c r="L335" s="680"/>
      <c r="M335" s="24">
        <f t="shared" si="58"/>
        <v>1</v>
      </c>
      <c r="N335" s="680"/>
      <c r="O335" s="24">
        <f t="shared" si="59"/>
        <v>1</v>
      </c>
      <c r="P335" s="680"/>
      <c r="Q335" s="24">
        <f t="shared" si="60"/>
        <v>1</v>
      </c>
      <c r="R335" s="676">
        <f t="shared" si="61"/>
        <v>0</v>
      </c>
      <c r="S335" s="326">
        <f t="shared" si="63"/>
        <v>0</v>
      </c>
    </row>
    <row r="336" spans="1:19">
      <c r="A336" s="159"/>
      <c r="B336" s="59"/>
      <c r="C336" s="24">
        <f t="shared" si="53"/>
        <v>1</v>
      </c>
      <c r="D336" s="680"/>
      <c r="E336" s="24">
        <f t="shared" si="54"/>
        <v>1</v>
      </c>
      <c r="F336" s="680"/>
      <c r="G336" s="24">
        <f t="shared" si="55"/>
        <v>1</v>
      </c>
      <c r="H336" s="680"/>
      <c r="I336" s="24">
        <f t="shared" si="56"/>
        <v>1</v>
      </c>
      <c r="J336" s="680"/>
      <c r="K336" s="24">
        <f t="shared" si="57"/>
        <v>1</v>
      </c>
      <c r="L336" s="680"/>
      <c r="M336" s="24">
        <f t="shared" si="58"/>
        <v>1</v>
      </c>
      <c r="N336" s="680"/>
      <c r="O336" s="24">
        <f t="shared" si="59"/>
        <v>1</v>
      </c>
      <c r="P336" s="680"/>
      <c r="Q336" s="24">
        <f t="shared" si="60"/>
        <v>1</v>
      </c>
      <c r="R336" s="676">
        <f t="shared" si="61"/>
        <v>0</v>
      </c>
      <c r="S336" s="326">
        <f t="shared" si="63"/>
        <v>0</v>
      </c>
    </row>
    <row r="337" spans="1:19">
      <c r="A337" s="159"/>
      <c r="B337" s="59"/>
      <c r="C337" s="24">
        <f t="shared" si="53"/>
        <v>1</v>
      </c>
      <c r="D337" s="680"/>
      <c r="E337" s="24">
        <f t="shared" si="54"/>
        <v>1</v>
      </c>
      <c r="F337" s="680"/>
      <c r="G337" s="24">
        <f t="shared" si="55"/>
        <v>1</v>
      </c>
      <c r="H337" s="680"/>
      <c r="I337" s="24">
        <f t="shared" si="56"/>
        <v>1</v>
      </c>
      <c r="J337" s="680"/>
      <c r="K337" s="24">
        <f t="shared" si="57"/>
        <v>1</v>
      </c>
      <c r="L337" s="680"/>
      <c r="M337" s="24">
        <f t="shared" si="58"/>
        <v>1</v>
      </c>
      <c r="N337" s="680"/>
      <c r="O337" s="24">
        <f t="shared" si="59"/>
        <v>1</v>
      </c>
      <c r="P337" s="680"/>
      <c r="Q337" s="24">
        <f t="shared" si="60"/>
        <v>1</v>
      </c>
      <c r="R337" s="676">
        <f t="shared" si="61"/>
        <v>0</v>
      </c>
      <c r="S337" s="326">
        <f t="shared" si="63"/>
        <v>0</v>
      </c>
    </row>
    <row r="338" spans="1:19">
      <c r="A338" s="159"/>
      <c r="B338" s="59"/>
      <c r="C338" s="24">
        <f t="shared" si="53"/>
        <v>1</v>
      </c>
      <c r="D338" s="680"/>
      <c r="E338" s="24">
        <f t="shared" si="54"/>
        <v>1</v>
      </c>
      <c r="F338" s="680"/>
      <c r="G338" s="24">
        <f t="shared" si="55"/>
        <v>1</v>
      </c>
      <c r="H338" s="680"/>
      <c r="I338" s="24">
        <f t="shared" si="56"/>
        <v>1</v>
      </c>
      <c r="J338" s="680"/>
      <c r="K338" s="24">
        <f t="shared" si="57"/>
        <v>1</v>
      </c>
      <c r="L338" s="680"/>
      <c r="M338" s="24">
        <f t="shared" si="58"/>
        <v>1</v>
      </c>
      <c r="N338" s="680"/>
      <c r="O338" s="24">
        <f t="shared" si="59"/>
        <v>1</v>
      </c>
      <c r="P338" s="680"/>
      <c r="Q338" s="24">
        <f t="shared" si="60"/>
        <v>1</v>
      </c>
      <c r="R338" s="676">
        <f t="shared" si="61"/>
        <v>0</v>
      </c>
      <c r="S338" s="326">
        <f t="shared" si="63"/>
        <v>0</v>
      </c>
    </row>
    <row r="339" spans="1:19">
      <c r="A339" s="159"/>
      <c r="B339" s="59"/>
      <c r="C339" s="24">
        <f t="shared" si="53"/>
        <v>1</v>
      </c>
      <c r="D339" s="680"/>
      <c r="E339" s="24">
        <f t="shared" si="54"/>
        <v>1</v>
      </c>
      <c r="F339" s="680"/>
      <c r="G339" s="24">
        <f t="shared" si="55"/>
        <v>1</v>
      </c>
      <c r="H339" s="680"/>
      <c r="I339" s="24">
        <f t="shared" si="56"/>
        <v>1</v>
      </c>
      <c r="J339" s="680"/>
      <c r="K339" s="24">
        <f t="shared" si="57"/>
        <v>1</v>
      </c>
      <c r="L339" s="680"/>
      <c r="M339" s="24">
        <f t="shared" si="58"/>
        <v>1</v>
      </c>
      <c r="N339" s="680"/>
      <c r="O339" s="24">
        <f t="shared" si="59"/>
        <v>1</v>
      </c>
      <c r="P339" s="680"/>
      <c r="Q339" s="24">
        <f t="shared" si="60"/>
        <v>1</v>
      </c>
      <c r="R339" s="676">
        <f t="shared" si="61"/>
        <v>0</v>
      </c>
      <c r="S339" s="326">
        <f t="shared" si="63"/>
        <v>0</v>
      </c>
    </row>
    <row r="340" spans="1:19">
      <c r="A340" s="159"/>
      <c r="B340" s="59"/>
      <c r="C340" s="24">
        <f t="shared" si="53"/>
        <v>1</v>
      </c>
      <c r="D340" s="680"/>
      <c r="E340" s="24">
        <f t="shared" si="54"/>
        <v>1</v>
      </c>
      <c r="F340" s="680"/>
      <c r="G340" s="24">
        <f t="shared" si="55"/>
        <v>1</v>
      </c>
      <c r="H340" s="680"/>
      <c r="I340" s="24">
        <f t="shared" si="56"/>
        <v>1</v>
      </c>
      <c r="J340" s="680"/>
      <c r="K340" s="24">
        <f t="shared" si="57"/>
        <v>1</v>
      </c>
      <c r="L340" s="680"/>
      <c r="M340" s="24">
        <f t="shared" si="58"/>
        <v>1</v>
      </c>
      <c r="N340" s="680"/>
      <c r="O340" s="24">
        <f t="shared" si="59"/>
        <v>1</v>
      </c>
      <c r="P340" s="680"/>
      <c r="Q340" s="24">
        <f t="shared" si="60"/>
        <v>1</v>
      </c>
      <c r="R340" s="676">
        <f t="shared" si="61"/>
        <v>0</v>
      </c>
      <c r="S340" s="326">
        <f t="shared" si="63"/>
        <v>0</v>
      </c>
    </row>
    <row r="341" spans="1:19">
      <c r="A341" s="159"/>
      <c r="B341" s="59"/>
      <c r="C341" s="24">
        <f t="shared" si="53"/>
        <v>1</v>
      </c>
      <c r="D341" s="680"/>
      <c r="E341" s="24">
        <f t="shared" si="54"/>
        <v>1</v>
      </c>
      <c r="F341" s="680"/>
      <c r="G341" s="24">
        <f t="shared" si="55"/>
        <v>1</v>
      </c>
      <c r="H341" s="680"/>
      <c r="I341" s="24">
        <f t="shared" si="56"/>
        <v>1</v>
      </c>
      <c r="J341" s="680"/>
      <c r="K341" s="24">
        <f t="shared" si="57"/>
        <v>1</v>
      </c>
      <c r="L341" s="680"/>
      <c r="M341" s="24">
        <f t="shared" si="58"/>
        <v>1</v>
      </c>
      <c r="N341" s="680"/>
      <c r="O341" s="24">
        <f t="shared" si="59"/>
        <v>1</v>
      </c>
      <c r="P341" s="680"/>
      <c r="Q341" s="24">
        <f t="shared" si="60"/>
        <v>1</v>
      </c>
      <c r="R341" s="676">
        <f t="shared" si="61"/>
        <v>0</v>
      </c>
      <c r="S341" s="326">
        <f t="shared" si="63"/>
        <v>0</v>
      </c>
    </row>
    <row r="342" spans="1:19">
      <c r="A342" s="159"/>
      <c r="B342" s="59"/>
      <c r="C342" s="24">
        <f t="shared" si="53"/>
        <v>1</v>
      </c>
      <c r="D342" s="680"/>
      <c r="E342" s="24">
        <f t="shared" si="54"/>
        <v>1</v>
      </c>
      <c r="F342" s="680"/>
      <c r="G342" s="24">
        <f t="shared" si="55"/>
        <v>1</v>
      </c>
      <c r="H342" s="680"/>
      <c r="I342" s="24">
        <f t="shared" si="56"/>
        <v>1</v>
      </c>
      <c r="J342" s="680"/>
      <c r="K342" s="24">
        <f t="shared" si="57"/>
        <v>1</v>
      </c>
      <c r="L342" s="680"/>
      <c r="M342" s="24">
        <f t="shared" si="58"/>
        <v>1</v>
      </c>
      <c r="N342" s="680"/>
      <c r="O342" s="24">
        <f t="shared" si="59"/>
        <v>1</v>
      </c>
      <c r="P342" s="680"/>
      <c r="Q342" s="24">
        <f t="shared" si="60"/>
        <v>1</v>
      </c>
      <c r="R342" s="676">
        <f t="shared" si="61"/>
        <v>0</v>
      </c>
      <c r="S342" s="326">
        <f t="shared" si="63"/>
        <v>0</v>
      </c>
    </row>
    <row r="343" spans="1:19">
      <c r="A343" s="159"/>
      <c r="B343" s="59"/>
      <c r="C343" s="24">
        <f t="shared" si="53"/>
        <v>1</v>
      </c>
      <c r="D343" s="680"/>
      <c r="E343" s="24">
        <f t="shared" si="54"/>
        <v>1</v>
      </c>
      <c r="F343" s="680"/>
      <c r="G343" s="24">
        <f t="shared" si="55"/>
        <v>1</v>
      </c>
      <c r="H343" s="680"/>
      <c r="I343" s="24">
        <f t="shared" si="56"/>
        <v>1</v>
      </c>
      <c r="J343" s="680"/>
      <c r="K343" s="24">
        <f t="shared" si="57"/>
        <v>1</v>
      </c>
      <c r="L343" s="680"/>
      <c r="M343" s="24">
        <f t="shared" si="58"/>
        <v>1</v>
      </c>
      <c r="N343" s="680"/>
      <c r="O343" s="24">
        <f t="shared" si="59"/>
        <v>1</v>
      </c>
      <c r="P343" s="680"/>
      <c r="Q343" s="24">
        <f t="shared" si="60"/>
        <v>1</v>
      </c>
      <c r="R343" s="676">
        <f t="shared" si="61"/>
        <v>0</v>
      </c>
      <c r="S343" s="326">
        <f t="shared" si="63"/>
        <v>0</v>
      </c>
    </row>
    <row r="344" spans="1:19">
      <c r="A344" s="159"/>
      <c r="B344" s="59"/>
      <c r="C344" s="24">
        <f t="shared" si="53"/>
        <v>1</v>
      </c>
      <c r="D344" s="680"/>
      <c r="E344" s="24">
        <f t="shared" si="54"/>
        <v>1</v>
      </c>
      <c r="F344" s="680"/>
      <c r="G344" s="24">
        <f t="shared" si="55"/>
        <v>1</v>
      </c>
      <c r="H344" s="680"/>
      <c r="I344" s="24">
        <f t="shared" si="56"/>
        <v>1</v>
      </c>
      <c r="J344" s="680"/>
      <c r="K344" s="24">
        <f t="shared" si="57"/>
        <v>1</v>
      </c>
      <c r="L344" s="680"/>
      <c r="M344" s="24">
        <f t="shared" si="58"/>
        <v>1</v>
      </c>
      <c r="N344" s="680"/>
      <c r="O344" s="24">
        <f t="shared" si="59"/>
        <v>1</v>
      </c>
      <c r="P344" s="680"/>
      <c r="Q344" s="24">
        <f t="shared" si="60"/>
        <v>1</v>
      </c>
      <c r="R344" s="676">
        <f t="shared" si="61"/>
        <v>0</v>
      </c>
      <c r="S344" s="326">
        <f t="shared" si="63"/>
        <v>0</v>
      </c>
    </row>
    <row r="345" spans="1:19">
      <c r="A345" s="159"/>
      <c r="B345" s="59"/>
      <c r="C345" s="24">
        <f t="shared" si="53"/>
        <v>1</v>
      </c>
      <c r="D345" s="680"/>
      <c r="E345" s="24">
        <f t="shared" si="54"/>
        <v>1</v>
      </c>
      <c r="F345" s="680"/>
      <c r="G345" s="24">
        <f t="shared" si="55"/>
        <v>1</v>
      </c>
      <c r="H345" s="680"/>
      <c r="I345" s="24">
        <f t="shared" si="56"/>
        <v>1</v>
      </c>
      <c r="J345" s="680"/>
      <c r="K345" s="24">
        <f t="shared" si="57"/>
        <v>1</v>
      </c>
      <c r="L345" s="680"/>
      <c r="M345" s="24">
        <f t="shared" si="58"/>
        <v>1</v>
      </c>
      <c r="N345" s="680"/>
      <c r="O345" s="24">
        <f t="shared" si="59"/>
        <v>1</v>
      </c>
      <c r="P345" s="680"/>
      <c r="Q345" s="24">
        <f t="shared" si="60"/>
        <v>1</v>
      </c>
      <c r="R345" s="676">
        <f t="shared" si="61"/>
        <v>0</v>
      </c>
      <c r="S345" s="326">
        <f t="shared" si="63"/>
        <v>0</v>
      </c>
    </row>
    <row r="346" spans="1:19">
      <c r="A346" s="159"/>
      <c r="B346" s="59"/>
      <c r="C346" s="24">
        <f t="shared" ref="C346:C409" si="64">IF(B346="",1,(LOOKUP(B346,$3:$3,$4:$4)-LOOKUP($B$24,$3:$3,$4:$4)+100)/100)</f>
        <v>1</v>
      </c>
      <c r="D346" s="680"/>
      <c r="E346" s="24">
        <f t="shared" ref="E346:E409" si="65">(SUMIF($5:$5,D346,$6:$6)-SUMIF($5:$5,$D$24,$6:$6)+100)/100</f>
        <v>1</v>
      </c>
      <c r="F346" s="680"/>
      <c r="G346" s="24">
        <f t="shared" ref="G346:G409" si="66">(SUMIF($7:$7,F346,$8:$8)-SUMIF($7:$7,$F$24,$8:$8)+100)/100</f>
        <v>1</v>
      </c>
      <c r="H346" s="680"/>
      <c r="I346" s="24">
        <f t="shared" ref="I346:I409" si="67">(SUMIF($9:$9,H346,$10:$10)-SUMIF($9:$9,$H$24,$10:$10)+100)/100</f>
        <v>1</v>
      </c>
      <c r="J346" s="680"/>
      <c r="K346" s="24">
        <f t="shared" ref="K346:K409" si="68">(SUMIF($11:$11,J346,$12:$12)-SUMIF($11:$11,$J$24,$12:$12)+100)/100</f>
        <v>1</v>
      </c>
      <c r="L346" s="680"/>
      <c r="M346" s="24">
        <f t="shared" ref="M346:M409" si="69">(SUMIF($13:$13,L346,$14:$14)-SUMIF($13:$13,$L$24,$14:$14)+100)/100</f>
        <v>1</v>
      </c>
      <c r="N346" s="680"/>
      <c r="O346" s="24">
        <f t="shared" ref="O346:O409" si="70">(SUMIF($15:$15,N346,$16:$16)-SUMIF($15:$15,$N$24,$16:$16)+100)/100</f>
        <v>1</v>
      </c>
      <c r="P346" s="680"/>
      <c r="Q346" s="24">
        <f t="shared" ref="Q346:Q409" si="71">(SUMIF($17:$17,P346,$18:$18)-SUMIF($17:$17,$P$24,$18:$18)+100)/100</f>
        <v>1</v>
      </c>
      <c r="R346" s="676">
        <f t="shared" ref="R346:R409" si="72">IF(B346="",0,ROUND($R$24*C346*E346*G346*I346*K346*M346*O346*Q346,0))</f>
        <v>0</v>
      </c>
      <c r="S346" s="326">
        <f t="shared" si="63"/>
        <v>0</v>
      </c>
    </row>
    <row r="347" spans="1:19">
      <c r="A347" s="159"/>
      <c r="B347" s="59"/>
      <c r="C347" s="24">
        <f t="shared" si="64"/>
        <v>1</v>
      </c>
      <c r="D347" s="680"/>
      <c r="E347" s="24">
        <f t="shared" si="65"/>
        <v>1</v>
      </c>
      <c r="F347" s="680"/>
      <c r="G347" s="24">
        <f t="shared" si="66"/>
        <v>1</v>
      </c>
      <c r="H347" s="680"/>
      <c r="I347" s="24">
        <f t="shared" si="67"/>
        <v>1</v>
      </c>
      <c r="J347" s="680"/>
      <c r="K347" s="24">
        <f t="shared" si="68"/>
        <v>1</v>
      </c>
      <c r="L347" s="680"/>
      <c r="M347" s="24">
        <f t="shared" si="69"/>
        <v>1</v>
      </c>
      <c r="N347" s="680"/>
      <c r="O347" s="24">
        <f t="shared" si="70"/>
        <v>1</v>
      </c>
      <c r="P347" s="680"/>
      <c r="Q347" s="24">
        <f t="shared" si="71"/>
        <v>1</v>
      </c>
      <c r="R347" s="676">
        <f t="shared" si="72"/>
        <v>0</v>
      </c>
      <c r="S347" s="326">
        <f t="shared" si="63"/>
        <v>0</v>
      </c>
    </row>
    <row r="348" spans="1:19">
      <c r="A348" s="159"/>
      <c r="B348" s="59"/>
      <c r="C348" s="24">
        <f t="shared" si="64"/>
        <v>1</v>
      </c>
      <c r="D348" s="680"/>
      <c r="E348" s="24">
        <f t="shared" si="65"/>
        <v>1</v>
      </c>
      <c r="F348" s="680"/>
      <c r="G348" s="24">
        <f t="shared" si="66"/>
        <v>1</v>
      </c>
      <c r="H348" s="680"/>
      <c r="I348" s="24">
        <f t="shared" si="67"/>
        <v>1</v>
      </c>
      <c r="J348" s="680"/>
      <c r="K348" s="24">
        <f t="shared" si="68"/>
        <v>1</v>
      </c>
      <c r="L348" s="680"/>
      <c r="M348" s="24">
        <f t="shared" si="69"/>
        <v>1</v>
      </c>
      <c r="N348" s="680"/>
      <c r="O348" s="24">
        <f t="shared" si="70"/>
        <v>1</v>
      </c>
      <c r="P348" s="680"/>
      <c r="Q348" s="24">
        <f t="shared" si="71"/>
        <v>1</v>
      </c>
      <c r="R348" s="676">
        <f t="shared" si="72"/>
        <v>0</v>
      </c>
      <c r="S348" s="326">
        <f t="shared" si="63"/>
        <v>0</v>
      </c>
    </row>
    <row r="349" spans="1:19">
      <c r="A349" s="159"/>
      <c r="B349" s="59"/>
      <c r="C349" s="24">
        <f t="shared" si="64"/>
        <v>1</v>
      </c>
      <c r="D349" s="680"/>
      <c r="E349" s="24">
        <f t="shared" si="65"/>
        <v>1</v>
      </c>
      <c r="F349" s="680"/>
      <c r="G349" s="24">
        <f t="shared" si="66"/>
        <v>1</v>
      </c>
      <c r="H349" s="680"/>
      <c r="I349" s="24">
        <f t="shared" si="67"/>
        <v>1</v>
      </c>
      <c r="J349" s="680"/>
      <c r="K349" s="24">
        <f t="shared" si="68"/>
        <v>1</v>
      </c>
      <c r="L349" s="680"/>
      <c r="M349" s="24">
        <f t="shared" si="69"/>
        <v>1</v>
      </c>
      <c r="N349" s="680"/>
      <c r="O349" s="24">
        <f t="shared" si="70"/>
        <v>1</v>
      </c>
      <c r="P349" s="680"/>
      <c r="Q349" s="24">
        <f t="shared" si="71"/>
        <v>1</v>
      </c>
      <c r="R349" s="676">
        <f t="shared" si="72"/>
        <v>0</v>
      </c>
      <c r="S349" s="326">
        <f t="shared" si="63"/>
        <v>0</v>
      </c>
    </row>
    <row r="350" spans="1:19">
      <c r="A350" s="159"/>
      <c r="B350" s="59"/>
      <c r="C350" s="24">
        <f t="shared" si="64"/>
        <v>1</v>
      </c>
      <c r="D350" s="680"/>
      <c r="E350" s="24">
        <f t="shared" si="65"/>
        <v>1</v>
      </c>
      <c r="F350" s="680"/>
      <c r="G350" s="24">
        <f t="shared" si="66"/>
        <v>1</v>
      </c>
      <c r="H350" s="680"/>
      <c r="I350" s="24">
        <f t="shared" si="67"/>
        <v>1</v>
      </c>
      <c r="J350" s="680"/>
      <c r="K350" s="24">
        <f t="shared" si="68"/>
        <v>1</v>
      </c>
      <c r="L350" s="680"/>
      <c r="M350" s="24">
        <f t="shared" si="69"/>
        <v>1</v>
      </c>
      <c r="N350" s="680"/>
      <c r="O350" s="24">
        <f t="shared" si="70"/>
        <v>1</v>
      </c>
      <c r="P350" s="680"/>
      <c r="Q350" s="24">
        <f t="shared" si="71"/>
        <v>1</v>
      </c>
      <c r="R350" s="676">
        <f t="shared" si="72"/>
        <v>0</v>
      </c>
      <c r="S350" s="326">
        <f t="shared" si="63"/>
        <v>0</v>
      </c>
    </row>
    <row r="351" spans="1:19">
      <c r="A351" s="159"/>
      <c r="B351" s="59"/>
      <c r="C351" s="24">
        <f t="shared" si="64"/>
        <v>1</v>
      </c>
      <c r="D351" s="680"/>
      <c r="E351" s="24">
        <f t="shared" si="65"/>
        <v>1</v>
      </c>
      <c r="F351" s="680"/>
      <c r="G351" s="24">
        <f t="shared" si="66"/>
        <v>1</v>
      </c>
      <c r="H351" s="680"/>
      <c r="I351" s="24">
        <f t="shared" si="67"/>
        <v>1</v>
      </c>
      <c r="J351" s="680"/>
      <c r="K351" s="24">
        <f t="shared" si="68"/>
        <v>1</v>
      </c>
      <c r="L351" s="680"/>
      <c r="M351" s="24">
        <f t="shared" si="69"/>
        <v>1</v>
      </c>
      <c r="N351" s="680"/>
      <c r="O351" s="24">
        <f t="shared" si="70"/>
        <v>1</v>
      </c>
      <c r="P351" s="680"/>
      <c r="Q351" s="24">
        <f t="shared" si="71"/>
        <v>1</v>
      </c>
      <c r="R351" s="676">
        <f t="shared" si="72"/>
        <v>0</v>
      </c>
      <c r="S351" s="326">
        <f t="shared" si="63"/>
        <v>0</v>
      </c>
    </row>
    <row r="352" spans="1:19">
      <c r="A352" s="159"/>
      <c r="B352" s="59"/>
      <c r="C352" s="24">
        <f t="shared" si="64"/>
        <v>1</v>
      </c>
      <c r="D352" s="680"/>
      <c r="E352" s="24">
        <f t="shared" si="65"/>
        <v>1</v>
      </c>
      <c r="F352" s="680"/>
      <c r="G352" s="24">
        <f t="shared" si="66"/>
        <v>1</v>
      </c>
      <c r="H352" s="680"/>
      <c r="I352" s="24">
        <f t="shared" si="67"/>
        <v>1</v>
      </c>
      <c r="J352" s="680"/>
      <c r="K352" s="24">
        <f t="shared" si="68"/>
        <v>1</v>
      </c>
      <c r="L352" s="680"/>
      <c r="M352" s="24">
        <f t="shared" si="69"/>
        <v>1</v>
      </c>
      <c r="N352" s="680"/>
      <c r="O352" s="24">
        <f t="shared" si="70"/>
        <v>1</v>
      </c>
      <c r="P352" s="680"/>
      <c r="Q352" s="24">
        <f t="shared" si="71"/>
        <v>1</v>
      </c>
      <c r="R352" s="676">
        <f t="shared" si="72"/>
        <v>0</v>
      </c>
      <c r="S352" s="326">
        <f t="shared" si="63"/>
        <v>0</v>
      </c>
    </row>
    <row r="353" spans="1:19">
      <c r="A353" s="159"/>
      <c r="B353" s="59"/>
      <c r="C353" s="24">
        <f t="shared" si="64"/>
        <v>1</v>
      </c>
      <c r="D353" s="680"/>
      <c r="E353" s="24">
        <f t="shared" si="65"/>
        <v>1</v>
      </c>
      <c r="F353" s="680"/>
      <c r="G353" s="24">
        <f t="shared" si="66"/>
        <v>1</v>
      </c>
      <c r="H353" s="680"/>
      <c r="I353" s="24">
        <f t="shared" si="67"/>
        <v>1</v>
      </c>
      <c r="J353" s="680"/>
      <c r="K353" s="24">
        <f t="shared" si="68"/>
        <v>1</v>
      </c>
      <c r="L353" s="680"/>
      <c r="M353" s="24">
        <f t="shared" si="69"/>
        <v>1</v>
      </c>
      <c r="N353" s="680"/>
      <c r="O353" s="24">
        <f t="shared" si="70"/>
        <v>1</v>
      </c>
      <c r="P353" s="680"/>
      <c r="Q353" s="24">
        <f t="shared" si="71"/>
        <v>1</v>
      </c>
      <c r="R353" s="676">
        <f t="shared" si="72"/>
        <v>0</v>
      </c>
      <c r="S353" s="326">
        <f t="shared" si="63"/>
        <v>0</v>
      </c>
    </row>
    <row r="354" spans="1:19">
      <c r="A354" s="159"/>
      <c r="B354" s="59"/>
      <c r="C354" s="24">
        <f t="shared" si="64"/>
        <v>1</v>
      </c>
      <c r="D354" s="680"/>
      <c r="E354" s="24">
        <f t="shared" si="65"/>
        <v>1</v>
      </c>
      <c r="F354" s="680"/>
      <c r="G354" s="24">
        <f t="shared" si="66"/>
        <v>1</v>
      </c>
      <c r="H354" s="680"/>
      <c r="I354" s="24">
        <f t="shared" si="67"/>
        <v>1</v>
      </c>
      <c r="J354" s="680"/>
      <c r="K354" s="24">
        <f t="shared" si="68"/>
        <v>1</v>
      </c>
      <c r="L354" s="680"/>
      <c r="M354" s="24">
        <f t="shared" si="69"/>
        <v>1</v>
      </c>
      <c r="N354" s="680"/>
      <c r="O354" s="24">
        <f t="shared" si="70"/>
        <v>1</v>
      </c>
      <c r="P354" s="680"/>
      <c r="Q354" s="24">
        <f t="shared" si="71"/>
        <v>1</v>
      </c>
      <c r="R354" s="676">
        <f t="shared" si="72"/>
        <v>0</v>
      </c>
      <c r="S354" s="326">
        <f t="shared" si="63"/>
        <v>0</v>
      </c>
    </row>
    <row r="355" spans="1:19">
      <c r="A355" s="159"/>
      <c r="B355" s="59"/>
      <c r="C355" s="24">
        <f t="shared" si="64"/>
        <v>1</v>
      </c>
      <c r="D355" s="680"/>
      <c r="E355" s="24">
        <f t="shared" si="65"/>
        <v>1</v>
      </c>
      <c r="F355" s="680"/>
      <c r="G355" s="24">
        <f t="shared" si="66"/>
        <v>1</v>
      </c>
      <c r="H355" s="680"/>
      <c r="I355" s="24">
        <f t="shared" si="67"/>
        <v>1</v>
      </c>
      <c r="J355" s="680"/>
      <c r="K355" s="24">
        <f t="shared" si="68"/>
        <v>1</v>
      </c>
      <c r="L355" s="680"/>
      <c r="M355" s="24">
        <f t="shared" si="69"/>
        <v>1</v>
      </c>
      <c r="N355" s="680"/>
      <c r="O355" s="24">
        <f t="shared" si="70"/>
        <v>1</v>
      </c>
      <c r="P355" s="680"/>
      <c r="Q355" s="24">
        <f t="shared" si="71"/>
        <v>1</v>
      </c>
      <c r="R355" s="676">
        <f t="shared" si="72"/>
        <v>0</v>
      </c>
      <c r="S355" s="326">
        <f t="shared" si="63"/>
        <v>0</v>
      </c>
    </row>
    <row r="356" spans="1:19">
      <c r="A356" s="159"/>
      <c r="B356" s="59"/>
      <c r="C356" s="24">
        <f t="shared" si="64"/>
        <v>1</v>
      </c>
      <c r="D356" s="680"/>
      <c r="E356" s="24">
        <f t="shared" si="65"/>
        <v>1</v>
      </c>
      <c r="F356" s="680"/>
      <c r="G356" s="24">
        <f t="shared" si="66"/>
        <v>1</v>
      </c>
      <c r="H356" s="680"/>
      <c r="I356" s="24">
        <f t="shared" si="67"/>
        <v>1</v>
      </c>
      <c r="J356" s="680"/>
      <c r="K356" s="24">
        <f t="shared" si="68"/>
        <v>1</v>
      </c>
      <c r="L356" s="680"/>
      <c r="M356" s="24">
        <f t="shared" si="69"/>
        <v>1</v>
      </c>
      <c r="N356" s="680"/>
      <c r="O356" s="24">
        <f t="shared" si="70"/>
        <v>1</v>
      </c>
      <c r="P356" s="680"/>
      <c r="Q356" s="24">
        <f t="shared" si="71"/>
        <v>1</v>
      </c>
      <c r="R356" s="676">
        <f t="shared" si="72"/>
        <v>0</v>
      </c>
      <c r="S356" s="326">
        <f t="shared" si="63"/>
        <v>0</v>
      </c>
    </row>
    <row r="357" spans="1:19">
      <c r="A357" s="159"/>
      <c r="B357" s="59"/>
      <c r="C357" s="24">
        <f t="shared" si="64"/>
        <v>1</v>
      </c>
      <c r="D357" s="680"/>
      <c r="E357" s="24">
        <f t="shared" si="65"/>
        <v>1</v>
      </c>
      <c r="F357" s="680"/>
      <c r="G357" s="24">
        <f t="shared" si="66"/>
        <v>1</v>
      </c>
      <c r="H357" s="680"/>
      <c r="I357" s="24">
        <f t="shared" si="67"/>
        <v>1</v>
      </c>
      <c r="J357" s="680"/>
      <c r="K357" s="24">
        <f t="shared" si="68"/>
        <v>1</v>
      </c>
      <c r="L357" s="680"/>
      <c r="M357" s="24">
        <f t="shared" si="69"/>
        <v>1</v>
      </c>
      <c r="N357" s="680"/>
      <c r="O357" s="24">
        <f t="shared" si="70"/>
        <v>1</v>
      </c>
      <c r="P357" s="680"/>
      <c r="Q357" s="24">
        <f t="shared" si="71"/>
        <v>1</v>
      </c>
      <c r="R357" s="676">
        <f t="shared" si="72"/>
        <v>0</v>
      </c>
      <c r="S357" s="326">
        <f t="shared" si="63"/>
        <v>0</v>
      </c>
    </row>
    <row r="358" spans="1:19">
      <c r="A358" s="159"/>
      <c r="B358" s="59"/>
      <c r="C358" s="24">
        <f t="shared" si="64"/>
        <v>1</v>
      </c>
      <c r="D358" s="680"/>
      <c r="E358" s="24">
        <f t="shared" si="65"/>
        <v>1</v>
      </c>
      <c r="F358" s="680"/>
      <c r="G358" s="24">
        <f t="shared" si="66"/>
        <v>1</v>
      </c>
      <c r="H358" s="680"/>
      <c r="I358" s="24">
        <f t="shared" si="67"/>
        <v>1</v>
      </c>
      <c r="J358" s="680"/>
      <c r="K358" s="24">
        <f t="shared" si="68"/>
        <v>1</v>
      </c>
      <c r="L358" s="680"/>
      <c r="M358" s="24">
        <f t="shared" si="69"/>
        <v>1</v>
      </c>
      <c r="N358" s="680"/>
      <c r="O358" s="24">
        <f t="shared" si="70"/>
        <v>1</v>
      </c>
      <c r="P358" s="680"/>
      <c r="Q358" s="24">
        <f t="shared" si="71"/>
        <v>1</v>
      </c>
      <c r="R358" s="676">
        <f t="shared" si="72"/>
        <v>0</v>
      </c>
      <c r="S358" s="326">
        <f t="shared" si="63"/>
        <v>0</v>
      </c>
    </row>
    <row r="359" spans="1:19">
      <c r="A359" s="159"/>
      <c r="B359" s="59"/>
      <c r="C359" s="24">
        <f t="shared" si="64"/>
        <v>1</v>
      </c>
      <c r="D359" s="680"/>
      <c r="E359" s="24">
        <f t="shared" si="65"/>
        <v>1</v>
      </c>
      <c r="F359" s="680"/>
      <c r="G359" s="24">
        <f t="shared" si="66"/>
        <v>1</v>
      </c>
      <c r="H359" s="680"/>
      <c r="I359" s="24">
        <f t="shared" si="67"/>
        <v>1</v>
      </c>
      <c r="J359" s="680"/>
      <c r="K359" s="24">
        <f t="shared" si="68"/>
        <v>1</v>
      </c>
      <c r="L359" s="680"/>
      <c r="M359" s="24">
        <f t="shared" si="69"/>
        <v>1</v>
      </c>
      <c r="N359" s="680"/>
      <c r="O359" s="24">
        <f t="shared" si="70"/>
        <v>1</v>
      </c>
      <c r="P359" s="680"/>
      <c r="Q359" s="24">
        <f t="shared" si="71"/>
        <v>1</v>
      </c>
      <c r="R359" s="676">
        <f t="shared" si="72"/>
        <v>0</v>
      </c>
      <c r="S359" s="326">
        <f t="shared" si="63"/>
        <v>0</v>
      </c>
    </row>
    <row r="360" spans="1:19">
      <c r="A360" s="159"/>
      <c r="B360" s="59"/>
      <c r="C360" s="24">
        <f t="shared" si="64"/>
        <v>1</v>
      </c>
      <c r="D360" s="680"/>
      <c r="E360" s="24">
        <f t="shared" si="65"/>
        <v>1</v>
      </c>
      <c r="F360" s="680"/>
      <c r="G360" s="24">
        <f t="shared" si="66"/>
        <v>1</v>
      </c>
      <c r="H360" s="680"/>
      <c r="I360" s="24">
        <f t="shared" si="67"/>
        <v>1</v>
      </c>
      <c r="J360" s="680"/>
      <c r="K360" s="24">
        <f t="shared" si="68"/>
        <v>1</v>
      </c>
      <c r="L360" s="680"/>
      <c r="M360" s="24">
        <f t="shared" si="69"/>
        <v>1</v>
      </c>
      <c r="N360" s="680"/>
      <c r="O360" s="24">
        <f t="shared" si="70"/>
        <v>1</v>
      </c>
      <c r="P360" s="680"/>
      <c r="Q360" s="24">
        <f t="shared" si="71"/>
        <v>1</v>
      </c>
      <c r="R360" s="676">
        <f t="shared" si="72"/>
        <v>0</v>
      </c>
      <c r="S360" s="326">
        <f t="shared" si="63"/>
        <v>0</v>
      </c>
    </row>
    <row r="361" spans="1:19">
      <c r="A361" s="159"/>
      <c r="B361" s="59"/>
      <c r="C361" s="24">
        <f t="shared" si="64"/>
        <v>1</v>
      </c>
      <c r="D361" s="680"/>
      <c r="E361" s="24">
        <f t="shared" si="65"/>
        <v>1</v>
      </c>
      <c r="F361" s="680"/>
      <c r="G361" s="24">
        <f t="shared" si="66"/>
        <v>1</v>
      </c>
      <c r="H361" s="680"/>
      <c r="I361" s="24">
        <f t="shared" si="67"/>
        <v>1</v>
      </c>
      <c r="J361" s="680"/>
      <c r="K361" s="24">
        <f t="shared" si="68"/>
        <v>1</v>
      </c>
      <c r="L361" s="680"/>
      <c r="M361" s="24">
        <f t="shared" si="69"/>
        <v>1</v>
      </c>
      <c r="N361" s="680"/>
      <c r="O361" s="24">
        <f t="shared" si="70"/>
        <v>1</v>
      </c>
      <c r="P361" s="680"/>
      <c r="Q361" s="24">
        <f t="shared" si="71"/>
        <v>1</v>
      </c>
      <c r="R361" s="676">
        <f t="shared" si="72"/>
        <v>0</v>
      </c>
      <c r="S361" s="326">
        <f t="shared" si="63"/>
        <v>0</v>
      </c>
    </row>
    <row r="362" spans="1:19">
      <c r="A362" s="159"/>
      <c r="B362" s="59"/>
      <c r="C362" s="24">
        <f t="shared" si="64"/>
        <v>1</v>
      </c>
      <c r="D362" s="680"/>
      <c r="E362" s="24">
        <f t="shared" si="65"/>
        <v>1</v>
      </c>
      <c r="F362" s="680"/>
      <c r="G362" s="24">
        <f t="shared" si="66"/>
        <v>1</v>
      </c>
      <c r="H362" s="680"/>
      <c r="I362" s="24">
        <f t="shared" si="67"/>
        <v>1</v>
      </c>
      <c r="J362" s="680"/>
      <c r="K362" s="24">
        <f t="shared" si="68"/>
        <v>1</v>
      </c>
      <c r="L362" s="680"/>
      <c r="M362" s="24">
        <f t="shared" si="69"/>
        <v>1</v>
      </c>
      <c r="N362" s="680"/>
      <c r="O362" s="24">
        <f t="shared" si="70"/>
        <v>1</v>
      </c>
      <c r="P362" s="680"/>
      <c r="Q362" s="24">
        <f t="shared" si="71"/>
        <v>1</v>
      </c>
      <c r="R362" s="676">
        <f t="shared" si="72"/>
        <v>0</v>
      </c>
      <c r="S362" s="326">
        <f t="shared" si="63"/>
        <v>0</v>
      </c>
    </row>
    <row r="363" spans="1:19">
      <c r="A363" s="159"/>
      <c r="B363" s="59"/>
      <c r="C363" s="24">
        <f t="shared" si="64"/>
        <v>1</v>
      </c>
      <c r="D363" s="680"/>
      <c r="E363" s="24">
        <f t="shared" si="65"/>
        <v>1</v>
      </c>
      <c r="F363" s="680"/>
      <c r="G363" s="24">
        <f t="shared" si="66"/>
        <v>1</v>
      </c>
      <c r="H363" s="680"/>
      <c r="I363" s="24">
        <f t="shared" si="67"/>
        <v>1</v>
      </c>
      <c r="J363" s="680"/>
      <c r="K363" s="24">
        <f t="shared" si="68"/>
        <v>1</v>
      </c>
      <c r="L363" s="680"/>
      <c r="M363" s="24">
        <f t="shared" si="69"/>
        <v>1</v>
      </c>
      <c r="N363" s="680"/>
      <c r="O363" s="24">
        <f t="shared" si="70"/>
        <v>1</v>
      </c>
      <c r="P363" s="680"/>
      <c r="Q363" s="24">
        <f t="shared" si="71"/>
        <v>1</v>
      </c>
      <c r="R363" s="676">
        <f t="shared" si="72"/>
        <v>0</v>
      </c>
      <c r="S363" s="326">
        <f t="shared" si="63"/>
        <v>0</v>
      </c>
    </row>
    <row r="364" spans="1:19">
      <c r="A364" s="159"/>
      <c r="B364" s="59"/>
      <c r="C364" s="24">
        <f t="shared" si="64"/>
        <v>1</v>
      </c>
      <c r="D364" s="680"/>
      <c r="E364" s="24">
        <f t="shared" si="65"/>
        <v>1</v>
      </c>
      <c r="F364" s="680"/>
      <c r="G364" s="24">
        <f t="shared" si="66"/>
        <v>1</v>
      </c>
      <c r="H364" s="680"/>
      <c r="I364" s="24">
        <f t="shared" si="67"/>
        <v>1</v>
      </c>
      <c r="J364" s="680"/>
      <c r="K364" s="24">
        <f t="shared" si="68"/>
        <v>1</v>
      </c>
      <c r="L364" s="680"/>
      <c r="M364" s="24">
        <f t="shared" si="69"/>
        <v>1</v>
      </c>
      <c r="N364" s="680"/>
      <c r="O364" s="24">
        <f t="shared" si="70"/>
        <v>1</v>
      </c>
      <c r="P364" s="680"/>
      <c r="Q364" s="24">
        <f t="shared" si="71"/>
        <v>1</v>
      </c>
      <c r="R364" s="676">
        <f t="shared" si="72"/>
        <v>0</v>
      </c>
      <c r="S364" s="326">
        <f t="shared" si="63"/>
        <v>0</v>
      </c>
    </row>
    <row r="365" spans="1:19">
      <c r="A365" s="159"/>
      <c r="B365" s="59"/>
      <c r="C365" s="24">
        <f t="shared" si="64"/>
        <v>1</v>
      </c>
      <c r="D365" s="680"/>
      <c r="E365" s="24">
        <f t="shared" si="65"/>
        <v>1</v>
      </c>
      <c r="F365" s="680"/>
      <c r="G365" s="24">
        <f t="shared" si="66"/>
        <v>1</v>
      </c>
      <c r="H365" s="680"/>
      <c r="I365" s="24">
        <f t="shared" si="67"/>
        <v>1</v>
      </c>
      <c r="J365" s="680"/>
      <c r="K365" s="24">
        <f t="shared" si="68"/>
        <v>1</v>
      </c>
      <c r="L365" s="680"/>
      <c r="M365" s="24">
        <f t="shared" si="69"/>
        <v>1</v>
      </c>
      <c r="N365" s="680"/>
      <c r="O365" s="24">
        <f t="shared" si="70"/>
        <v>1</v>
      </c>
      <c r="P365" s="680"/>
      <c r="Q365" s="24">
        <f t="shared" si="71"/>
        <v>1</v>
      </c>
      <c r="R365" s="676">
        <f t="shared" si="72"/>
        <v>0</v>
      </c>
      <c r="S365" s="326">
        <f t="shared" si="63"/>
        <v>0</v>
      </c>
    </row>
    <row r="366" spans="1:19">
      <c r="A366" s="159"/>
      <c r="B366" s="59"/>
      <c r="C366" s="24">
        <f t="shared" si="64"/>
        <v>1</v>
      </c>
      <c r="D366" s="680"/>
      <c r="E366" s="24">
        <f t="shared" si="65"/>
        <v>1</v>
      </c>
      <c r="F366" s="680"/>
      <c r="G366" s="24">
        <f t="shared" si="66"/>
        <v>1</v>
      </c>
      <c r="H366" s="680"/>
      <c r="I366" s="24">
        <f t="shared" si="67"/>
        <v>1</v>
      </c>
      <c r="J366" s="680"/>
      <c r="K366" s="24">
        <f t="shared" si="68"/>
        <v>1</v>
      </c>
      <c r="L366" s="680"/>
      <c r="M366" s="24">
        <f t="shared" si="69"/>
        <v>1</v>
      </c>
      <c r="N366" s="680"/>
      <c r="O366" s="24">
        <f t="shared" si="70"/>
        <v>1</v>
      </c>
      <c r="P366" s="680"/>
      <c r="Q366" s="24">
        <f t="shared" si="71"/>
        <v>1</v>
      </c>
      <c r="R366" s="676">
        <f t="shared" si="72"/>
        <v>0</v>
      </c>
      <c r="S366" s="326">
        <f t="shared" si="63"/>
        <v>0</v>
      </c>
    </row>
    <row r="367" spans="1:19">
      <c r="A367" s="159"/>
      <c r="B367" s="59"/>
      <c r="C367" s="24">
        <f t="shared" si="64"/>
        <v>1</v>
      </c>
      <c r="D367" s="680"/>
      <c r="E367" s="24">
        <f t="shared" si="65"/>
        <v>1</v>
      </c>
      <c r="F367" s="680"/>
      <c r="G367" s="24">
        <f t="shared" si="66"/>
        <v>1</v>
      </c>
      <c r="H367" s="680"/>
      <c r="I367" s="24">
        <f t="shared" si="67"/>
        <v>1</v>
      </c>
      <c r="J367" s="680"/>
      <c r="K367" s="24">
        <f t="shared" si="68"/>
        <v>1</v>
      </c>
      <c r="L367" s="680"/>
      <c r="M367" s="24">
        <f t="shared" si="69"/>
        <v>1</v>
      </c>
      <c r="N367" s="680"/>
      <c r="O367" s="24">
        <f t="shared" si="70"/>
        <v>1</v>
      </c>
      <c r="P367" s="680"/>
      <c r="Q367" s="24">
        <f t="shared" si="71"/>
        <v>1</v>
      </c>
      <c r="R367" s="676">
        <f t="shared" si="72"/>
        <v>0</v>
      </c>
      <c r="S367" s="326">
        <f t="shared" si="63"/>
        <v>0</v>
      </c>
    </row>
    <row r="368" spans="1:19">
      <c r="A368" s="159"/>
      <c r="B368" s="59"/>
      <c r="C368" s="24">
        <f t="shared" si="64"/>
        <v>1</v>
      </c>
      <c r="D368" s="680"/>
      <c r="E368" s="24">
        <f t="shared" si="65"/>
        <v>1</v>
      </c>
      <c r="F368" s="680"/>
      <c r="G368" s="24">
        <f t="shared" si="66"/>
        <v>1</v>
      </c>
      <c r="H368" s="680"/>
      <c r="I368" s="24">
        <f t="shared" si="67"/>
        <v>1</v>
      </c>
      <c r="J368" s="680"/>
      <c r="K368" s="24">
        <f t="shared" si="68"/>
        <v>1</v>
      </c>
      <c r="L368" s="680"/>
      <c r="M368" s="24">
        <f t="shared" si="69"/>
        <v>1</v>
      </c>
      <c r="N368" s="680"/>
      <c r="O368" s="24">
        <f t="shared" si="70"/>
        <v>1</v>
      </c>
      <c r="P368" s="680"/>
      <c r="Q368" s="24">
        <f t="shared" si="71"/>
        <v>1</v>
      </c>
      <c r="R368" s="676">
        <f t="shared" si="72"/>
        <v>0</v>
      </c>
      <c r="S368" s="326">
        <f t="shared" si="63"/>
        <v>0</v>
      </c>
    </row>
    <row r="369" spans="1:19">
      <c r="A369" s="159"/>
      <c r="B369" s="59"/>
      <c r="C369" s="24">
        <f t="shared" si="64"/>
        <v>1</v>
      </c>
      <c r="D369" s="680"/>
      <c r="E369" s="24">
        <f t="shared" si="65"/>
        <v>1</v>
      </c>
      <c r="F369" s="680"/>
      <c r="G369" s="24">
        <f t="shared" si="66"/>
        <v>1</v>
      </c>
      <c r="H369" s="680"/>
      <c r="I369" s="24">
        <f t="shared" si="67"/>
        <v>1</v>
      </c>
      <c r="J369" s="680"/>
      <c r="K369" s="24">
        <f t="shared" si="68"/>
        <v>1</v>
      </c>
      <c r="L369" s="680"/>
      <c r="M369" s="24">
        <f t="shared" si="69"/>
        <v>1</v>
      </c>
      <c r="N369" s="680"/>
      <c r="O369" s="24">
        <f t="shared" si="70"/>
        <v>1</v>
      </c>
      <c r="P369" s="680"/>
      <c r="Q369" s="24">
        <f t="shared" si="71"/>
        <v>1</v>
      </c>
      <c r="R369" s="676">
        <f t="shared" si="72"/>
        <v>0</v>
      </c>
      <c r="S369" s="326">
        <f t="shared" si="63"/>
        <v>0</v>
      </c>
    </row>
    <row r="370" spans="1:19">
      <c r="A370" s="159"/>
      <c r="B370" s="59"/>
      <c r="C370" s="24">
        <f t="shared" si="64"/>
        <v>1</v>
      </c>
      <c r="D370" s="680"/>
      <c r="E370" s="24">
        <f t="shared" si="65"/>
        <v>1</v>
      </c>
      <c r="F370" s="680"/>
      <c r="G370" s="24">
        <f t="shared" si="66"/>
        <v>1</v>
      </c>
      <c r="H370" s="680"/>
      <c r="I370" s="24">
        <f t="shared" si="67"/>
        <v>1</v>
      </c>
      <c r="J370" s="680"/>
      <c r="K370" s="24">
        <f t="shared" si="68"/>
        <v>1</v>
      </c>
      <c r="L370" s="680"/>
      <c r="M370" s="24">
        <f t="shared" si="69"/>
        <v>1</v>
      </c>
      <c r="N370" s="680"/>
      <c r="O370" s="24">
        <f t="shared" si="70"/>
        <v>1</v>
      </c>
      <c r="P370" s="680"/>
      <c r="Q370" s="24">
        <f t="shared" si="71"/>
        <v>1</v>
      </c>
      <c r="R370" s="676">
        <f t="shared" si="72"/>
        <v>0</v>
      </c>
      <c r="S370" s="326">
        <f t="shared" si="63"/>
        <v>0</v>
      </c>
    </row>
    <row r="371" spans="1:19">
      <c r="A371" s="159"/>
      <c r="B371" s="59"/>
      <c r="C371" s="24">
        <f t="shared" si="64"/>
        <v>1</v>
      </c>
      <c r="D371" s="680"/>
      <c r="E371" s="24">
        <f t="shared" si="65"/>
        <v>1</v>
      </c>
      <c r="F371" s="680"/>
      <c r="G371" s="24">
        <f t="shared" si="66"/>
        <v>1</v>
      </c>
      <c r="H371" s="680"/>
      <c r="I371" s="24">
        <f t="shared" si="67"/>
        <v>1</v>
      </c>
      <c r="J371" s="680"/>
      <c r="K371" s="24">
        <f t="shared" si="68"/>
        <v>1</v>
      </c>
      <c r="L371" s="680"/>
      <c r="M371" s="24">
        <f t="shared" si="69"/>
        <v>1</v>
      </c>
      <c r="N371" s="680"/>
      <c r="O371" s="24">
        <f t="shared" si="70"/>
        <v>1</v>
      </c>
      <c r="P371" s="680"/>
      <c r="Q371" s="24">
        <f t="shared" si="71"/>
        <v>1</v>
      </c>
      <c r="R371" s="676">
        <f t="shared" si="72"/>
        <v>0</v>
      </c>
      <c r="S371" s="326">
        <f t="shared" si="63"/>
        <v>0</v>
      </c>
    </row>
    <row r="372" spans="1:19">
      <c r="A372" s="159"/>
      <c r="B372" s="59"/>
      <c r="C372" s="24">
        <f t="shared" si="64"/>
        <v>1</v>
      </c>
      <c r="D372" s="680"/>
      <c r="E372" s="24">
        <f t="shared" si="65"/>
        <v>1</v>
      </c>
      <c r="F372" s="680"/>
      <c r="G372" s="24">
        <f t="shared" si="66"/>
        <v>1</v>
      </c>
      <c r="H372" s="680"/>
      <c r="I372" s="24">
        <f t="shared" si="67"/>
        <v>1</v>
      </c>
      <c r="J372" s="680"/>
      <c r="K372" s="24">
        <f t="shared" si="68"/>
        <v>1</v>
      </c>
      <c r="L372" s="680"/>
      <c r="M372" s="24">
        <f t="shared" si="69"/>
        <v>1</v>
      </c>
      <c r="N372" s="680"/>
      <c r="O372" s="24">
        <f t="shared" si="70"/>
        <v>1</v>
      </c>
      <c r="P372" s="680"/>
      <c r="Q372" s="24">
        <f t="shared" si="71"/>
        <v>1</v>
      </c>
      <c r="R372" s="676">
        <f t="shared" si="72"/>
        <v>0</v>
      </c>
      <c r="S372" s="326">
        <f t="shared" si="63"/>
        <v>0</v>
      </c>
    </row>
    <row r="373" spans="1:19">
      <c r="A373" s="159"/>
      <c r="B373" s="59"/>
      <c r="C373" s="24">
        <f t="shared" si="64"/>
        <v>1</v>
      </c>
      <c r="D373" s="680"/>
      <c r="E373" s="24">
        <f t="shared" si="65"/>
        <v>1</v>
      </c>
      <c r="F373" s="680"/>
      <c r="G373" s="24">
        <f t="shared" si="66"/>
        <v>1</v>
      </c>
      <c r="H373" s="680"/>
      <c r="I373" s="24">
        <f t="shared" si="67"/>
        <v>1</v>
      </c>
      <c r="J373" s="680"/>
      <c r="K373" s="24">
        <f t="shared" si="68"/>
        <v>1</v>
      </c>
      <c r="L373" s="680"/>
      <c r="M373" s="24">
        <f t="shared" si="69"/>
        <v>1</v>
      </c>
      <c r="N373" s="680"/>
      <c r="O373" s="24">
        <f t="shared" si="70"/>
        <v>1</v>
      </c>
      <c r="P373" s="680"/>
      <c r="Q373" s="24">
        <f t="shared" si="71"/>
        <v>1</v>
      </c>
      <c r="R373" s="676">
        <f t="shared" si="72"/>
        <v>0</v>
      </c>
      <c r="S373" s="326">
        <f t="shared" si="63"/>
        <v>0</v>
      </c>
    </row>
    <row r="374" spans="1:19">
      <c r="A374" s="159"/>
      <c r="B374" s="59"/>
      <c r="C374" s="24">
        <f t="shared" si="64"/>
        <v>1</v>
      </c>
      <c r="D374" s="680"/>
      <c r="E374" s="24">
        <f t="shared" si="65"/>
        <v>1</v>
      </c>
      <c r="F374" s="680"/>
      <c r="G374" s="24">
        <f t="shared" si="66"/>
        <v>1</v>
      </c>
      <c r="H374" s="680"/>
      <c r="I374" s="24">
        <f t="shared" si="67"/>
        <v>1</v>
      </c>
      <c r="J374" s="680"/>
      <c r="K374" s="24">
        <f t="shared" si="68"/>
        <v>1</v>
      </c>
      <c r="L374" s="680"/>
      <c r="M374" s="24">
        <f t="shared" si="69"/>
        <v>1</v>
      </c>
      <c r="N374" s="680"/>
      <c r="O374" s="24">
        <f t="shared" si="70"/>
        <v>1</v>
      </c>
      <c r="P374" s="680"/>
      <c r="Q374" s="24">
        <f t="shared" si="71"/>
        <v>1</v>
      </c>
      <c r="R374" s="676">
        <f t="shared" si="72"/>
        <v>0</v>
      </c>
      <c r="S374" s="326">
        <f t="shared" si="63"/>
        <v>0</v>
      </c>
    </row>
    <row r="375" spans="1:19">
      <c r="A375" s="159"/>
      <c r="B375" s="59"/>
      <c r="C375" s="24">
        <f t="shared" si="64"/>
        <v>1</v>
      </c>
      <c r="D375" s="680"/>
      <c r="E375" s="24">
        <f t="shared" si="65"/>
        <v>1</v>
      </c>
      <c r="F375" s="680"/>
      <c r="G375" s="24">
        <f t="shared" si="66"/>
        <v>1</v>
      </c>
      <c r="H375" s="680"/>
      <c r="I375" s="24">
        <f t="shared" si="67"/>
        <v>1</v>
      </c>
      <c r="J375" s="680"/>
      <c r="K375" s="24">
        <f t="shared" si="68"/>
        <v>1</v>
      </c>
      <c r="L375" s="680"/>
      <c r="M375" s="24">
        <f t="shared" si="69"/>
        <v>1</v>
      </c>
      <c r="N375" s="680"/>
      <c r="O375" s="24">
        <f t="shared" si="70"/>
        <v>1</v>
      </c>
      <c r="P375" s="680"/>
      <c r="Q375" s="24">
        <f t="shared" si="71"/>
        <v>1</v>
      </c>
      <c r="R375" s="676">
        <f t="shared" si="72"/>
        <v>0</v>
      </c>
      <c r="S375" s="326">
        <f t="shared" si="63"/>
        <v>0</v>
      </c>
    </row>
    <row r="376" spans="1:19">
      <c r="A376" s="159"/>
      <c r="B376" s="59"/>
      <c r="C376" s="24">
        <f t="shared" si="64"/>
        <v>1</v>
      </c>
      <c r="D376" s="680"/>
      <c r="E376" s="24">
        <f t="shared" si="65"/>
        <v>1</v>
      </c>
      <c r="F376" s="680"/>
      <c r="G376" s="24">
        <f t="shared" si="66"/>
        <v>1</v>
      </c>
      <c r="H376" s="680"/>
      <c r="I376" s="24">
        <f t="shared" si="67"/>
        <v>1</v>
      </c>
      <c r="J376" s="680"/>
      <c r="K376" s="24">
        <f t="shared" si="68"/>
        <v>1</v>
      </c>
      <c r="L376" s="680"/>
      <c r="M376" s="24">
        <f t="shared" si="69"/>
        <v>1</v>
      </c>
      <c r="N376" s="680"/>
      <c r="O376" s="24">
        <f t="shared" si="70"/>
        <v>1</v>
      </c>
      <c r="P376" s="680"/>
      <c r="Q376" s="24">
        <f t="shared" si="71"/>
        <v>1</v>
      </c>
      <c r="R376" s="676">
        <f t="shared" si="72"/>
        <v>0</v>
      </c>
      <c r="S376" s="326">
        <f t="shared" si="63"/>
        <v>0</v>
      </c>
    </row>
    <row r="377" spans="1:19">
      <c r="A377" s="159"/>
      <c r="B377" s="59"/>
      <c r="C377" s="24">
        <f t="shared" si="64"/>
        <v>1</v>
      </c>
      <c r="D377" s="680"/>
      <c r="E377" s="24">
        <f t="shared" si="65"/>
        <v>1</v>
      </c>
      <c r="F377" s="680"/>
      <c r="G377" s="24">
        <f t="shared" si="66"/>
        <v>1</v>
      </c>
      <c r="H377" s="680"/>
      <c r="I377" s="24">
        <f t="shared" si="67"/>
        <v>1</v>
      </c>
      <c r="J377" s="680"/>
      <c r="K377" s="24">
        <f t="shared" si="68"/>
        <v>1</v>
      </c>
      <c r="L377" s="680"/>
      <c r="M377" s="24">
        <f t="shared" si="69"/>
        <v>1</v>
      </c>
      <c r="N377" s="680"/>
      <c r="O377" s="24">
        <f t="shared" si="70"/>
        <v>1</v>
      </c>
      <c r="P377" s="680"/>
      <c r="Q377" s="24">
        <f t="shared" si="71"/>
        <v>1</v>
      </c>
      <c r="R377" s="676">
        <f t="shared" si="72"/>
        <v>0</v>
      </c>
      <c r="S377" s="326">
        <f t="shared" si="63"/>
        <v>0</v>
      </c>
    </row>
    <row r="378" spans="1:19">
      <c r="A378" s="159"/>
      <c r="B378" s="59"/>
      <c r="C378" s="24">
        <f t="shared" si="64"/>
        <v>1</v>
      </c>
      <c r="D378" s="680"/>
      <c r="E378" s="24">
        <f t="shared" si="65"/>
        <v>1</v>
      </c>
      <c r="F378" s="680"/>
      <c r="G378" s="24">
        <f t="shared" si="66"/>
        <v>1</v>
      </c>
      <c r="H378" s="680"/>
      <c r="I378" s="24">
        <f t="shared" si="67"/>
        <v>1</v>
      </c>
      <c r="J378" s="680"/>
      <c r="K378" s="24">
        <f t="shared" si="68"/>
        <v>1</v>
      </c>
      <c r="L378" s="680"/>
      <c r="M378" s="24">
        <f t="shared" si="69"/>
        <v>1</v>
      </c>
      <c r="N378" s="680"/>
      <c r="O378" s="24">
        <f t="shared" si="70"/>
        <v>1</v>
      </c>
      <c r="P378" s="680"/>
      <c r="Q378" s="24">
        <f t="shared" si="71"/>
        <v>1</v>
      </c>
      <c r="R378" s="676">
        <f t="shared" si="72"/>
        <v>0</v>
      </c>
      <c r="S378" s="326">
        <f t="shared" si="63"/>
        <v>0</v>
      </c>
    </row>
    <row r="379" spans="1:19">
      <c r="A379" s="159"/>
      <c r="B379" s="59"/>
      <c r="C379" s="24">
        <f t="shared" si="64"/>
        <v>1</v>
      </c>
      <c r="D379" s="680"/>
      <c r="E379" s="24">
        <f t="shared" si="65"/>
        <v>1</v>
      </c>
      <c r="F379" s="680"/>
      <c r="G379" s="24">
        <f t="shared" si="66"/>
        <v>1</v>
      </c>
      <c r="H379" s="680"/>
      <c r="I379" s="24">
        <f t="shared" si="67"/>
        <v>1</v>
      </c>
      <c r="J379" s="680"/>
      <c r="K379" s="24">
        <f t="shared" si="68"/>
        <v>1</v>
      </c>
      <c r="L379" s="680"/>
      <c r="M379" s="24">
        <f t="shared" si="69"/>
        <v>1</v>
      </c>
      <c r="N379" s="680"/>
      <c r="O379" s="24">
        <f t="shared" si="70"/>
        <v>1</v>
      </c>
      <c r="P379" s="680"/>
      <c r="Q379" s="24">
        <f t="shared" si="71"/>
        <v>1</v>
      </c>
      <c r="R379" s="676">
        <f t="shared" si="72"/>
        <v>0</v>
      </c>
      <c r="S379" s="326">
        <f t="shared" si="63"/>
        <v>0</v>
      </c>
    </row>
    <row r="380" spans="1:19">
      <c r="A380" s="159"/>
      <c r="B380" s="59"/>
      <c r="C380" s="24">
        <f t="shared" si="64"/>
        <v>1</v>
      </c>
      <c r="D380" s="680"/>
      <c r="E380" s="24">
        <f t="shared" si="65"/>
        <v>1</v>
      </c>
      <c r="F380" s="680"/>
      <c r="G380" s="24">
        <f t="shared" si="66"/>
        <v>1</v>
      </c>
      <c r="H380" s="680"/>
      <c r="I380" s="24">
        <f t="shared" si="67"/>
        <v>1</v>
      </c>
      <c r="J380" s="680"/>
      <c r="K380" s="24">
        <f t="shared" si="68"/>
        <v>1</v>
      </c>
      <c r="L380" s="680"/>
      <c r="M380" s="24">
        <f t="shared" si="69"/>
        <v>1</v>
      </c>
      <c r="N380" s="680"/>
      <c r="O380" s="24">
        <f t="shared" si="70"/>
        <v>1</v>
      </c>
      <c r="P380" s="680"/>
      <c r="Q380" s="24">
        <f t="shared" si="71"/>
        <v>1</v>
      </c>
      <c r="R380" s="676">
        <f t="shared" si="72"/>
        <v>0</v>
      </c>
      <c r="S380" s="326">
        <f t="shared" si="63"/>
        <v>0</v>
      </c>
    </row>
    <row r="381" spans="1:19">
      <c r="A381" s="159"/>
      <c r="B381" s="59"/>
      <c r="C381" s="24">
        <f t="shared" si="64"/>
        <v>1</v>
      </c>
      <c r="D381" s="680"/>
      <c r="E381" s="24">
        <f t="shared" si="65"/>
        <v>1</v>
      </c>
      <c r="F381" s="680"/>
      <c r="G381" s="24">
        <f t="shared" si="66"/>
        <v>1</v>
      </c>
      <c r="H381" s="680"/>
      <c r="I381" s="24">
        <f t="shared" si="67"/>
        <v>1</v>
      </c>
      <c r="J381" s="680"/>
      <c r="K381" s="24">
        <f t="shared" si="68"/>
        <v>1</v>
      </c>
      <c r="L381" s="680"/>
      <c r="M381" s="24">
        <f t="shared" si="69"/>
        <v>1</v>
      </c>
      <c r="N381" s="680"/>
      <c r="O381" s="24">
        <f t="shared" si="70"/>
        <v>1</v>
      </c>
      <c r="P381" s="680"/>
      <c r="Q381" s="24">
        <f t="shared" si="71"/>
        <v>1</v>
      </c>
      <c r="R381" s="676">
        <f t="shared" si="72"/>
        <v>0</v>
      </c>
      <c r="S381" s="326">
        <f t="shared" si="63"/>
        <v>0</v>
      </c>
    </row>
    <row r="382" spans="1:19">
      <c r="A382" s="159"/>
      <c r="B382" s="59"/>
      <c r="C382" s="24">
        <f t="shared" si="64"/>
        <v>1</v>
      </c>
      <c r="D382" s="680"/>
      <c r="E382" s="24">
        <f t="shared" si="65"/>
        <v>1</v>
      </c>
      <c r="F382" s="680"/>
      <c r="G382" s="24">
        <f t="shared" si="66"/>
        <v>1</v>
      </c>
      <c r="H382" s="680"/>
      <c r="I382" s="24">
        <f t="shared" si="67"/>
        <v>1</v>
      </c>
      <c r="J382" s="680"/>
      <c r="K382" s="24">
        <f t="shared" si="68"/>
        <v>1</v>
      </c>
      <c r="L382" s="680"/>
      <c r="M382" s="24">
        <f t="shared" si="69"/>
        <v>1</v>
      </c>
      <c r="N382" s="680"/>
      <c r="O382" s="24">
        <f t="shared" si="70"/>
        <v>1</v>
      </c>
      <c r="P382" s="680"/>
      <c r="Q382" s="24">
        <f t="shared" si="71"/>
        <v>1</v>
      </c>
      <c r="R382" s="676">
        <f t="shared" si="72"/>
        <v>0</v>
      </c>
      <c r="S382" s="326">
        <f t="shared" si="63"/>
        <v>0</v>
      </c>
    </row>
    <row r="383" spans="1:19">
      <c r="A383" s="159"/>
      <c r="B383" s="59"/>
      <c r="C383" s="24">
        <f t="shared" si="64"/>
        <v>1</v>
      </c>
      <c r="D383" s="680"/>
      <c r="E383" s="24">
        <f t="shared" si="65"/>
        <v>1</v>
      </c>
      <c r="F383" s="680"/>
      <c r="G383" s="24">
        <f t="shared" si="66"/>
        <v>1</v>
      </c>
      <c r="H383" s="680"/>
      <c r="I383" s="24">
        <f t="shared" si="67"/>
        <v>1</v>
      </c>
      <c r="J383" s="680"/>
      <c r="K383" s="24">
        <f t="shared" si="68"/>
        <v>1</v>
      </c>
      <c r="L383" s="680"/>
      <c r="M383" s="24">
        <f t="shared" si="69"/>
        <v>1</v>
      </c>
      <c r="N383" s="680"/>
      <c r="O383" s="24">
        <f t="shared" si="70"/>
        <v>1</v>
      </c>
      <c r="P383" s="680"/>
      <c r="Q383" s="24">
        <f t="shared" si="71"/>
        <v>1</v>
      </c>
      <c r="R383" s="676">
        <f t="shared" si="72"/>
        <v>0</v>
      </c>
      <c r="S383" s="326">
        <f t="shared" si="63"/>
        <v>0</v>
      </c>
    </row>
    <row r="384" spans="1:19">
      <c r="A384" s="159"/>
      <c r="B384" s="59"/>
      <c r="C384" s="24">
        <f t="shared" si="64"/>
        <v>1</v>
      </c>
      <c r="D384" s="680"/>
      <c r="E384" s="24">
        <f t="shared" si="65"/>
        <v>1</v>
      </c>
      <c r="F384" s="680"/>
      <c r="G384" s="24">
        <f t="shared" si="66"/>
        <v>1</v>
      </c>
      <c r="H384" s="680"/>
      <c r="I384" s="24">
        <f t="shared" si="67"/>
        <v>1</v>
      </c>
      <c r="J384" s="680"/>
      <c r="K384" s="24">
        <f t="shared" si="68"/>
        <v>1</v>
      </c>
      <c r="L384" s="680"/>
      <c r="M384" s="24">
        <f t="shared" si="69"/>
        <v>1</v>
      </c>
      <c r="N384" s="680"/>
      <c r="O384" s="24">
        <f t="shared" si="70"/>
        <v>1</v>
      </c>
      <c r="P384" s="680"/>
      <c r="Q384" s="24">
        <f t="shared" si="71"/>
        <v>1</v>
      </c>
      <c r="R384" s="676">
        <f t="shared" si="72"/>
        <v>0</v>
      </c>
      <c r="S384" s="326">
        <f t="shared" si="63"/>
        <v>0</v>
      </c>
    </row>
    <row r="385" spans="1:19">
      <c r="A385" s="159"/>
      <c r="B385" s="59"/>
      <c r="C385" s="24">
        <f t="shared" si="64"/>
        <v>1</v>
      </c>
      <c r="D385" s="680"/>
      <c r="E385" s="24">
        <f t="shared" si="65"/>
        <v>1</v>
      </c>
      <c r="F385" s="680"/>
      <c r="G385" s="24">
        <f t="shared" si="66"/>
        <v>1</v>
      </c>
      <c r="H385" s="680"/>
      <c r="I385" s="24">
        <f t="shared" si="67"/>
        <v>1</v>
      </c>
      <c r="J385" s="680"/>
      <c r="K385" s="24">
        <f t="shared" si="68"/>
        <v>1</v>
      </c>
      <c r="L385" s="680"/>
      <c r="M385" s="24">
        <f t="shared" si="69"/>
        <v>1</v>
      </c>
      <c r="N385" s="680"/>
      <c r="O385" s="24">
        <f t="shared" si="70"/>
        <v>1</v>
      </c>
      <c r="P385" s="680"/>
      <c r="Q385" s="24">
        <f t="shared" si="71"/>
        <v>1</v>
      </c>
      <c r="R385" s="676">
        <f t="shared" si="72"/>
        <v>0</v>
      </c>
      <c r="S385" s="326">
        <f t="shared" ref="S385:S422" si="73">ROUND(R385*B385/10000,0)</f>
        <v>0</v>
      </c>
    </row>
    <row r="386" spans="1:19">
      <c r="A386" s="159"/>
      <c r="B386" s="59"/>
      <c r="C386" s="24">
        <f t="shared" si="64"/>
        <v>1</v>
      </c>
      <c r="D386" s="680"/>
      <c r="E386" s="24">
        <f t="shared" si="65"/>
        <v>1</v>
      </c>
      <c r="F386" s="680"/>
      <c r="G386" s="24">
        <f t="shared" si="66"/>
        <v>1</v>
      </c>
      <c r="H386" s="680"/>
      <c r="I386" s="24">
        <f t="shared" si="67"/>
        <v>1</v>
      </c>
      <c r="J386" s="680"/>
      <c r="K386" s="24">
        <f t="shared" si="68"/>
        <v>1</v>
      </c>
      <c r="L386" s="680"/>
      <c r="M386" s="24">
        <f t="shared" si="69"/>
        <v>1</v>
      </c>
      <c r="N386" s="680"/>
      <c r="O386" s="24">
        <f t="shared" si="70"/>
        <v>1</v>
      </c>
      <c r="P386" s="680"/>
      <c r="Q386" s="24">
        <f t="shared" si="71"/>
        <v>1</v>
      </c>
      <c r="R386" s="676">
        <f t="shared" si="72"/>
        <v>0</v>
      </c>
      <c r="S386" s="326">
        <f t="shared" si="73"/>
        <v>0</v>
      </c>
    </row>
    <row r="387" spans="1:19">
      <c r="A387" s="159"/>
      <c r="B387" s="59"/>
      <c r="C387" s="24">
        <f t="shared" si="64"/>
        <v>1</v>
      </c>
      <c r="D387" s="680"/>
      <c r="E387" s="24">
        <f t="shared" si="65"/>
        <v>1</v>
      </c>
      <c r="F387" s="680"/>
      <c r="G387" s="24">
        <f t="shared" si="66"/>
        <v>1</v>
      </c>
      <c r="H387" s="680"/>
      <c r="I387" s="24">
        <f t="shared" si="67"/>
        <v>1</v>
      </c>
      <c r="J387" s="680"/>
      <c r="K387" s="24">
        <f t="shared" si="68"/>
        <v>1</v>
      </c>
      <c r="L387" s="680"/>
      <c r="M387" s="24">
        <f t="shared" si="69"/>
        <v>1</v>
      </c>
      <c r="N387" s="680"/>
      <c r="O387" s="24">
        <f t="shared" si="70"/>
        <v>1</v>
      </c>
      <c r="P387" s="680"/>
      <c r="Q387" s="24">
        <f t="shared" si="71"/>
        <v>1</v>
      </c>
      <c r="R387" s="676">
        <f t="shared" si="72"/>
        <v>0</v>
      </c>
      <c r="S387" s="326">
        <f t="shared" si="73"/>
        <v>0</v>
      </c>
    </row>
    <row r="388" spans="1:19">
      <c r="A388" s="159"/>
      <c r="B388" s="59"/>
      <c r="C388" s="24">
        <f t="shared" si="64"/>
        <v>1</v>
      </c>
      <c r="D388" s="680"/>
      <c r="E388" s="24">
        <f t="shared" si="65"/>
        <v>1</v>
      </c>
      <c r="F388" s="680"/>
      <c r="G388" s="24">
        <f t="shared" si="66"/>
        <v>1</v>
      </c>
      <c r="H388" s="680"/>
      <c r="I388" s="24">
        <f t="shared" si="67"/>
        <v>1</v>
      </c>
      <c r="J388" s="680"/>
      <c r="K388" s="24">
        <f t="shared" si="68"/>
        <v>1</v>
      </c>
      <c r="L388" s="680"/>
      <c r="M388" s="24">
        <f t="shared" si="69"/>
        <v>1</v>
      </c>
      <c r="N388" s="680"/>
      <c r="O388" s="24">
        <f t="shared" si="70"/>
        <v>1</v>
      </c>
      <c r="P388" s="680"/>
      <c r="Q388" s="24">
        <f t="shared" si="71"/>
        <v>1</v>
      </c>
      <c r="R388" s="676">
        <f t="shared" si="72"/>
        <v>0</v>
      </c>
      <c r="S388" s="326">
        <f t="shared" si="73"/>
        <v>0</v>
      </c>
    </row>
    <row r="389" spans="1:19">
      <c r="A389" s="159"/>
      <c r="B389" s="59"/>
      <c r="C389" s="24">
        <f t="shared" si="64"/>
        <v>1</v>
      </c>
      <c r="D389" s="680"/>
      <c r="E389" s="24">
        <f t="shared" si="65"/>
        <v>1</v>
      </c>
      <c r="F389" s="680"/>
      <c r="G389" s="24">
        <f t="shared" si="66"/>
        <v>1</v>
      </c>
      <c r="H389" s="680"/>
      <c r="I389" s="24">
        <f t="shared" si="67"/>
        <v>1</v>
      </c>
      <c r="J389" s="680"/>
      <c r="K389" s="24">
        <f t="shared" si="68"/>
        <v>1</v>
      </c>
      <c r="L389" s="680"/>
      <c r="M389" s="24">
        <f t="shared" si="69"/>
        <v>1</v>
      </c>
      <c r="N389" s="680"/>
      <c r="O389" s="24">
        <f t="shared" si="70"/>
        <v>1</v>
      </c>
      <c r="P389" s="680"/>
      <c r="Q389" s="24">
        <f t="shared" si="71"/>
        <v>1</v>
      </c>
      <c r="R389" s="676">
        <f t="shared" si="72"/>
        <v>0</v>
      </c>
      <c r="S389" s="326">
        <f t="shared" si="73"/>
        <v>0</v>
      </c>
    </row>
    <row r="390" spans="1:19">
      <c r="A390" s="159"/>
      <c r="B390" s="59"/>
      <c r="C390" s="24">
        <f t="shared" si="64"/>
        <v>1</v>
      </c>
      <c r="D390" s="680"/>
      <c r="E390" s="24">
        <f t="shared" si="65"/>
        <v>1</v>
      </c>
      <c r="F390" s="680"/>
      <c r="G390" s="24">
        <f t="shared" si="66"/>
        <v>1</v>
      </c>
      <c r="H390" s="680"/>
      <c r="I390" s="24">
        <f t="shared" si="67"/>
        <v>1</v>
      </c>
      <c r="J390" s="680"/>
      <c r="K390" s="24">
        <f t="shared" si="68"/>
        <v>1</v>
      </c>
      <c r="L390" s="680"/>
      <c r="M390" s="24">
        <f t="shared" si="69"/>
        <v>1</v>
      </c>
      <c r="N390" s="680"/>
      <c r="O390" s="24">
        <f t="shared" si="70"/>
        <v>1</v>
      </c>
      <c r="P390" s="680"/>
      <c r="Q390" s="24">
        <f t="shared" si="71"/>
        <v>1</v>
      </c>
      <c r="R390" s="676">
        <f t="shared" si="72"/>
        <v>0</v>
      </c>
      <c r="S390" s="326">
        <f t="shared" si="73"/>
        <v>0</v>
      </c>
    </row>
    <row r="391" spans="1:19">
      <c r="A391" s="159"/>
      <c r="B391" s="59"/>
      <c r="C391" s="24">
        <f t="shared" si="64"/>
        <v>1</v>
      </c>
      <c r="D391" s="680"/>
      <c r="E391" s="24">
        <f t="shared" si="65"/>
        <v>1</v>
      </c>
      <c r="F391" s="680"/>
      <c r="G391" s="24">
        <f t="shared" si="66"/>
        <v>1</v>
      </c>
      <c r="H391" s="680"/>
      <c r="I391" s="24">
        <f t="shared" si="67"/>
        <v>1</v>
      </c>
      <c r="J391" s="680"/>
      <c r="K391" s="24">
        <f t="shared" si="68"/>
        <v>1</v>
      </c>
      <c r="L391" s="680"/>
      <c r="M391" s="24">
        <f t="shared" si="69"/>
        <v>1</v>
      </c>
      <c r="N391" s="680"/>
      <c r="O391" s="24">
        <f t="shared" si="70"/>
        <v>1</v>
      </c>
      <c r="P391" s="680"/>
      <c r="Q391" s="24">
        <f t="shared" si="71"/>
        <v>1</v>
      </c>
      <c r="R391" s="676">
        <f t="shared" si="72"/>
        <v>0</v>
      </c>
      <c r="S391" s="326">
        <f t="shared" si="73"/>
        <v>0</v>
      </c>
    </row>
    <row r="392" spans="1:19">
      <c r="A392" s="159"/>
      <c r="B392" s="59"/>
      <c r="C392" s="24">
        <f t="shared" si="64"/>
        <v>1</v>
      </c>
      <c r="D392" s="680"/>
      <c r="E392" s="24">
        <f t="shared" si="65"/>
        <v>1</v>
      </c>
      <c r="F392" s="680"/>
      <c r="G392" s="24">
        <f t="shared" si="66"/>
        <v>1</v>
      </c>
      <c r="H392" s="680"/>
      <c r="I392" s="24">
        <f t="shared" si="67"/>
        <v>1</v>
      </c>
      <c r="J392" s="680"/>
      <c r="K392" s="24">
        <f t="shared" si="68"/>
        <v>1</v>
      </c>
      <c r="L392" s="680"/>
      <c r="M392" s="24">
        <f t="shared" si="69"/>
        <v>1</v>
      </c>
      <c r="N392" s="680"/>
      <c r="O392" s="24">
        <f t="shared" si="70"/>
        <v>1</v>
      </c>
      <c r="P392" s="680"/>
      <c r="Q392" s="24">
        <f t="shared" si="71"/>
        <v>1</v>
      </c>
      <c r="R392" s="676">
        <f t="shared" si="72"/>
        <v>0</v>
      </c>
      <c r="S392" s="326">
        <f t="shared" si="73"/>
        <v>0</v>
      </c>
    </row>
    <row r="393" spans="1:19">
      <c r="A393" s="159"/>
      <c r="B393" s="59"/>
      <c r="C393" s="24">
        <f t="shared" si="64"/>
        <v>1</v>
      </c>
      <c r="D393" s="680"/>
      <c r="E393" s="24">
        <f t="shared" si="65"/>
        <v>1</v>
      </c>
      <c r="F393" s="680"/>
      <c r="G393" s="24">
        <f t="shared" si="66"/>
        <v>1</v>
      </c>
      <c r="H393" s="680"/>
      <c r="I393" s="24">
        <f t="shared" si="67"/>
        <v>1</v>
      </c>
      <c r="J393" s="680"/>
      <c r="K393" s="24">
        <f t="shared" si="68"/>
        <v>1</v>
      </c>
      <c r="L393" s="680"/>
      <c r="M393" s="24">
        <f t="shared" si="69"/>
        <v>1</v>
      </c>
      <c r="N393" s="680"/>
      <c r="O393" s="24">
        <f t="shared" si="70"/>
        <v>1</v>
      </c>
      <c r="P393" s="680"/>
      <c r="Q393" s="24">
        <f t="shared" si="71"/>
        <v>1</v>
      </c>
      <c r="R393" s="676">
        <f t="shared" si="72"/>
        <v>0</v>
      </c>
      <c r="S393" s="326">
        <f t="shared" si="73"/>
        <v>0</v>
      </c>
    </row>
    <row r="394" spans="1:19">
      <c r="A394" s="159"/>
      <c r="B394" s="59"/>
      <c r="C394" s="24">
        <f t="shared" si="64"/>
        <v>1</v>
      </c>
      <c r="D394" s="680"/>
      <c r="E394" s="24">
        <f t="shared" si="65"/>
        <v>1</v>
      </c>
      <c r="F394" s="680"/>
      <c r="G394" s="24">
        <f t="shared" si="66"/>
        <v>1</v>
      </c>
      <c r="H394" s="680"/>
      <c r="I394" s="24">
        <f t="shared" si="67"/>
        <v>1</v>
      </c>
      <c r="J394" s="680"/>
      <c r="K394" s="24">
        <f t="shared" si="68"/>
        <v>1</v>
      </c>
      <c r="L394" s="680"/>
      <c r="M394" s="24">
        <f t="shared" si="69"/>
        <v>1</v>
      </c>
      <c r="N394" s="680"/>
      <c r="O394" s="24">
        <f t="shared" si="70"/>
        <v>1</v>
      </c>
      <c r="P394" s="680"/>
      <c r="Q394" s="24">
        <f t="shared" si="71"/>
        <v>1</v>
      </c>
      <c r="R394" s="676">
        <f t="shared" si="72"/>
        <v>0</v>
      </c>
      <c r="S394" s="326">
        <f t="shared" si="73"/>
        <v>0</v>
      </c>
    </row>
    <row r="395" spans="1:19">
      <c r="A395" s="159"/>
      <c r="B395" s="59"/>
      <c r="C395" s="24">
        <f t="shared" si="64"/>
        <v>1</v>
      </c>
      <c r="D395" s="680"/>
      <c r="E395" s="24">
        <f t="shared" si="65"/>
        <v>1</v>
      </c>
      <c r="F395" s="680"/>
      <c r="G395" s="24">
        <f t="shared" si="66"/>
        <v>1</v>
      </c>
      <c r="H395" s="680"/>
      <c r="I395" s="24">
        <f t="shared" si="67"/>
        <v>1</v>
      </c>
      <c r="J395" s="680"/>
      <c r="K395" s="24">
        <f t="shared" si="68"/>
        <v>1</v>
      </c>
      <c r="L395" s="680"/>
      <c r="M395" s="24">
        <f t="shared" si="69"/>
        <v>1</v>
      </c>
      <c r="N395" s="680"/>
      <c r="O395" s="24">
        <f t="shared" si="70"/>
        <v>1</v>
      </c>
      <c r="P395" s="680"/>
      <c r="Q395" s="24">
        <f t="shared" si="71"/>
        <v>1</v>
      </c>
      <c r="R395" s="676">
        <f t="shared" si="72"/>
        <v>0</v>
      </c>
      <c r="S395" s="326">
        <f t="shared" si="73"/>
        <v>0</v>
      </c>
    </row>
    <row r="396" spans="1:19">
      <c r="A396" s="159"/>
      <c r="B396" s="59"/>
      <c r="C396" s="24">
        <f t="shared" si="64"/>
        <v>1</v>
      </c>
      <c r="D396" s="680"/>
      <c r="E396" s="24">
        <f t="shared" si="65"/>
        <v>1</v>
      </c>
      <c r="F396" s="680"/>
      <c r="G396" s="24">
        <f t="shared" si="66"/>
        <v>1</v>
      </c>
      <c r="H396" s="680"/>
      <c r="I396" s="24">
        <f t="shared" si="67"/>
        <v>1</v>
      </c>
      <c r="J396" s="680"/>
      <c r="K396" s="24">
        <f t="shared" si="68"/>
        <v>1</v>
      </c>
      <c r="L396" s="680"/>
      <c r="M396" s="24">
        <f t="shared" si="69"/>
        <v>1</v>
      </c>
      <c r="N396" s="680"/>
      <c r="O396" s="24">
        <f t="shared" si="70"/>
        <v>1</v>
      </c>
      <c r="P396" s="680"/>
      <c r="Q396" s="24">
        <f t="shared" si="71"/>
        <v>1</v>
      </c>
      <c r="R396" s="676">
        <f t="shared" si="72"/>
        <v>0</v>
      </c>
      <c r="S396" s="326">
        <f t="shared" si="73"/>
        <v>0</v>
      </c>
    </row>
    <row r="397" spans="1:19">
      <c r="A397" s="159"/>
      <c r="B397" s="59"/>
      <c r="C397" s="24">
        <f t="shared" si="64"/>
        <v>1</v>
      </c>
      <c r="D397" s="680"/>
      <c r="E397" s="24">
        <f t="shared" si="65"/>
        <v>1</v>
      </c>
      <c r="F397" s="680"/>
      <c r="G397" s="24">
        <f t="shared" si="66"/>
        <v>1</v>
      </c>
      <c r="H397" s="680"/>
      <c r="I397" s="24">
        <f t="shared" si="67"/>
        <v>1</v>
      </c>
      <c r="J397" s="680"/>
      <c r="K397" s="24">
        <f t="shared" si="68"/>
        <v>1</v>
      </c>
      <c r="L397" s="680"/>
      <c r="M397" s="24">
        <f t="shared" si="69"/>
        <v>1</v>
      </c>
      <c r="N397" s="680"/>
      <c r="O397" s="24">
        <f t="shared" si="70"/>
        <v>1</v>
      </c>
      <c r="P397" s="680"/>
      <c r="Q397" s="24">
        <f t="shared" si="71"/>
        <v>1</v>
      </c>
      <c r="R397" s="676">
        <f t="shared" si="72"/>
        <v>0</v>
      </c>
      <c r="S397" s="326">
        <f t="shared" si="73"/>
        <v>0</v>
      </c>
    </row>
    <row r="398" spans="1:19">
      <c r="A398" s="159"/>
      <c r="B398" s="59"/>
      <c r="C398" s="24">
        <f t="shared" si="64"/>
        <v>1</v>
      </c>
      <c r="D398" s="680"/>
      <c r="E398" s="24">
        <f t="shared" si="65"/>
        <v>1</v>
      </c>
      <c r="F398" s="680"/>
      <c r="G398" s="24">
        <f t="shared" si="66"/>
        <v>1</v>
      </c>
      <c r="H398" s="680"/>
      <c r="I398" s="24">
        <f t="shared" si="67"/>
        <v>1</v>
      </c>
      <c r="J398" s="680"/>
      <c r="K398" s="24">
        <f t="shared" si="68"/>
        <v>1</v>
      </c>
      <c r="L398" s="680"/>
      <c r="M398" s="24">
        <f t="shared" si="69"/>
        <v>1</v>
      </c>
      <c r="N398" s="680"/>
      <c r="O398" s="24">
        <f t="shared" si="70"/>
        <v>1</v>
      </c>
      <c r="P398" s="680"/>
      <c r="Q398" s="24">
        <f t="shared" si="71"/>
        <v>1</v>
      </c>
      <c r="R398" s="676">
        <f t="shared" si="72"/>
        <v>0</v>
      </c>
      <c r="S398" s="326">
        <f t="shared" si="73"/>
        <v>0</v>
      </c>
    </row>
    <row r="399" spans="1:19">
      <c r="A399" s="159"/>
      <c r="B399" s="59"/>
      <c r="C399" s="24">
        <f t="shared" si="64"/>
        <v>1</v>
      </c>
      <c r="D399" s="680"/>
      <c r="E399" s="24">
        <f t="shared" si="65"/>
        <v>1</v>
      </c>
      <c r="F399" s="680"/>
      <c r="G399" s="24">
        <f t="shared" si="66"/>
        <v>1</v>
      </c>
      <c r="H399" s="680"/>
      <c r="I399" s="24">
        <f t="shared" si="67"/>
        <v>1</v>
      </c>
      <c r="J399" s="680"/>
      <c r="K399" s="24">
        <f t="shared" si="68"/>
        <v>1</v>
      </c>
      <c r="L399" s="680"/>
      <c r="M399" s="24">
        <f t="shared" si="69"/>
        <v>1</v>
      </c>
      <c r="N399" s="680"/>
      <c r="O399" s="24">
        <f t="shared" si="70"/>
        <v>1</v>
      </c>
      <c r="P399" s="680"/>
      <c r="Q399" s="24">
        <f t="shared" si="71"/>
        <v>1</v>
      </c>
      <c r="R399" s="676">
        <f t="shared" si="72"/>
        <v>0</v>
      </c>
      <c r="S399" s="326">
        <f t="shared" si="73"/>
        <v>0</v>
      </c>
    </row>
    <row r="400" spans="1:19">
      <c r="A400" s="159"/>
      <c r="B400" s="59"/>
      <c r="C400" s="24">
        <f t="shared" si="64"/>
        <v>1</v>
      </c>
      <c r="D400" s="680"/>
      <c r="E400" s="24">
        <f t="shared" si="65"/>
        <v>1</v>
      </c>
      <c r="F400" s="680"/>
      <c r="G400" s="24">
        <f t="shared" si="66"/>
        <v>1</v>
      </c>
      <c r="H400" s="680"/>
      <c r="I400" s="24">
        <f t="shared" si="67"/>
        <v>1</v>
      </c>
      <c r="J400" s="680"/>
      <c r="K400" s="24">
        <f t="shared" si="68"/>
        <v>1</v>
      </c>
      <c r="L400" s="680"/>
      <c r="M400" s="24">
        <f t="shared" si="69"/>
        <v>1</v>
      </c>
      <c r="N400" s="680"/>
      <c r="O400" s="24">
        <f t="shared" si="70"/>
        <v>1</v>
      </c>
      <c r="P400" s="680"/>
      <c r="Q400" s="24">
        <f t="shared" si="71"/>
        <v>1</v>
      </c>
      <c r="R400" s="676">
        <f t="shared" si="72"/>
        <v>0</v>
      </c>
      <c r="S400" s="326">
        <f t="shared" si="73"/>
        <v>0</v>
      </c>
    </row>
    <row r="401" spans="1:19">
      <c r="A401" s="159"/>
      <c r="B401" s="59"/>
      <c r="C401" s="24">
        <f t="shared" si="64"/>
        <v>1</v>
      </c>
      <c r="D401" s="680"/>
      <c r="E401" s="24">
        <f t="shared" si="65"/>
        <v>1</v>
      </c>
      <c r="F401" s="680"/>
      <c r="G401" s="24">
        <f t="shared" si="66"/>
        <v>1</v>
      </c>
      <c r="H401" s="680"/>
      <c r="I401" s="24">
        <f t="shared" si="67"/>
        <v>1</v>
      </c>
      <c r="J401" s="680"/>
      <c r="K401" s="24">
        <f t="shared" si="68"/>
        <v>1</v>
      </c>
      <c r="L401" s="680"/>
      <c r="M401" s="24">
        <f t="shared" si="69"/>
        <v>1</v>
      </c>
      <c r="N401" s="680"/>
      <c r="O401" s="24">
        <f t="shared" si="70"/>
        <v>1</v>
      </c>
      <c r="P401" s="680"/>
      <c r="Q401" s="24">
        <f t="shared" si="71"/>
        <v>1</v>
      </c>
      <c r="R401" s="676">
        <f t="shared" si="72"/>
        <v>0</v>
      </c>
      <c r="S401" s="326">
        <f t="shared" si="73"/>
        <v>0</v>
      </c>
    </row>
    <row r="402" spans="1:19">
      <c r="A402" s="159"/>
      <c r="B402" s="59"/>
      <c r="C402" s="24">
        <f t="shared" si="64"/>
        <v>1</v>
      </c>
      <c r="D402" s="680"/>
      <c r="E402" s="24">
        <f t="shared" si="65"/>
        <v>1</v>
      </c>
      <c r="F402" s="680"/>
      <c r="G402" s="24">
        <f t="shared" si="66"/>
        <v>1</v>
      </c>
      <c r="H402" s="680"/>
      <c r="I402" s="24">
        <f t="shared" si="67"/>
        <v>1</v>
      </c>
      <c r="J402" s="680"/>
      <c r="K402" s="24">
        <f t="shared" si="68"/>
        <v>1</v>
      </c>
      <c r="L402" s="680"/>
      <c r="M402" s="24">
        <f t="shared" si="69"/>
        <v>1</v>
      </c>
      <c r="N402" s="680"/>
      <c r="O402" s="24">
        <f t="shared" si="70"/>
        <v>1</v>
      </c>
      <c r="P402" s="680"/>
      <c r="Q402" s="24">
        <f t="shared" si="71"/>
        <v>1</v>
      </c>
      <c r="R402" s="676">
        <f t="shared" si="72"/>
        <v>0</v>
      </c>
      <c r="S402" s="326">
        <f t="shared" si="73"/>
        <v>0</v>
      </c>
    </row>
    <row r="403" spans="1:19">
      <c r="A403" s="159"/>
      <c r="B403" s="59"/>
      <c r="C403" s="24">
        <f t="shared" si="64"/>
        <v>1</v>
      </c>
      <c r="D403" s="680"/>
      <c r="E403" s="24">
        <f t="shared" si="65"/>
        <v>1</v>
      </c>
      <c r="F403" s="680"/>
      <c r="G403" s="24">
        <f t="shared" si="66"/>
        <v>1</v>
      </c>
      <c r="H403" s="680"/>
      <c r="I403" s="24">
        <f t="shared" si="67"/>
        <v>1</v>
      </c>
      <c r="J403" s="680"/>
      <c r="K403" s="24">
        <f t="shared" si="68"/>
        <v>1</v>
      </c>
      <c r="L403" s="680"/>
      <c r="M403" s="24">
        <f t="shared" si="69"/>
        <v>1</v>
      </c>
      <c r="N403" s="680"/>
      <c r="O403" s="24">
        <f t="shared" si="70"/>
        <v>1</v>
      </c>
      <c r="P403" s="680"/>
      <c r="Q403" s="24">
        <f t="shared" si="71"/>
        <v>1</v>
      </c>
      <c r="R403" s="676">
        <f t="shared" si="72"/>
        <v>0</v>
      </c>
      <c r="S403" s="326">
        <f t="shared" si="73"/>
        <v>0</v>
      </c>
    </row>
    <row r="404" spans="1:19">
      <c r="A404" s="159"/>
      <c r="B404" s="59"/>
      <c r="C404" s="24">
        <f t="shared" si="64"/>
        <v>1</v>
      </c>
      <c r="D404" s="680"/>
      <c r="E404" s="24">
        <f t="shared" si="65"/>
        <v>1</v>
      </c>
      <c r="F404" s="680"/>
      <c r="G404" s="24">
        <f t="shared" si="66"/>
        <v>1</v>
      </c>
      <c r="H404" s="680"/>
      <c r="I404" s="24">
        <f t="shared" si="67"/>
        <v>1</v>
      </c>
      <c r="J404" s="680"/>
      <c r="K404" s="24">
        <f t="shared" si="68"/>
        <v>1</v>
      </c>
      <c r="L404" s="680"/>
      <c r="M404" s="24">
        <f t="shared" si="69"/>
        <v>1</v>
      </c>
      <c r="N404" s="680"/>
      <c r="O404" s="24">
        <f t="shared" si="70"/>
        <v>1</v>
      </c>
      <c r="P404" s="680"/>
      <c r="Q404" s="24">
        <f t="shared" si="71"/>
        <v>1</v>
      </c>
      <c r="R404" s="676">
        <f t="shared" si="72"/>
        <v>0</v>
      </c>
      <c r="S404" s="326">
        <f t="shared" si="73"/>
        <v>0</v>
      </c>
    </row>
    <row r="405" spans="1:19">
      <c r="A405" s="159"/>
      <c r="B405" s="59"/>
      <c r="C405" s="24">
        <f t="shared" si="64"/>
        <v>1</v>
      </c>
      <c r="D405" s="680"/>
      <c r="E405" s="24">
        <f t="shared" si="65"/>
        <v>1</v>
      </c>
      <c r="F405" s="680"/>
      <c r="G405" s="24">
        <f t="shared" si="66"/>
        <v>1</v>
      </c>
      <c r="H405" s="680"/>
      <c r="I405" s="24">
        <f t="shared" si="67"/>
        <v>1</v>
      </c>
      <c r="J405" s="680"/>
      <c r="K405" s="24">
        <f t="shared" si="68"/>
        <v>1</v>
      </c>
      <c r="L405" s="680"/>
      <c r="M405" s="24">
        <f t="shared" si="69"/>
        <v>1</v>
      </c>
      <c r="N405" s="680"/>
      <c r="O405" s="24">
        <f t="shared" si="70"/>
        <v>1</v>
      </c>
      <c r="P405" s="680"/>
      <c r="Q405" s="24">
        <f t="shared" si="71"/>
        <v>1</v>
      </c>
      <c r="R405" s="676">
        <f t="shared" si="72"/>
        <v>0</v>
      </c>
      <c r="S405" s="326">
        <f t="shared" si="73"/>
        <v>0</v>
      </c>
    </row>
    <row r="406" spans="1:19">
      <c r="A406" s="159"/>
      <c r="B406" s="59"/>
      <c r="C406" s="24">
        <f t="shared" si="64"/>
        <v>1</v>
      </c>
      <c r="D406" s="680"/>
      <c r="E406" s="24">
        <f t="shared" si="65"/>
        <v>1</v>
      </c>
      <c r="F406" s="680"/>
      <c r="G406" s="24">
        <f t="shared" si="66"/>
        <v>1</v>
      </c>
      <c r="H406" s="680"/>
      <c r="I406" s="24">
        <f t="shared" si="67"/>
        <v>1</v>
      </c>
      <c r="J406" s="680"/>
      <c r="K406" s="24">
        <f t="shared" si="68"/>
        <v>1</v>
      </c>
      <c r="L406" s="680"/>
      <c r="M406" s="24">
        <f t="shared" si="69"/>
        <v>1</v>
      </c>
      <c r="N406" s="680"/>
      <c r="O406" s="24">
        <f t="shared" si="70"/>
        <v>1</v>
      </c>
      <c r="P406" s="680"/>
      <c r="Q406" s="24">
        <f t="shared" si="71"/>
        <v>1</v>
      </c>
      <c r="R406" s="676">
        <f t="shared" si="72"/>
        <v>0</v>
      </c>
      <c r="S406" s="326">
        <f t="shared" si="73"/>
        <v>0</v>
      </c>
    </row>
    <row r="407" spans="1:19">
      <c r="A407" s="159"/>
      <c r="B407" s="59"/>
      <c r="C407" s="24">
        <f t="shared" si="64"/>
        <v>1</v>
      </c>
      <c r="D407" s="680"/>
      <c r="E407" s="24">
        <f t="shared" si="65"/>
        <v>1</v>
      </c>
      <c r="F407" s="680"/>
      <c r="G407" s="24">
        <f t="shared" si="66"/>
        <v>1</v>
      </c>
      <c r="H407" s="680"/>
      <c r="I407" s="24">
        <f t="shared" si="67"/>
        <v>1</v>
      </c>
      <c r="J407" s="680"/>
      <c r="K407" s="24">
        <f t="shared" si="68"/>
        <v>1</v>
      </c>
      <c r="L407" s="680"/>
      <c r="M407" s="24">
        <f t="shared" si="69"/>
        <v>1</v>
      </c>
      <c r="N407" s="680"/>
      <c r="O407" s="24">
        <f t="shared" si="70"/>
        <v>1</v>
      </c>
      <c r="P407" s="680"/>
      <c r="Q407" s="24">
        <f t="shared" si="71"/>
        <v>1</v>
      </c>
      <c r="R407" s="676">
        <f t="shared" si="72"/>
        <v>0</v>
      </c>
      <c r="S407" s="326">
        <f t="shared" si="73"/>
        <v>0</v>
      </c>
    </row>
    <row r="408" spans="1:19">
      <c r="A408" s="159"/>
      <c r="B408" s="59"/>
      <c r="C408" s="24">
        <f t="shared" si="64"/>
        <v>1</v>
      </c>
      <c r="D408" s="680"/>
      <c r="E408" s="24">
        <f t="shared" si="65"/>
        <v>1</v>
      </c>
      <c r="F408" s="680"/>
      <c r="G408" s="24">
        <f t="shared" si="66"/>
        <v>1</v>
      </c>
      <c r="H408" s="680"/>
      <c r="I408" s="24">
        <f t="shared" si="67"/>
        <v>1</v>
      </c>
      <c r="J408" s="680"/>
      <c r="K408" s="24">
        <f t="shared" si="68"/>
        <v>1</v>
      </c>
      <c r="L408" s="680"/>
      <c r="M408" s="24">
        <f t="shared" si="69"/>
        <v>1</v>
      </c>
      <c r="N408" s="680"/>
      <c r="O408" s="24">
        <f t="shared" si="70"/>
        <v>1</v>
      </c>
      <c r="P408" s="680"/>
      <c r="Q408" s="24">
        <f t="shared" si="71"/>
        <v>1</v>
      </c>
      <c r="R408" s="676">
        <f t="shared" si="72"/>
        <v>0</v>
      </c>
      <c r="S408" s="326">
        <f t="shared" si="73"/>
        <v>0</v>
      </c>
    </row>
    <row r="409" spans="1:19">
      <c r="A409" s="159"/>
      <c r="B409" s="59"/>
      <c r="C409" s="24">
        <f t="shared" si="64"/>
        <v>1</v>
      </c>
      <c r="D409" s="680"/>
      <c r="E409" s="24">
        <f t="shared" si="65"/>
        <v>1</v>
      </c>
      <c r="F409" s="680"/>
      <c r="G409" s="24">
        <f t="shared" si="66"/>
        <v>1</v>
      </c>
      <c r="H409" s="680"/>
      <c r="I409" s="24">
        <f t="shared" si="67"/>
        <v>1</v>
      </c>
      <c r="J409" s="680"/>
      <c r="K409" s="24">
        <f t="shared" si="68"/>
        <v>1</v>
      </c>
      <c r="L409" s="680"/>
      <c r="M409" s="24">
        <f t="shared" si="69"/>
        <v>1</v>
      </c>
      <c r="N409" s="680"/>
      <c r="O409" s="24">
        <f t="shared" si="70"/>
        <v>1</v>
      </c>
      <c r="P409" s="680"/>
      <c r="Q409" s="24">
        <f t="shared" si="71"/>
        <v>1</v>
      </c>
      <c r="R409" s="676">
        <f t="shared" si="72"/>
        <v>0</v>
      </c>
      <c r="S409" s="326">
        <f t="shared" si="73"/>
        <v>0</v>
      </c>
    </row>
    <row r="410" spans="1:19">
      <c r="A410" s="159"/>
      <c r="B410" s="59"/>
      <c r="C410" s="24">
        <f t="shared" ref="C410:C473" si="74">IF(B410="",1,(LOOKUP(B410,$3:$3,$4:$4)-LOOKUP($B$24,$3:$3,$4:$4)+100)/100)</f>
        <v>1</v>
      </c>
      <c r="D410" s="680"/>
      <c r="E410" s="24">
        <f t="shared" ref="E410:E473" si="75">(SUMIF($5:$5,D410,$6:$6)-SUMIF($5:$5,$D$24,$6:$6)+100)/100</f>
        <v>1</v>
      </c>
      <c r="F410" s="680"/>
      <c r="G410" s="24">
        <f t="shared" ref="G410:G473" si="76">(SUMIF($7:$7,F410,$8:$8)-SUMIF($7:$7,$F$24,$8:$8)+100)/100</f>
        <v>1</v>
      </c>
      <c r="H410" s="680"/>
      <c r="I410" s="24">
        <f t="shared" ref="I410:I473" si="77">(SUMIF($9:$9,H410,$10:$10)-SUMIF($9:$9,$H$24,$10:$10)+100)/100</f>
        <v>1</v>
      </c>
      <c r="J410" s="680"/>
      <c r="K410" s="24">
        <f t="shared" ref="K410:K473" si="78">(SUMIF($11:$11,J410,$12:$12)-SUMIF($11:$11,$J$24,$12:$12)+100)/100</f>
        <v>1</v>
      </c>
      <c r="L410" s="680"/>
      <c r="M410" s="24">
        <f t="shared" ref="M410:M473" si="79">(SUMIF($13:$13,L410,$14:$14)-SUMIF($13:$13,$L$24,$14:$14)+100)/100</f>
        <v>1</v>
      </c>
      <c r="N410" s="680"/>
      <c r="O410" s="24">
        <f t="shared" ref="O410:O473" si="80">(SUMIF($15:$15,N410,$16:$16)-SUMIF($15:$15,$N$24,$16:$16)+100)/100</f>
        <v>1</v>
      </c>
      <c r="P410" s="680"/>
      <c r="Q410" s="24">
        <f t="shared" ref="Q410:Q473" si="81">(SUMIF($17:$17,P410,$18:$18)-SUMIF($17:$17,$P$24,$18:$18)+100)/100</f>
        <v>1</v>
      </c>
      <c r="R410" s="676">
        <f t="shared" ref="R410:R473" si="82">IF(B410="",0,ROUND($R$24*C410*E410*G410*I410*K410*M410*O410*Q410,0))</f>
        <v>0</v>
      </c>
      <c r="S410" s="326">
        <f t="shared" si="73"/>
        <v>0</v>
      </c>
    </row>
    <row r="411" spans="1:19">
      <c r="A411" s="159"/>
      <c r="B411" s="59"/>
      <c r="C411" s="24">
        <f t="shared" si="74"/>
        <v>1</v>
      </c>
      <c r="D411" s="680"/>
      <c r="E411" s="24">
        <f t="shared" si="75"/>
        <v>1</v>
      </c>
      <c r="F411" s="680"/>
      <c r="G411" s="24">
        <f t="shared" si="76"/>
        <v>1</v>
      </c>
      <c r="H411" s="680"/>
      <c r="I411" s="24">
        <f t="shared" si="77"/>
        <v>1</v>
      </c>
      <c r="J411" s="680"/>
      <c r="K411" s="24">
        <f t="shared" si="78"/>
        <v>1</v>
      </c>
      <c r="L411" s="680"/>
      <c r="M411" s="24">
        <f t="shared" si="79"/>
        <v>1</v>
      </c>
      <c r="N411" s="680"/>
      <c r="O411" s="24">
        <f t="shared" si="80"/>
        <v>1</v>
      </c>
      <c r="P411" s="680"/>
      <c r="Q411" s="24">
        <f t="shared" si="81"/>
        <v>1</v>
      </c>
      <c r="R411" s="676">
        <f t="shared" si="82"/>
        <v>0</v>
      </c>
      <c r="S411" s="326">
        <f t="shared" si="73"/>
        <v>0</v>
      </c>
    </row>
    <row r="412" spans="1:19">
      <c r="A412" s="159"/>
      <c r="B412" s="59"/>
      <c r="C412" s="24">
        <f t="shared" si="74"/>
        <v>1</v>
      </c>
      <c r="D412" s="680"/>
      <c r="E412" s="24">
        <f t="shared" si="75"/>
        <v>1</v>
      </c>
      <c r="F412" s="680"/>
      <c r="G412" s="24">
        <f t="shared" si="76"/>
        <v>1</v>
      </c>
      <c r="H412" s="680"/>
      <c r="I412" s="24">
        <f t="shared" si="77"/>
        <v>1</v>
      </c>
      <c r="J412" s="680"/>
      <c r="K412" s="24">
        <f t="shared" si="78"/>
        <v>1</v>
      </c>
      <c r="L412" s="680"/>
      <c r="M412" s="24">
        <f t="shared" si="79"/>
        <v>1</v>
      </c>
      <c r="N412" s="680"/>
      <c r="O412" s="24">
        <f t="shared" si="80"/>
        <v>1</v>
      </c>
      <c r="P412" s="680"/>
      <c r="Q412" s="24">
        <f t="shared" si="81"/>
        <v>1</v>
      </c>
      <c r="R412" s="676">
        <f t="shared" si="82"/>
        <v>0</v>
      </c>
      <c r="S412" s="326">
        <f t="shared" si="73"/>
        <v>0</v>
      </c>
    </row>
    <row r="413" spans="1:19">
      <c r="A413" s="159"/>
      <c r="B413" s="59"/>
      <c r="C413" s="24">
        <f t="shared" si="74"/>
        <v>1</v>
      </c>
      <c r="D413" s="680"/>
      <c r="E413" s="24">
        <f t="shared" si="75"/>
        <v>1</v>
      </c>
      <c r="F413" s="680"/>
      <c r="G413" s="24">
        <f t="shared" si="76"/>
        <v>1</v>
      </c>
      <c r="H413" s="680"/>
      <c r="I413" s="24">
        <f t="shared" si="77"/>
        <v>1</v>
      </c>
      <c r="J413" s="680"/>
      <c r="K413" s="24">
        <f t="shared" si="78"/>
        <v>1</v>
      </c>
      <c r="L413" s="680"/>
      <c r="M413" s="24">
        <f t="shared" si="79"/>
        <v>1</v>
      </c>
      <c r="N413" s="680"/>
      <c r="O413" s="24">
        <f t="shared" si="80"/>
        <v>1</v>
      </c>
      <c r="P413" s="680"/>
      <c r="Q413" s="24">
        <f t="shared" si="81"/>
        <v>1</v>
      </c>
      <c r="R413" s="676">
        <f t="shared" si="82"/>
        <v>0</v>
      </c>
      <c r="S413" s="326">
        <f t="shared" si="73"/>
        <v>0</v>
      </c>
    </row>
    <row r="414" spans="1:19">
      <c r="A414" s="159"/>
      <c r="B414" s="59"/>
      <c r="C414" s="24">
        <f t="shared" si="74"/>
        <v>1</v>
      </c>
      <c r="D414" s="680"/>
      <c r="E414" s="24">
        <f t="shared" si="75"/>
        <v>1</v>
      </c>
      <c r="F414" s="680"/>
      <c r="G414" s="24">
        <f t="shared" si="76"/>
        <v>1</v>
      </c>
      <c r="H414" s="680"/>
      <c r="I414" s="24">
        <f t="shared" si="77"/>
        <v>1</v>
      </c>
      <c r="J414" s="680"/>
      <c r="K414" s="24">
        <f t="shared" si="78"/>
        <v>1</v>
      </c>
      <c r="L414" s="680"/>
      <c r="M414" s="24">
        <f t="shared" si="79"/>
        <v>1</v>
      </c>
      <c r="N414" s="680"/>
      <c r="O414" s="24">
        <f t="shared" si="80"/>
        <v>1</v>
      </c>
      <c r="P414" s="680"/>
      <c r="Q414" s="24">
        <f t="shared" si="81"/>
        <v>1</v>
      </c>
      <c r="R414" s="676">
        <f t="shared" si="82"/>
        <v>0</v>
      </c>
      <c r="S414" s="326">
        <f t="shared" si="73"/>
        <v>0</v>
      </c>
    </row>
    <row r="415" spans="1:19">
      <c r="A415" s="159"/>
      <c r="B415" s="59"/>
      <c r="C415" s="24">
        <f t="shared" si="74"/>
        <v>1</v>
      </c>
      <c r="D415" s="680"/>
      <c r="E415" s="24">
        <f t="shared" si="75"/>
        <v>1</v>
      </c>
      <c r="F415" s="680"/>
      <c r="G415" s="24">
        <f t="shared" si="76"/>
        <v>1</v>
      </c>
      <c r="H415" s="680"/>
      <c r="I415" s="24">
        <f t="shared" si="77"/>
        <v>1</v>
      </c>
      <c r="J415" s="680"/>
      <c r="K415" s="24">
        <f t="shared" si="78"/>
        <v>1</v>
      </c>
      <c r="L415" s="680"/>
      <c r="M415" s="24">
        <f t="shared" si="79"/>
        <v>1</v>
      </c>
      <c r="N415" s="680"/>
      <c r="O415" s="24">
        <f t="shared" si="80"/>
        <v>1</v>
      </c>
      <c r="P415" s="680"/>
      <c r="Q415" s="24">
        <f t="shared" si="81"/>
        <v>1</v>
      </c>
      <c r="R415" s="676">
        <f t="shared" si="82"/>
        <v>0</v>
      </c>
      <c r="S415" s="326">
        <f t="shared" si="73"/>
        <v>0</v>
      </c>
    </row>
    <row r="416" spans="1:19">
      <c r="A416" s="159"/>
      <c r="B416" s="59"/>
      <c r="C416" s="24">
        <f t="shared" si="74"/>
        <v>1</v>
      </c>
      <c r="D416" s="680"/>
      <c r="E416" s="24">
        <f t="shared" si="75"/>
        <v>1</v>
      </c>
      <c r="F416" s="680"/>
      <c r="G416" s="24">
        <f t="shared" si="76"/>
        <v>1</v>
      </c>
      <c r="H416" s="680"/>
      <c r="I416" s="24">
        <f t="shared" si="77"/>
        <v>1</v>
      </c>
      <c r="J416" s="680"/>
      <c r="K416" s="24">
        <f t="shared" si="78"/>
        <v>1</v>
      </c>
      <c r="L416" s="680"/>
      <c r="M416" s="24">
        <f t="shared" si="79"/>
        <v>1</v>
      </c>
      <c r="N416" s="680"/>
      <c r="O416" s="24">
        <f t="shared" si="80"/>
        <v>1</v>
      </c>
      <c r="P416" s="680"/>
      <c r="Q416" s="24">
        <f t="shared" si="81"/>
        <v>1</v>
      </c>
      <c r="R416" s="676">
        <f t="shared" si="82"/>
        <v>0</v>
      </c>
      <c r="S416" s="326">
        <f t="shared" si="73"/>
        <v>0</v>
      </c>
    </row>
    <row r="417" spans="1:19">
      <c r="A417" s="159"/>
      <c r="B417" s="59"/>
      <c r="C417" s="24">
        <f t="shared" si="74"/>
        <v>1</v>
      </c>
      <c r="D417" s="680"/>
      <c r="E417" s="24">
        <f t="shared" si="75"/>
        <v>1</v>
      </c>
      <c r="F417" s="680"/>
      <c r="G417" s="24">
        <f t="shared" si="76"/>
        <v>1</v>
      </c>
      <c r="H417" s="680"/>
      <c r="I417" s="24">
        <f t="shared" si="77"/>
        <v>1</v>
      </c>
      <c r="J417" s="680"/>
      <c r="K417" s="24">
        <f t="shared" si="78"/>
        <v>1</v>
      </c>
      <c r="L417" s="680"/>
      <c r="M417" s="24">
        <f t="shared" si="79"/>
        <v>1</v>
      </c>
      <c r="N417" s="680"/>
      <c r="O417" s="24">
        <f t="shared" si="80"/>
        <v>1</v>
      </c>
      <c r="P417" s="680"/>
      <c r="Q417" s="24">
        <f t="shared" si="81"/>
        <v>1</v>
      </c>
      <c r="R417" s="676">
        <f t="shared" si="82"/>
        <v>0</v>
      </c>
      <c r="S417" s="326">
        <f t="shared" si="73"/>
        <v>0</v>
      </c>
    </row>
    <row r="418" spans="1:19">
      <c r="A418" s="159"/>
      <c r="B418" s="59"/>
      <c r="C418" s="24">
        <f t="shared" si="74"/>
        <v>1</v>
      </c>
      <c r="D418" s="680"/>
      <c r="E418" s="24">
        <f t="shared" si="75"/>
        <v>1</v>
      </c>
      <c r="F418" s="680"/>
      <c r="G418" s="24">
        <f t="shared" si="76"/>
        <v>1</v>
      </c>
      <c r="H418" s="680"/>
      <c r="I418" s="24">
        <f t="shared" si="77"/>
        <v>1</v>
      </c>
      <c r="J418" s="680"/>
      <c r="K418" s="24">
        <f t="shared" si="78"/>
        <v>1</v>
      </c>
      <c r="L418" s="680"/>
      <c r="M418" s="24">
        <f t="shared" si="79"/>
        <v>1</v>
      </c>
      <c r="N418" s="680"/>
      <c r="O418" s="24">
        <f t="shared" si="80"/>
        <v>1</v>
      </c>
      <c r="P418" s="680"/>
      <c r="Q418" s="24">
        <f t="shared" si="81"/>
        <v>1</v>
      </c>
      <c r="R418" s="676">
        <f t="shared" si="82"/>
        <v>0</v>
      </c>
      <c r="S418" s="326">
        <f t="shared" si="73"/>
        <v>0</v>
      </c>
    </row>
    <row r="419" spans="1:19">
      <c r="A419" s="159"/>
      <c r="B419" s="59"/>
      <c r="C419" s="24">
        <f t="shared" si="74"/>
        <v>1</v>
      </c>
      <c r="D419" s="680"/>
      <c r="E419" s="24">
        <f t="shared" si="75"/>
        <v>1</v>
      </c>
      <c r="F419" s="680"/>
      <c r="G419" s="24">
        <f t="shared" si="76"/>
        <v>1</v>
      </c>
      <c r="H419" s="680"/>
      <c r="I419" s="24">
        <f t="shared" si="77"/>
        <v>1</v>
      </c>
      <c r="J419" s="680"/>
      <c r="K419" s="24">
        <f t="shared" si="78"/>
        <v>1</v>
      </c>
      <c r="L419" s="680"/>
      <c r="M419" s="24">
        <f t="shared" si="79"/>
        <v>1</v>
      </c>
      <c r="N419" s="680"/>
      <c r="O419" s="24">
        <f t="shared" si="80"/>
        <v>1</v>
      </c>
      <c r="P419" s="680"/>
      <c r="Q419" s="24">
        <f t="shared" si="81"/>
        <v>1</v>
      </c>
      <c r="R419" s="676">
        <f t="shared" si="82"/>
        <v>0</v>
      </c>
      <c r="S419" s="326">
        <f t="shared" si="73"/>
        <v>0</v>
      </c>
    </row>
    <row r="420" spans="1:19">
      <c r="A420" s="159"/>
      <c r="B420" s="59"/>
      <c r="C420" s="24">
        <f t="shared" si="74"/>
        <v>1</v>
      </c>
      <c r="D420" s="680"/>
      <c r="E420" s="24">
        <f t="shared" si="75"/>
        <v>1</v>
      </c>
      <c r="F420" s="680"/>
      <c r="G420" s="24">
        <f t="shared" si="76"/>
        <v>1</v>
      </c>
      <c r="H420" s="680"/>
      <c r="I420" s="24">
        <f t="shared" si="77"/>
        <v>1</v>
      </c>
      <c r="J420" s="680"/>
      <c r="K420" s="24">
        <f t="shared" si="78"/>
        <v>1</v>
      </c>
      <c r="L420" s="680"/>
      <c r="M420" s="24">
        <f t="shared" si="79"/>
        <v>1</v>
      </c>
      <c r="N420" s="680"/>
      <c r="O420" s="24">
        <f t="shared" si="80"/>
        <v>1</v>
      </c>
      <c r="P420" s="680"/>
      <c r="Q420" s="24">
        <f t="shared" si="81"/>
        <v>1</v>
      </c>
      <c r="R420" s="676">
        <f t="shared" si="82"/>
        <v>0</v>
      </c>
      <c r="S420" s="326">
        <f t="shared" si="73"/>
        <v>0</v>
      </c>
    </row>
    <row r="421" spans="1:19">
      <c r="A421" s="159"/>
      <c r="B421" s="59"/>
      <c r="C421" s="24">
        <f t="shared" si="74"/>
        <v>1</v>
      </c>
      <c r="D421" s="680"/>
      <c r="E421" s="24">
        <f t="shared" si="75"/>
        <v>1</v>
      </c>
      <c r="F421" s="680"/>
      <c r="G421" s="24">
        <f t="shared" si="76"/>
        <v>1</v>
      </c>
      <c r="H421" s="680"/>
      <c r="I421" s="24">
        <f t="shared" si="77"/>
        <v>1</v>
      </c>
      <c r="J421" s="680"/>
      <c r="K421" s="24">
        <f t="shared" si="78"/>
        <v>1</v>
      </c>
      <c r="L421" s="680"/>
      <c r="M421" s="24">
        <f t="shared" si="79"/>
        <v>1</v>
      </c>
      <c r="N421" s="680"/>
      <c r="O421" s="24">
        <f t="shared" si="80"/>
        <v>1</v>
      </c>
      <c r="P421" s="680"/>
      <c r="Q421" s="24">
        <f t="shared" si="81"/>
        <v>1</v>
      </c>
      <c r="R421" s="676">
        <f t="shared" si="82"/>
        <v>0</v>
      </c>
      <c r="S421" s="326">
        <f t="shared" si="73"/>
        <v>0</v>
      </c>
    </row>
    <row r="422" spans="1:19">
      <c r="A422" s="159"/>
      <c r="B422" s="59"/>
      <c r="C422" s="24">
        <f t="shared" si="74"/>
        <v>1</v>
      </c>
      <c r="D422" s="680"/>
      <c r="E422" s="24">
        <f t="shared" si="75"/>
        <v>1</v>
      </c>
      <c r="F422" s="680"/>
      <c r="G422" s="24">
        <f t="shared" si="76"/>
        <v>1</v>
      </c>
      <c r="H422" s="680"/>
      <c r="I422" s="24">
        <f t="shared" si="77"/>
        <v>1</v>
      </c>
      <c r="J422" s="680"/>
      <c r="K422" s="24">
        <f t="shared" si="78"/>
        <v>1</v>
      </c>
      <c r="L422" s="680"/>
      <c r="M422" s="24">
        <f t="shared" si="79"/>
        <v>1</v>
      </c>
      <c r="N422" s="680"/>
      <c r="O422" s="24">
        <f t="shared" si="80"/>
        <v>1</v>
      </c>
      <c r="P422" s="680"/>
      <c r="Q422" s="24">
        <f t="shared" si="81"/>
        <v>1</v>
      </c>
      <c r="R422" s="676">
        <f t="shared" si="82"/>
        <v>0</v>
      </c>
      <c r="S422" s="326">
        <f t="shared" si="73"/>
        <v>0</v>
      </c>
    </row>
    <row r="423" spans="1:19">
      <c r="A423" s="159"/>
      <c r="B423" s="59"/>
      <c r="C423" s="24">
        <f t="shared" si="74"/>
        <v>1</v>
      </c>
      <c r="D423" s="680"/>
      <c r="E423" s="24">
        <f t="shared" si="75"/>
        <v>1</v>
      </c>
      <c r="F423" s="680"/>
      <c r="G423" s="24">
        <f t="shared" si="76"/>
        <v>1</v>
      </c>
      <c r="H423" s="680"/>
      <c r="I423" s="24">
        <f t="shared" si="77"/>
        <v>1</v>
      </c>
      <c r="J423" s="680"/>
      <c r="K423" s="24">
        <f t="shared" si="78"/>
        <v>1</v>
      </c>
      <c r="L423" s="680"/>
      <c r="M423" s="24">
        <f t="shared" si="79"/>
        <v>1</v>
      </c>
      <c r="N423" s="680"/>
      <c r="O423" s="24">
        <f t="shared" si="80"/>
        <v>1</v>
      </c>
      <c r="P423" s="680"/>
      <c r="Q423" s="24">
        <f t="shared" si="81"/>
        <v>1</v>
      </c>
      <c r="R423" s="676">
        <f t="shared" si="82"/>
        <v>0</v>
      </c>
      <c r="S423" s="326">
        <f t="shared" ref="S423:S467" si="83">ROUND(R423*B423/10000,0)</f>
        <v>0</v>
      </c>
    </row>
    <row r="424" spans="1:19">
      <c r="A424" s="159"/>
      <c r="B424" s="59"/>
      <c r="C424" s="24">
        <f t="shared" si="74"/>
        <v>1</v>
      </c>
      <c r="D424" s="680"/>
      <c r="E424" s="24">
        <f t="shared" si="75"/>
        <v>1</v>
      </c>
      <c r="F424" s="680"/>
      <c r="G424" s="24">
        <f t="shared" si="76"/>
        <v>1</v>
      </c>
      <c r="H424" s="680"/>
      <c r="I424" s="24">
        <f t="shared" si="77"/>
        <v>1</v>
      </c>
      <c r="J424" s="680"/>
      <c r="K424" s="24">
        <f t="shared" si="78"/>
        <v>1</v>
      </c>
      <c r="L424" s="680"/>
      <c r="M424" s="24">
        <f t="shared" si="79"/>
        <v>1</v>
      </c>
      <c r="N424" s="680"/>
      <c r="O424" s="24">
        <f t="shared" si="80"/>
        <v>1</v>
      </c>
      <c r="P424" s="680"/>
      <c r="Q424" s="24">
        <f t="shared" si="81"/>
        <v>1</v>
      </c>
      <c r="R424" s="676">
        <f t="shared" si="82"/>
        <v>0</v>
      </c>
      <c r="S424" s="326">
        <f t="shared" si="83"/>
        <v>0</v>
      </c>
    </row>
    <row r="425" spans="1:19">
      <c r="A425" s="159"/>
      <c r="B425" s="59"/>
      <c r="C425" s="24">
        <f t="shared" si="74"/>
        <v>1</v>
      </c>
      <c r="D425" s="680"/>
      <c r="E425" s="24">
        <f t="shared" si="75"/>
        <v>1</v>
      </c>
      <c r="F425" s="680"/>
      <c r="G425" s="24">
        <f t="shared" si="76"/>
        <v>1</v>
      </c>
      <c r="H425" s="680"/>
      <c r="I425" s="24">
        <f t="shared" si="77"/>
        <v>1</v>
      </c>
      <c r="J425" s="680"/>
      <c r="K425" s="24">
        <f t="shared" si="78"/>
        <v>1</v>
      </c>
      <c r="L425" s="680"/>
      <c r="M425" s="24">
        <f t="shared" si="79"/>
        <v>1</v>
      </c>
      <c r="N425" s="680"/>
      <c r="O425" s="24">
        <f t="shared" si="80"/>
        <v>1</v>
      </c>
      <c r="P425" s="680"/>
      <c r="Q425" s="24">
        <f t="shared" si="81"/>
        <v>1</v>
      </c>
      <c r="R425" s="676">
        <f t="shared" si="82"/>
        <v>0</v>
      </c>
      <c r="S425" s="326">
        <f t="shared" si="83"/>
        <v>0</v>
      </c>
    </row>
    <row r="426" spans="1:19">
      <c r="A426" s="159"/>
      <c r="B426" s="59"/>
      <c r="C426" s="24">
        <f t="shared" si="74"/>
        <v>1</v>
      </c>
      <c r="D426" s="680"/>
      <c r="E426" s="24">
        <f t="shared" si="75"/>
        <v>1</v>
      </c>
      <c r="F426" s="680"/>
      <c r="G426" s="24">
        <f t="shared" si="76"/>
        <v>1</v>
      </c>
      <c r="H426" s="680"/>
      <c r="I426" s="24">
        <f t="shared" si="77"/>
        <v>1</v>
      </c>
      <c r="J426" s="680"/>
      <c r="K426" s="24">
        <f t="shared" si="78"/>
        <v>1</v>
      </c>
      <c r="L426" s="680"/>
      <c r="M426" s="24">
        <f t="shared" si="79"/>
        <v>1</v>
      </c>
      <c r="N426" s="680"/>
      <c r="O426" s="24">
        <f t="shared" si="80"/>
        <v>1</v>
      </c>
      <c r="P426" s="680"/>
      <c r="Q426" s="24">
        <f t="shared" si="81"/>
        <v>1</v>
      </c>
      <c r="R426" s="676">
        <f t="shared" si="82"/>
        <v>0</v>
      </c>
      <c r="S426" s="326">
        <f t="shared" si="83"/>
        <v>0</v>
      </c>
    </row>
    <row r="427" spans="1:19">
      <c r="A427" s="159"/>
      <c r="B427" s="59"/>
      <c r="C427" s="24">
        <f t="shared" si="74"/>
        <v>1</v>
      </c>
      <c r="D427" s="680"/>
      <c r="E427" s="24">
        <f t="shared" si="75"/>
        <v>1</v>
      </c>
      <c r="F427" s="680"/>
      <c r="G427" s="24">
        <f t="shared" si="76"/>
        <v>1</v>
      </c>
      <c r="H427" s="680"/>
      <c r="I427" s="24">
        <f t="shared" si="77"/>
        <v>1</v>
      </c>
      <c r="J427" s="680"/>
      <c r="K427" s="24">
        <f t="shared" si="78"/>
        <v>1</v>
      </c>
      <c r="L427" s="680"/>
      <c r="M427" s="24">
        <f t="shared" si="79"/>
        <v>1</v>
      </c>
      <c r="N427" s="680"/>
      <c r="O427" s="24">
        <f t="shared" si="80"/>
        <v>1</v>
      </c>
      <c r="P427" s="680"/>
      <c r="Q427" s="24">
        <f t="shared" si="81"/>
        <v>1</v>
      </c>
      <c r="R427" s="676">
        <f t="shared" si="82"/>
        <v>0</v>
      </c>
      <c r="S427" s="326">
        <f t="shared" si="83"/>
        <v>0</v>
      </c>
    </row>
    <row r="428" spans="1:19">
      <c r="A428" s="159"/>
      <c r="B428" s="59"/>
      <c r="C428" s="24">
        <f t="shared" si="74"/>
        <v>1</v>
      </c>
      <c r="D428" s="680"/>
      <c r="E428" s="24">
        <f t="shared" si="75"/>
        <v>1</v>
      </c>
      <c r="F428" s="680"/>
      <c r="G428" s="24">
        <f t="shared" si="76"/>
        <v>1</v>
      </c>
      <c r="H428" s="680"/>
      <c r="I428" s="24">
        <f t="shared" si="77"/>
        <v>1</v>
      </c>
      <c r="J428" s="680"/>
      <c r="K428" s="24">
        <f t="shared" si="78"/>
        <v>1</v>
      </c>
      <c r="L428" s="680"/>
      <c r="M428" s="24">
        <f t="shared" si="79"/>
        <v>1</v>
      </c>
      <c r="N428" s="680"/>
      <c r="O428" s="24">
        <f t="shared" si="80"/>
        <v>1</v>
      </c>
      <c r="P428" s="680"/>
      <c r="Q428" s="24">
        <f t="shared" si="81"/>
        <v>1</v>
      </c>
      <c r="R428" s="676">
        <f t="shared" si="82"/>
        <v>0</v>
      </c>
      <c r="S428" s="326">
        <f t="shared" si="83"/>
        <v>0</v>
      </c>
    </row>
    <row r="429" spans="1:19">
      <c r="A429" s="159"/>
      <c r="B429" s="59"/>
      <c r="C429" s="24">
        <f t="shared" si="74"/>
        <v>1</v>
      </c>
      <c r="D429" s="680"/>
      <c r="E429" s="24">
        <f t="shared" si="75"/>
        <v>1</v>
      </c>
      <c r="F429" s="680"/>
      <c r="G429" s="24">
        <f t="shared" si="76"/>
        <v>1</v>
      </c>
      <c r="H429" s="680"/>
      <c r="I429" s="24">
        <f t="shared" si="77"/>
        <v>1</v>
      </c>
      <c r="J429" s="680"/>
      <c r="K429" s="24">
        <f t="shared" si="78"/>
        <v>1</v>
      </c>
      <c r="L429" s="680"/>
      <c r="M429" s="24">
        <f t="shared" si="79"/>
        <v>1</v>
      </c>
      <c r="N429" s="680"/>
      <c r="O429" s="24">
        <f t="shared" si="80"/>
        <v>1</v>
      </c>
      <c r="P429" s="680"/>
      <c r="Q429" s="24">
        <f t="shared" si="81"/>
        <v>1</v>
      </c>
      <c r="R429" s="676">
        <f t="shared" si="82"/>
        <v>0</v>
      </c>
      <c r="S429" s="326">
        <f t="shared" si="83"/>
        <v>0</v>
      </c>
    </row>
    <row r="430" spans="1:19">
      <c r="A430" s="159"/>
      <c r="B430" s="59"/>
      <c r="C430" s="24">
        <f t="shared" si="74"/>
        <v>1</v>
      </c>
      <c r="D430" s="680"/>
      <c r="E430" s="24">
        <f t="shared" si="75"/>
        <v>1</v>
      </c>
      <c r="F430" s="680"/>
      <c r="G430" s="24">
        <f t="shared" si="76"/>
        <v>1</v>
      </c>
      <c r="H430" s="680"/>
      <c r="I430" s="24">
        <f t="shared" si="77"/>
        <v>1</v>
      </c>
      <c r="J430" s="680"/>
      <c r="K430" s="24">
        <f t="shared" si="78"/>
        <v>1</v>
      </c>
      <c r="L430" s="680"/>
      <c r="M430" s="24">
        <f t="shared" si="79"/>
        <v>1</v>
      </c>
      <c r="N430" s="680"/>
      <c r="O430" s="24">
        <f t="shared" si="80"/>
        <v>1</v>
      </c>
      <c r="P430" s="680"/>
      <c r="Q430" s="24">
        <f t="shared" si="81"/>
        <v>1</v>
      </c>
      <c r="R430" s="676">
        <f t="shared" si="82"/>
        <v>0</v>
      </c>
      <c r="S430" s="326">
        <f t="shared" si="83"/>
        <v>0</v>
      </c>
    </row>
    <row r="431" spans="1:19">
      <c r="A431" s="159"/>
      <c r="B431" s="59"/>
      <c r="C431" s="24">
        <f t="shared" si="74"/>
        <v>1</v>
      </c>
      <c r="D431" s="680"/>
      <c r="E431" s="24">
        <f t="shared" si="75"/>
        <v>1</v>
      </c>
      <c r="F431" s="680"/>
      <c r="G431" s="24">
        <f t="shared" si="76"/>
        <v>1</v>
      </c>
      <c r="H431" s="680"/>
      <c r="I431" s="24">
        <f t="shared" si="77"/>
        <v>1</v>
      </c>
      <c r="J431" s="680"/>
      <c r="K431" s="24">
        <f t="shared" si="78"/>
        <v>1</v>
      </c>
      <c r="L431" s="680"/>
      <c r="M431" s="24">
        <f t="shared" si="79"/>
        <v>1</v>
      </c>
      <c r="N431" s="680"/>
      <c r="O431" s="24">
        <f t="shared" si="80"/>
        <v>1</v>
      </c>
      <c r="P431" s="680"/>
      <c r="Q431" s="24">
        <f t="shared" si="81"/>
        <v>1</v>
      </c>
      <c r="R431" s="676">
        <f t="shared" si="82"/>
        <v>0</v>
      </c>
      <c r="S431" s="326">
        <f t="shared" si="83"/>
        <v>0</v>
      </c>
    </row>
    <row r="432" spans="1:19">
      <c r="A432" s="159"/>
      <c r="B432" s="59"/>
      <c r="C432" s="24">
        <f t="shared" si="74"/>
        <v>1</v>
      </c>
      <c r="D432" s="680"/>
      <c r="E432" s="24">
        <f t="shared" si="75"/>
        <v>1</v>
      </c>
      <c r="F432" s="680"/>
      <c r="G432" s="24">
        <f t="shared" si="76"/>
        <v>1</v>
      </c>
      <c r="H432" s="680"/>
      <c r="I432" s="24">
        <f t="shared" si="77"/>
        <v>1</v>
      </c>
      <c r="J432" s="680"/>
      <c r="K432" s="24">
        <f t="shared" si="78"/>
        <v>1</v>
      </c>
      <c r="L432" s="680"/>
      <c r="M432" s="24">
        <f t="shared" si="79"/>
        <v>1</v>
      </c>
      <c r="N432" s="680"/>
      <c r="O432" s="24">
        <f t="shared" si="80"/>
        <v>1</v>
      </c>
      <c r="P432" s="680"/>
      <c r="Q432" s="24">
        <f t="shared" si="81"/>
        <v>1</v>
      </c>
      <c r="R432" s="676">
        <f t="shared" si="82"/>
        <v>0</v>
      </c>
      <c r="S432" s="326">
        <f t="shared" si="83"/>
        <v>0</v>
      </c>
    </row>
    <row r="433" spans="1:19">
      <c r="A433" s="159"/>
      <c r="B433" s="59"/>
      <c r="C433" s="24">
        <f t="shared" si="74"/>
        <v>1</v>
      </c>
      <c r="D433" s="680"/>
      <c r="E433" s="24">
        <f t="shared" si="75"/>
        <v>1</v>
      </c>
      <c r="F433" s="680"/>
      <c r="G433" s="24">
        <f t="shared" si="76"/>
        <v>1</v>
      </c>
      <c r="H433" s="680"/>
      <c r="I433" s="24">
        <f t="shared" si="77"/>
        <v>1</v>
      </c>
      <c r="J433" s="680"/>
      <c r="K433" s="24">
        <f t="shared" si="78"/>
        <v>1</v>
      </c>
      <c r="L433" s="680"/>
      <c r="M433" s="24">
        <f t="shared" si="79"/>
        <v>1</v>
      </c>
      <c r="N433" s="680"/>
      <c r="O433" s="24">
        <f t="shared" si="80"/>
        <v>1</v>
      </c>
      <c r="P433" s="680"/>
      <c r="Q433" s="24">
        <f t="shared" si="81"/>
        <v>1</v>
      </c>
      <c r="R433" s="676">
        <f t="shared" si="82"/>
        <v>0</v>
      </c>
      <c r="S433" s="326">
        <f t="shared" si="83"/>
        <v>0</v>
      </c>
    </row>
    <row r="434" spans="1:19">
      <c r="A434" s="159"/>
      <c r="B434" s="59"/>
      <c r="C434" s="24">
        <f t="shared" si="74"/>
        <v>1</v>
      </c>
      <c r="D434" s="680"/>
      <c r="E434" s="24">
        <f t="shared" si="75"/>
        <v>1</v>
      </c>
      <c r="F434" s="680"/>
      <c r="G434" s="24">
        <f t="shared" si="76"/>
        <v>1</v>
      </c>
      <c r="H434" s="680"/>
      <c r="I434" s="24">
        <f t="shared" si="77"/>
        <v>1</v>
      </c>
      <c r="J434" s="680"/>
      <c r="K434" s="24">
        <f t="shared" si="78"/>
        <v>1</v>
      </c>
      <c r="L434" s="680"/>
      <c r="M434" s="24">
        <f t="shared" si="79"/>
        <v>1</v>
      </c>
      <c r="N434" s="680"/>
      <c r="O434" s="24">
        <f t="shared" si="80"/>
        <v>1</v>
      </c>
      <c r="P434" s="680"/>
      <c r="Q434" s="24">
        <f t="shared" si="81"/>
        <v>1</v>
      </c>
      <c r="R434" s="676">
        <f t="shared" si="82"/>
        <v>0</v>
      </c>
      <c r="S434" s="326">
        <f t="shared" si="83"/>
        <v>0</v>
      </c>
    </row>
    <row r="435" spans="1:19">
      <c r="A435" s="159"/>
      <c r="B435" s="59"/>
      <c r="C435" s="24">
        <f t="shared" si="74"/>
        <v>1</v>
      </c>
      <c r="D435" s="680"/>
      <c r="E435" s="24">
        <f t="shared" si="75"/>
        <v>1</v>
      </c>
      <c r="F435" s="680"/>
      <c r="G435" s="24">
        <f t="shared" si="76"/>
        <v>1</v>
      </c>
      <c r="H435" s="680"/>
      <c r="I435" s="24">
        <f t="shared" si="77"/>
        <v>1</v>
      </c>
      <c r="J435" s="680"/>
      <c r="K435" s="24">
        <f t="shared" si="78"/>
        <v>1</v>
      </c>
      <c r="L435" s="680"/>
      <c r="M435" s="24">
        <f t="shared" si="79"/>
        <v>1</v>
      </c>
      <c r="N435" s="680"/>
      <c r="O435" s="24">
        <f t="shared" si="80"/>
        <v>1</v>
      </c>
      <c r="P435" s="680"/>
      <c r="Q435" s="24">
        <f t="shared" si="81"/>
        <v>1</v>
      </c>
      <c r="R435" s="676">
        <f t="shared" si="82"/>
        <v>0</v>
      </c>
      <c r="S435" s="326">
        <f t="shared" si="83"/>
        <v>0</v>
      </c>
    </row>
    <row r="436" spans="1:19">
      <c r="A436" s="159"/>
      <c r="B436" s="59"/>
      <c r="C436" s="24">
        <f t="shared" si="74"/>
        <v>1</v>
      </c>
      <c r="D436" s="680"/>
      <c r="E436" s="24">
        <f t="shared" si="75"/>
        <v>1</v>
      </c>
      <c r="F436" s="680"/>
      <c r="G436" s="24">
        <f t="shared" si="76"/>
        <v>1</v>
      </c>
      <c r="H436" s="680"/>
      <c r="I436" s="24">
        <f t="shared" si="77"/>
        <v>1</v>
      </c>
      <c r="J436" s="680"/>
      <c r="K436" s="24">
        <f t="shared" si="78"/>
        <v>1</v>
      </c>
      <c r="L436" s="680"/>
      <c r="M436" s="24">
        <f t="shared" si="79"/>
        <v>1</v>
      </c>
      <c r="N436" s="680"/>
      <c r="O436" s="24">
        <f t="shared" si="80"/>
        <v>1</v>
      </c>
      <c r="P436" s="680"/>
      <c r="Q436" s="24">
        <f t="shared" si="81"/>
        <v>1</v>
      </c>
      <c r="R436" s="676">
        <f t="shared" si="82"/>
        <v>0</v>
      </c>
      <c r="S436" s="326">
        <f t="shared" si="83"/>
        <v>0</v>
      </c>
    </row>
    <row r="437" spans="1:19">
      <c r="A437" s="159"/>
      <c r="B437" s="59"/>
      <c r="C437" s="24">
        <f t="shared" si="74"/>
        <v>1</v>
      </c>
      <c r="D437" s="680"/>
      <c r="E437" s="24">
        <f t="shared" si="75"/>
        <v>1</v>
      </c>
      <c r="F437" s="680"/>
      <c r="G437" s="24">
        <f t="shared" si="76"/>
        <v>1</v>
      </c>
      <c r="H437" s="680"/>
      <c r="I437" s="24">
        <f t="shared" si="77"/>
        <v>1</v>
      </c>
      <c r="J437" s="680"/>
      <c r="K437" s="24">
        <f t="shared" si="78"/>
        <v>1</v>
      </c>
      <c r="L437" s="680"/>
      <c r="M437" s="24">
        <f t="shared" si="79"/>
        <v>1</v>
      </c>
      <c r="N437" s="680"/>
      <c r="O437" s="24">
        <f t="shared" si="80"/>
        <v>1</v>
      </c>
      <c r="P437" s="680"/>
      <c r="Q437" s="24">
        <f t="shared" si="81"/>
        <v>1</v>
      </c>
      <c r="R437" s="676">
        <f t="shared" si="82"/>
        <v>0</v>
      </c>
      <c r="S437" s="326">
        <f t="shared" si="83"/>
        <v>0</v>
      </c>
    </row>
    <row r="438" spans="1:19">
      <c r="A438" s="159"/>
      <c r="B438" s="59"/>
      <c r="C438" s="24">
        <f t="shared" si="74"/>
        <v>1</v>
      </c>
      <c r="D438" s="680"/>
      <c r="E438" s="24">
        <f t="shared" si="75"/>
        <v>1</v>
      </c>
      <c r="F438" s="680"/>
      <c r="G438" s="24">
        <f t="shared" si="76"/>
        <v>1</v>
      </c>
      <c r="H438" s="680"/>
      <c r="I438" s="24">
        <f t="shared" si="77"/>
        <v>1</v>
      </c>
      <c r="J438" s="680"/>
      <c r="K438" s="24">
        <f t="shared" si="78"/>
        <v>1</v>
      </c>
      <c r="L438" s="680"/>
      <c r="M438" s="24">
        <f t="shared" si="79"/>
        <v>1</v>
      </c>
      <c r="N438" s="680"/>
      <c r="O438" s="24">
        <f t="shared" si="80"/>
        <v>1</v>
      </c>
      <c r="P438" s="680"/>
      <c r="Q438" s="24">
        <f t="shared" si="81"/>
        <v>1</v>
      </c>
      <c r="R438" s="676">
        <f t="shared" si="82"/>
        <v>0</v>
      </c>
      <c r="S438" s="326">
        <f t="shared" si="83"/>
        <v>0</v>
      </c>
    </row>
    <row r="439" spans="1:19">
      <c r="A439" s="159"/>
      <c r="B439" s="59"/>
      <c r="C439" s="24">
        <f t="shared" si="74"/>
        <v>1</v>
      </c>
      <c r="D439" s="680"/>
      <c r="E439" s="24">
        <f t="shared" si="75"/>
        <v>1</v>
      </c>
      <c r="F439" s="680"/>
      <c r="G439" s="24">
        <f t="shared" si="76"/>
        <v>1</v>
      </c>
      <c r="H439" s="680"/>
      <c r="I439" s="24">
        <f t="shared" si="77"/>
        <v>1</v>
      </c>
      <c r="J439" s="680"/>
      <c r="K439" s="24">
        <f t="shared" si="78"/>
        <v>1</v>
      </c>
      <c r="L439" s="680"/>
      <c r="M439" s="24">
        <f t="shared" si="79"/>
        <v>1</v>
      </c>
      <c r="N439" s="680"/>
      <c r="O439" s="24">
        <f t="shared" si="80"/>
        <v>1</v>
      </c>
      <c r="P439" s="680"/>
      <c r="Q439" s="24">
        <f t="shared" si="81"/>
        <v>1</v>
      </c>
      <c r="R439" s="676">
        <f t="shared" si="82"/>
        <v>0</v>
      </c>
      <c r="S439" s="326">
        <f t="shared" si="83"/>
        <v>0</v>
      </c>
    </row>
    <row r="440" spans="1:19">
      <c r="A440" s="159"/>
      <c r="B440" s="59"/>
      <c r="C440" s="24">
        <f t="shared" si="74"/>
        <v>1</v>
      </c>
      <c r="D440" s="680"/>
      <c r="E440" s="24">
        <f t="shared" si="75"/>
        <v>1</v>
      </c>
      <c r="F440" s="680"/>
      <c r="G440" s="24">
        <f t="shared" si="76"/>
        <v>1</v>
      </c>
      <c r="H440" s="680"/>
      <c r="I440" s="24">
        <f t="shared" si="77"/>
        <v>1</v>
      </c>
      <c r="J440" s="680"/>
      <c r="K440" s="24">
        <f t="shared" si="78"/>
        <v>1</v>
      </c>
      <c r="L440" s="680"/>
      <c r="M440" s="24">
        <f t="shared" si="79"/>
        <v>1</v>
      </c>
      <c r="N440" s="680"/>
      <c r="O440" s="24">
        <f t="shared" si="80"/>
        <v>1</v>
      </c>
      <c r="P440" s="680"/>
      <c r="Q440" s="24">
        <f t="shared" si="81"/>
        <v>1</v>
      </c>
      <c r="R440" s="676">
        <f t="shared" si="82"/>
        <v>0</v>
      </c>
      <c r="S440" s="326">
        <f t="shared" si="83"/>
        <v>0</v>
      </c>
    </row>
    <row r="441" spans="1:19">
      <c r="A441" s="159"/>
      <c r="B441" s="59"/>
      <c r="C441" s="24">
        <f t="shared" si="74"/>
        <v>1</v>
      </c>
      <c r="D441" s="680"/>
      <c r="E441" s="24">
        <f t="shared" si="75"/>
        <v>1</v>
      </c>
      <c r="F441" s="680"/>
      <c r="G441" s="24">
        <f t="shared" si="76"/>
        <v>1</v>
      </c>
      <c r="H441" s="680"/>
      <c r="I441" s="24">
        <f t="shared" si="77"/>
        <v>1</v>
      </c>
      <c r="J441" s="680"/>
      <c r="K441" s="24">
        <f t="shared" si="78"/>
        <v>1</v>
      </c>
      <c r="L441" s="680"/>
      <c r="M441" s="24">
        <f t="shared" si="79"/>
        <v>1</v>
      </c>
      <c r="N441" s="680"/>
      <c r="O441" s="24">
        <f t="shared" si="80"/>
        <v>1</v>
      </c>
      <c r="P441" s="680"/>
      <c r="Q441" s="24">
        <f t="shared" si="81"/>
        <v>1</v>
      </c>
      <c r="R441" s="676">
        <f t="shared" si="82"/>
        <v>0</v>
      </c>
      <c r="S441" s="326">
        <f t="shared" si="83"/>
        <v>0</v>
      </c>
    </row>
    <row r="442" spans="1:19">
      <c r="A442" s="159"/>
      <c r="B442" s="59"/>
      <c r="C442" s="24">
        <f t="shared" si="74"/>
        <v>1</v>
      </c>
      <c r="D442" s="680"/>
      <c r="E442" s="24">
        <f t="shared" si="75"/>
        <v>1</v>
      </c>
      <c r="F442" s="680"/>
      <c r="G442" s="24">
        <f t="shared" si="76"/>
        <v>1</v>
      </c>
      <c r="H442" s="680"/>
      <c r="I442" s="24">
        <f t="shared" si="77"/>
        <v>1</v>
      </c>
      <c r="J442" s="680"/>
      <c r="K442" s="24">
        <f t="shared" si="78"/>
        <v>1</v>
      </c>
      <c r="L442" s="680"/>
      <c r="M442" s="24">
        <f t="shared" si="79"/>
        <v>1</v>
      </c>
      <c r="N442" s="680"/>
      <c r="O442" s="24">
        <f t="shared" si="80"/>
        <v>1</v>
      </c>
      <c r="P442" s="680"/>
      <c r="Q442" s="24">
        <f t="shared" si="81"/>
        <v>1</v>
      </c>
      <c r="R442" s="676">
        <f t="shared" si="82"/>
        <v>0</v>
      </c>
      <c r="S442" s="326">
        <f t="shared" si="83"/>
        <v>0</v>
      </c>
    </row>
    <row r="443" spans="1:19">
      <c r="A443" s="159"/>
      <c r="B443" s="59"/>
      <c r="C443" s="24">
        <f t="shared" si="74"/>
        <v>1</v>
      </c>
      <c r="D443" s="680"/>
      <c r="E443" s="24">
        <f t="shared" si="75"/>
        <v>1</v>
      </c>
      <c r="F443" s="680"/>
      <c r="G443" s="24">
        <f t="shared" si="76"/>
        <v>1</v>
      </c>
      <c r="H443" s="680"/>
      <c r="I443" s="24">
        <f t="shared" si="77"/>
        <v>1</v>
      </c>
      <c r="J443" s="680"/>
      <c r="K443" s="24">
        <f t="shared" si="78"/>
        <v>1</v>
      </c>
      <c r="L443" s="680"/>
      <c r="M443" s="24">
        <f t="shared" si="79"/>
        <v>1</v>
      </c>
      <c r="N443" s="680"/>
      <c r="O443" s="24">
        <f t="shared" si="80"/>
        <v>1</v>
      </c>
      <c r="P443" s="680"/>
      <c r="Q443" s="24">
        <f t="shared" si="81"/>
        <v>1</v>
      </c>
      <c r="R443" s="676">
        <f t="shared" si="82"/>
        <v>0</v>
      </c>
      <c r="S443" s="326">
        <f t="shared" si="83"/>
        <v>0</v>
      </c>
    </row>
    <row r="444" spans="1:19">
      <c r="A444" s="159"/>
      <c r="B444" s="59"/>
      <c r="C444" s="24">
        <f t="shared" si="74"/>
        <v>1</v>
      </c>
      <c r="D444" s="680"/>
      <c r="E444" s="24">
        <f t="shared" si="75"/>
        <v>1</v>
      </c>
      <c r="F444" s="680"/>
      <c r="G444" s="24">
        <f t="shared" si="76"/>
        <v>1</v>
      </c>
      <c r="H444" s="680"/>
      <c r="I444" s="24">
        <f t="shared" si="77"/>
        <v>1</v>
      </c>
      <c r="J444" s="680"/>
      <c r="K444" s="24">
        <f t="shared" si="78"/>
        <v>1</v>
      </c>
      <c r="L444" s="680"/>
      <c r="M444" s="24">
        <f t="shared" si="79"/>
        <v>1</v>
      </c>
      <c r="N444" s="680"/>
      <c r="O444" s="24">
        <f t="shared" si="80"/>
        <v>1</v>
      </c>
      <c r="P444" s="680"/>
      <c r="Q444" s="24">
        <f t="shared" si="81"/>
        <v>1</v>
      </c>
      <c r="R444" s="676">
        <f t="shared" si="82"/>
        <v>0</v>
      </c>
      <c r="S444" s="326">
        <f t="shared" si="83"/>
        <v>0</v>
      </c>
    </row>
    <row r="445" spans="1:19">
      <c r="A445" s="159"/>
      <c r="B445" s="59"/>
      <c r="C445" s="24">
        <f t="shared" si="74"/>
        <v>1</v>
      </c>
      <c r="D445" s="680"/>
      <c r="E445" s="24">
        <f t="shared" si="75"/>
        <v>1</v>
      </c>
      <c r="F445" s="680"/>
      <c r="G445" s="24">
        <f t="shared" si="76"/>
        <v>1</v>
      </c>
      <c r="H445" s="680"/>
      <c r="I445" s="24">
        <f t="shared" si="77"/>
        <v>1</v>
      </c>
      <c r="J445" s="680"/>
      <c r="K445" s="24">
        <f t="shared" si="78"/>
        <v>1</v>
      </c>
      <c r="L445" s="680"/>
      <c r="M445" s="24">
        <f t="shared" si="79"/>
        <v>1</v>
      </c>
      <c r="N445" s="680"/>
      <c r="O445" s="24">
        <f t="shared" si="80"/>
        <v>1</v>
      </c>
      <c r="P445" s="680"/>
      <c r="Q445" s="24">
        <f t="shared" si="81"/>
        <v>1</v>
      </c>
      <c r="R445" s="676">
        <f t="shared" si="82"/>
        <v>0</v>
      </c>
      <c r="S445" s="326">
        <f t="shared" si="83"/>
        <v>0</v>
      </c>
    </row>
    <row r="446" spans="1:19">
      <c r="A446" s="159"/>
      <c r="B446" s="59"/>
      <c r="C446" s="24">
        <f t="shared" si="74"/>
        <v>1</v>
      </c>
      <c r="D446" s="680"/>
      <c r="E446" s="24">
        <f t="shared" si="75"/>
        <v>1</v>
      </c>
      <c r="F446" s="680"/>
      <c r="G446" s="24">
        <f t="shared" si="76"/>
        <v>1</v>
      </c>
      <c r="H446" s="680"/>
      <c r="I446" s="24">
        <f t="shared" si="77"/>
        <v>1</v>
      </c>
      <c r="J446" s="680"/>
      <c r="K446" s="24">
        <f t="shared" si="78"/>
        <v>1</v>
      </c>
      <c r="L446" s="680"/>
      <c r="M446" s="24">
        <f t="shared" si="79"/>
        <v>1</v>
      </c>
      <c r="N446" s="680"/>
      <c r="O446" s="24">
        <f t="shared" si="80"/>
        <v>1</v>
      </c>
      <c r="P446" s="680"/>
      <c r="Q446" s="24">
        <f t="shared" si="81"/>
        <v>1</v>
      </c>
      <c r="R446" s="676">
        <f t="shared" si="82"/>
        <v>0</v>
      </c>
      <c r="S446" s="326">
        <f t="shared" si="83"/>
        <v>0</v>
      </c>
    </row>
    <row r="447" spans="1:19">
      <c r="A447" s="159"/>
      <c r="B447" s="59"/>
      <c r="C447" s="24">
        <f t="shared" si="74"/>
        <v>1</v>
      </c>
      <c r="D447" s="680"/>
      <c r="E447" s="24">
        <f t="shared" si="75"/>
        <v>1</v>
      </c>
      <c r="F447" s="680"/>
      <c r="G447" s="24">
        <f t="shared" si="76"/>
        <v>1</v>
      </c>
      <c r="H447" s="680"/>
      <c r="I447" s="24">
        <f t="shared" si="77"/>
        <v>1</v>
      </c>
      <c r="J447" s="680"/>
      <c r="K447" s="24">
        <f t="shared" si="78"/>
        <v>1</v>
      </c>
      <c r="L447" s="680"/>
      <c r="M447" s="24">
        <f t="shared" si="79"/>
        <v>1</v>
      </c>
      <c r="N447" s="680"/>
      <c r="O447" s="24">
        <f t="shared" si="80"/>
        <v>1</v>
      </c>
      <c r="P447" s="680"/>
      <c r="Q447" s="24">
        <f t="shared" si="81"/>
        <v>1</v>
      </c>
      <c r="R447" s="676">
        <f t="shared" si="82"/>
        <v>0</v>
      </c>
      <c r="S447" s="326">
        <f t="shared" si="83"/>
        <v>0</v>
      </c>
    </row>
    <row r="448" spans="1:19">
      <c r="A448" s="159"/>
      <c r="B448" s="59"/>
      <c r="C448" s="24">
        <f t="shared" si="74"/>
        <v>1</v>
      </c>
      <c r="D448" s="680"/>
      <c r="E448" s="24">
        <f t="shared" si="75"/>
        <v>1</v>
      </c>
      <c r="F448" s="680"/>
      <c r="G448" s="24">
        <f t="shared" si="76"/>
        <v>1</v>
      </c>
      <c r="H448" s="680"/>
      <c r="I448" s="24">
        <f t="shared" si="77"/>
        <v>1</v>
      </c>
      <c r="J448" s="680"/>
      <c r="K448" s="24">
        <f t="shared" si="78"/>
        <v>1</v>
      </c>
      <c r="L448" s="680"/>
      <c r="M448" s="24">
        <f t="shared" si="79"/>
        <v>1</v>
      </c>
      <c r="N448" s="680"/>
      <c r="O448" s="24">
        <f t="shared" si="80"/>
        <v>1</v>
      </c>
      <c r="P448" s="680"/>
      <c r="Q448" s="24">
        <f t="shared" si="81"/>
        <v>1</v>
      </c>
      <c r="R448" s="676">
        <f t="shared" si="82"/>
        <v>0</v>
      </c>
      <c r="S448" s="326">
        <f t="shared" si="83"/>
        <v>0</v>
      </c>
    </row>
    <row r="449" spans="1:19">
      <c r="A449" s="159"/>
      <c r="B449" s="59"/>
      <c r="C449" s="24">
        <f t="shared" si="74"/>
        <v>1</v>
      </c>
      <c r="D449" s="680"/>
      <c r="E449" s="24">
        <f t="shared" si="75"/>
        <v>1</v>
      </c>
      <c r="F449" s="680"/>
      <c r="G449" s="24">
        <f t="shared" si="76"/>
        <v>1</v>
      </c>
      <c r="H449" s="680"/>
      <c r="I449" s="24">
        <f t="shared" si="77"/>
        <v>1</v>
      </c>
      <c r="J449" s="680"/>
      <c r="K449" s="24">
        <f t="shared" si="78"/>
        <v>1</v>
      </c>
      <c r="L449" s="680"/>
      <c r="M449" s="24">
        <f t="shared" si="79"/>
        <v>1</v>
      </c>
      <c r="N449" s="680"/>
      <c r="O449" s="24">
        <f t="shared" si="80"/>
        <v>1</v>
      </c>
      <c r="P449" s="680"/>
      <c r="Q449" s="24">
        <f t="shared" si="81"/>
        <v>1</v>
      </c>
      <c r="R449" s="676">
        <f t="shared" si="82"/>
        <v>0</v>
      </c>
      <c r="S449" s="326">
        <f t="shared" si="83"/>
        <v>0</v>
      </c>
    </row>
    <row r="450" spans="1:19">
      <c r="A450" s="159"/>
      <c r="B450" s="59"/>
      <c r="C450" s="24">
        <f t="shared" si="74"/>
        <v>1</v>
      </c>
      <c r="D450" s="680"/>
      <c r="E450" s="24">
        <f t="shared" si="75"/>
        <v>1</v>
      </c>
      <c r="F450" s="680"/>
      <c r="G450" s="24">
        <f t="shared" si="76"/>
        <v>1</v>
      </c>
      <c r="H450" s="680"/>
      <c r="I450" s="24">
        <f t="shared" si="77"/>
        <v>1</v>
      </c>
      <c r="J450" s="680"/>
      <c r="K450" s="24">
        <f t="shared" si="78"/>
        <v>1</v>
      </c>
      <c r="L450" s="680"/>
      <c r="M450" s="24">
        <f t="shared" si="79"/>
        <v>1</v>
      </c>
      <c r="N450" s="680"/>
      <c r="O450" s="24">
        <f t="shared" si="80"/>
        <v>1</v>
      </c>
      <c r="P450" s="680"/>
      <c r="Q450" s="24">
        <f t="shared" si="81"/>
        <v>1</v>
      </c>
      <c r="R450" s="676">
        <f t="shared" si="82"/>
        <v>0</v>
      </c>
      <c r="S450" s="326">
        <f t="shared" si="83"/>
        <v>0</v>
      </c>
    </row>
    <row r="451" spans="1:19">
      <c r="A451" s="159"/>
      <c r="B451" s="59"/>
      <c r="C451" s="24">
        <f t="shared" si="74"/>
        <v>1</v>
      </c>
      <c r="D451" s="680"/>
      <c r="E451" s="24">
        <f t="shared" si="75"/>
        <v>1</v>
      </c>
      <c r="F451" s="680"/>
      <c r="G451" s="24">
        <f t="shared" si="76"/>
        <v>1</v>
      </c>
      <c r="H451" s="680"/>
      <c r="I451" s="24">
        <f t="shared" si="77"/>
        <v>1</v>
      </c>
      <c r="J451" s="680"/>
      <c r="K451" s="24">
        <f t="shared" si="78"/>
        <v>1</v>
      </c>
      <c r="L451" s="680"/>
      <c r="M451" s="24">
        <f t="shared" si="79"/>
        <v>1</v>
      </c>
      <c r="N451" s="680"/>
      <c r="O451" s="24">
        <f t="shared" si="80"/>
        <v>1</v>
      </c>
      <c r="P451" s="680"/>
      <c r="Q451" s="24">
        <f t="shared" si="81"/>
        <v>1</v>
      </c>
      <c r="R451" s="676">
        <f t="shared" si="82"/>
        <v>0</v>
      </c>
      <c r="S451" s="326">
        <f t="shared" si="83"/>
        <v>0</v>
      </c>
    </row>
    <row r="452" spans="1:19">
      <c r="A452" s="159"/>
      <c r="B452" s="59"/>
      <c r="C452" s="24">
        <f t="shared" si="74"/>
        <v>1</v>
      </c>
      <c r="D452" s="680"/>
      <c r="E452" s="24">
        <f t="shared" si="75"/>
        <v>1</v>
      </c>
      <c r="F452" s="680"/>
      <c r="G452" s="24">
        <f t="shared" si="76"/>
        <v>1</v>
      </c>
      <c r="H452" s="680"/>
      <c r="I452" s="24">
        <f t="shared" si="77"/>
        <v>1</v>
      </c>
      <c r="J452" s="680"/>
      <c r="K452" s="24">
        <f t="shared" si="78"/>
        <v>1</v>
      </c>
      <c r="L452" s="680"/>
      <c r="M452" s="24">
        <f t="shared" si="79"/>
        <v>1</v>
      </c>
      <c r="N452" s="680"/>
      <c r="O452" s="24">
        <f t="shared" si="80"/>
        <v>1</v>
      </c>
      <c r="P452" s="680"/>
      <c r="Q452" s="24">
        <f t="shared" si="81"/>
        <v>1</v>
      </c>
      <c r="R452" s="676">
        <f t="shared" si="82"/>
        <v>0</v>
      </c>
      <c r="S452" s="326">
        <f t="shared" si="83"/>
        <v>0</v>
      </c>
    </row>
    <row r="453" spans="1:19">
      <c r="A453" s="159"/>
      <c r="B453" s="59"/>
      <c r="C453" s="24">
        <f t="shared" si="74"/>
        <v>1</v>
      </c>
      <c r="D453" s="680"/>
      <c r="E453" s="24">
        <f t="shared" si="75"/>
        <v>1</v>
      </c>
      <c r="F453" s="680"/>
      <c r="G453" s="24">
        <f t="shared" si="76"/>
        <v>1</v>
      </c>
      <c r="H453" s="680"/>
      <c r="I453" s="24">
        <f t="shared" si="77"/>
        <v>1</v>
      </c>
      <c r="J453" s="680"/>
      <c r="K453" s="24">
        <f t="shared" si="78"/>
        <v>1</v>
      </c>
      <c r="L453" s="680"/>
      <c r="M453" s="24">
        <f t="shared" si="79"/>
        <v>1</v>
      </c>
      <c r="N453" s="680"/>
      <c r="O453" s="24">
        <f t="shared" si="80"/>
        <v>1</v>
      </c>
      <c r="P453" s="680"/>
      <c r="Q453" s="24">
        <f t="shared" si="81"/>
        <v>1</v>
      </c>
      <c r="R453" s="676">
        <f t="shared" si="82"/>
        <v>0</v>
      </c>
      <c r="S453" s="326">
        <f t="shared" si="83"/>
        <v>0</v>
      </c>
    </row>
    <row r="454" spans="1:19">
      <c r="A454" s="159"/>
      <c r="B454" s="59"/>
      <c r="C454" s="24">
        <f t="shared" si="74"/>
        <v>1</v>
      </c>
      <c r="D454" s="680"/>
      <c r="E454" s="24">
        <f t="shared" si="75"/>
        <v>1</v>
      </c>
      <c r="F454" s="680"/>
      <c r="G454" s="24">
        <f t="shared" si="76"/>
        <v>1</v>
      </c>
      <c r="H454" s="680"/>
      <c r="I454" s="24">
        <f t="shared" si="77"/>
        <v>1</v>
      </c>
      <c r="J454" s="680"/>
      <c r="K454" s="24">
        <f t="shared" si="78"/>
        <v>1</v>
      </c>
      <c r="L454" s="680"/>
      <c r="M454" s="24">
        <f t="shared" si="79"/>
        <v>1</v>
      </c>
      <c r="N454" s="680"/>
      <c r="O454" s="24">
        <f t="shared" si="80"/>
        <v>1</v>
      </c>
      <c r="P454" s="680"/>
      <c r="Q454" s="24">
        <f t="shared" si="81"/>
        <v>1</v>
      </c>
      <c r="R454" s="676">
        <f t="shared" si="82"/>
        <v>0</v>
      </c>
      <c r="S454" s="326">
        <f t="shared" si="83"/>
        <v>0</v>
      </c>
    </row>
    <row r="455" spans="1:19">
      <c r="A455" s="159"/>
      <c r="B455" s="59"/>
      <c r="C455" s="24">
        <f t="shared" si="74"/>
        <v>1</v>
      </c>
      <c r="D455" s="680"/>
      <c r="E455" s="24">
        <f t="shared" si="75"/>
        <v>1</v>
      </c>
      <c r="F455" s="680"/>
      <c r="G455" s="24">
        <f t="shared" si="76"/>
        <v>1</v>
      </c>
      <c r="H455" s="680"/>
      <c r="I455" s="24">
        <f t="shared" si="77"/>
        <v>1</v>
      </c>
      <c r="J455" s="680"/>
      <c r="K455" s="24">
        <f t="shared" si="78"/>
        <v>1</v>
      </c>
      <c r="L455" s="680"/>
      <c r="M455" s="24">
        <f t="shared" si="79"/>
        <v>1</v>
      </c>
      <c r="N455" s="680"/>
      <c r="O455" s="24">
        <f t="shared" si="80"/>
        <v>1</v>
      </c>
      <c r="P455" s="680"/>
      <c r="Q455" s="24">
        <f t="shared" si="81"/>
        <v>1</v>
      </c>
      <c r="R455" s="676">
        <f t="shared" si="82"/>
        <v>0</v>
      </c>
      <c r="S455" s="326">
        <f t="shared" si="83"/>
        <v>0</v>
      </c>
    </row>
    <row r="456" spans="1:19">
      <c r="A456" s="159"/>
      <c r="B456" s="59"/>
      <c r="C456" s="24">
        <f t="shared" si="74"/>
        <v>1</v>
      </c>
      <c r="D456" s="680"/>
      <c r="E456" s="24">
        <f t="shared" si="75"/>
        <v>1</v>
      </c>
      <c r="F456" s="680"/>
      <c r="G456" s="24">
        <f t="shared" si="76"/>
        <v>1</v>
      </c>
      <c r="H456" s="680"/>
      <c r="I456" s="24">
        <f t="shared" si="77"/>
        <v>1</v>
      </c>
      <c r="J456" s="680"/>
      <c r="K456" s="24">
        <f t="shared" si="78"/>
        <v>1</v>
      </c>
      <c r="L456" s="680"/>
      <c r="M456" s="24">
        <f t="shared" si="79"/>
        <v>1</v>
      </c>
      <c r="N456" s="680"/>
      <c r="O456" s="24">
        <f t="shared" si="80"/>
        <v>1</v>
      </c>
      <c r="P456" s="680"/>
      <c r="Q456" s="24">
        <f t="shared" si="81"/>
        <v>1</v>
      </c>
      <c r="R456" s="676">
        <f t="shared" si="82"/>
        <v>0</v>
      </c>
      <c r="S456" s="326">
        <f t="shared" si="83"/>
        <v>0</v>
      </c>
    </row>
    <row r="457" spans="1:19">
      <c r="A457" s="159"/>
      <c r="B457" s="59"/>
      <c r="C457" s="24">
        <f t="shared" si="74"/>
        <v>1</v>
      </c>
      <c r="D457" s="680"/>
      <c r="E457" s="24">
        <f t="shared" si="75"/>
        <v>1</v>
      </c>
      <c r="F457" s="680"/>
      <c r="G457" s="24">
        <f t="shared" si="76"/>
        <v>1</v>
      </c>
      <c r="H457" s="680"/>
      <c r="I457" s="24">
        <f t="shared" si="77"/>
        <v>1</v>
      </c>
      <c r="J457" s="680"/>
      <c r="K457" s="24">
        <f t="shared" si="78"/>
        <v>1</v>
      </c>
      <c r="L457" s="680"/>
      <c r="M457" s="24">
        <f t="shared" si="79"/>
        <v>1</v>
      </c>
      <c r="N457" s="680"/>
      <c r="O457" s="24">
        <f t="shared" si="80"/>
        <v>1</v>
      </c>
      <c r="P457" s="680"/>
      <c r="Q457" s="24">
        <f t="shared" si="81"/>
        <v>1</v>
      </c>
      <c r="R457" s="676">
        <f t="shared" si="82"/>
        <v>0</v>
      </c>
      <c r="S457" s="326">
        <f t="shared" si="83"/>
        <v>0</v>
      </c>
    </row>
    <row r="458" spans="1:19">
      <c r="A458" s="159"/>
      <c r="B458" s="59"/>
      <c r="C458" s="24">
        <f t="shared" si="74"/>
        <v>1</v>
      </c>
      <c r="D458" s="680"/>
      <c r="E458" s="24">
        <f t="shared" si="75"/>
        <v>1</v>
      </c>
      <c r="F458" s="680"/>
      <c r="G458" s="24">
        <f t="shared" si="76"/>
        <v>1</v>
      </c>
      <c r="H458" s="680"/>
      <c r="I458" s="24">
        <f t="shared" si="77"/>
        <v>1</v>
      </c>
      <c r="J458" s="680"/>
      <c r="K458" s="24">
        <f t="shared" si="78"/>
        <v>1</v>
      </c>
      <c r="L458" s="680"/>
      <c r="M458" s="24">
        <f t="shared" si="79"/>
        <v>1</v>
      </c>
      <c r="N458" s="680"/>
      <c r="O458" s="24">
        <f t="shared" si="80"/>
        <v>1</v>
      </c>
      <c r="P458" s="680"/>
      <c r="Q458" s="24">
        <f t="shared" si="81"/>
        <v>1</v>
      </c>
      <c r="R458" s="676">
        <f t="shared" si="82"/>
        <v>0</v>
      </c>
      <c r="S458" s="326">
        <f t="shared" si="83"/>
        <v>0</v>
      </c>
    </row>
    <row r="459" spans="1:19">
      <c r="A459" s="159"/>
      <c r="B459" s="59"/>
      <c r="C459" s="24">
        <f t="shared" si="74"/>
        <v>1</v>
      </c>
      <c r="D459" s="680"/>
      <c r="E459" s="24">
        <f t="shared" si="75"/>
        <v>1</v>
      </c>
      <c r="F459" s="680"/>
      <c r="G459" s="24">
        <f t="shared" si="76"/>
        <v>1</v>
      </c>
      <c r="H459" s="680"/>
      <c r="I459" s="24">
        <f t="shared" si="77"/>
        <v>1</v>
      </c>
      <c r="J459" s="680"/>
      <c r="K459" s="24">
        <f t="shared" si="78"/>
        <v>1</v>
      </c>
      <c r="L459" s="680"/>
      <c r="M459" s="24">
        <f t="shared" si="79"/>
        <v>1</v>
      </c>
      <c r="N459" s="680"/>
      <c r="O459" s="24">
        <f t="shared" si="80"/>
        <v>1</v>
      </c>
      <c r="P459" s="680"/>
      <c r="Q459" s="24">
        <f t="shared" si="81"/>
        <v>1</v>
      </c>
      <c r="R459" s="676">
        <f t="shared" si="82"/>
        <v>0</v>
      </c>
      <c r="S459" s="326">
        <f t="shared" si="83"/>
        <v>0</v>
      </c>
    </row>
    <row r="460" spans="1:19">
      <c r="A460" s="159"/>
      <c r="B460" s="59"/>
      <c r="C460" s="24">
        <f t="shared" si="74"/>
        <v>1</v>
      </c>
      <c r="D460" s="680"/>
      <c r="E460" s="24">
        <f t="shared" si="75"/>
        <v>1</v>
      </c>
      <c r="F460" s="680"/>
      <c r="G460" s="24">
        <f t="shared" si="76"/>
        <v>1</v>
      </c>
      <c r="H460" s="680"/>
      <c r="I460" s="24">
        <f t="shared" si="77"/>
        <v>1</v>
      </c>
      <c r="J460" s="680"/>
      <c r="K460" s="24">
        <f t="shared" si="78"/>
        <v>1</v>
      </c>
      <c r="L460" s="680"/>
      <c r="M460" s="24">
        <f t="shared" si="79"/>
        <v>1</v>
      </c>
      <c r="N460" s="680"/>
      <c r="O460" s="24">
        <f t="shared" si="80"/>
        <v>1</v>
      </c>
      <c r="P460" s="680"/>
      <c r="Q460" s="24">
        <f t="shared" si="81"/>
        <v>1</v>
      </c>
      <c r="R460" s="676">
        <f t="shared" si="82"/>
        <v>0</v>
      </c>
      <c r="S460" s="326">
        <f t="shared" si="83"/>
        <v>0</v>
      </c>
    </row>
    <row r="461" spans="1:19">
      <c r="A461" s="159"/>
      <c r="B461" s="59"/>
      <c r="C461" s="24">
        <f t="shared" si="74"/>
        <v>1</v>
      </c>
      <c r="D461" s="680"/>
      <c r="E461" s="24">
        <f t="shared" si="75"/>
        <v>1</v>
      </c>
      <c r="F461" s="680"/>
      <c r="G461" s="24">
        <f t="shared" si="76"/>
        <v>1</v>
      </c>
      <c r="H461" s="680"/>
      <c r="I461" s="24">
        <f t="shared" si="77"/>
        <v>1</v>
      </c>
      <c r="J461" s="680"/>
      <c r="K461" s="24">
        <f t="shared" si="78"/>
        <v>1</v>
      </c>
      <c r="L461" s="680"/>
      <c r="M461" s="24">
        <f t="shared" si="79"/>
        <v>1</v>
      </c>
      <c r="N461" s="680"/>
      <c r="O461" s="24">
        <f t="shared" si="80"/>
        <v>1</v>
      </c>
      <c r="P461" s="680"/>
      <c r="Q461" s="24">
        <f t="shared" si="81"/>
        <v>1</v>
      </c>
      <c r="R461" s="676">
        <f t="shared" si="82"/>
        <v>0</v>
      </c>
      <c r="S461" s="326">
        <f t="shared" si="83"/>
        <v>0</v>
      </c>
    </row>
    <row r="462" spans="1:19">
      <c r="A462" s="159"/>
      <c r="B462" s="59"/>
      <c r="C462" s="24">
        <f t="shared" si="74"/>
        <v>1</v>
      </c>
      <c r="D462" s="680"/>
      <c r="E462" s="24">
        <f t="shared" si="75"/>
        <v>1</v>
      </c>
      <c r="F462" s="680"/>
      <c r="G462" s="24">
        <f t="shared" si="76"/>
        <v>1</v>
      </c>
      <c r="H462" s="680"/>
      <c r="I462" s="24">
        <f t="shared" si="77"/>
        <v>1</v>
      </c>
      <c r="J462" s="680"/>
      <c r="K462" s="24">
        <f t="shared" si="78"/>
        <v>1</v>
      </c>
      <c r="L462" s="680"/>
      <c r="M462" s="24">
        <f t="shared" si="79"/>
        <v>1</v>
      </c>
      <c r="N462" s="680"/>
      <c r="O462" s="24">
        <f t="shared" si="80"/>
        <v>1</v>
      </c>
      <c r="P462" s="680"/>
      <c r="Q462" s="24">
        <f t="shared" si="81"/>
        <v>1</v>
      </c>
      <c r="R462" s="676">
        <f t="shared" si="82"/>
        <v>0</v>
      </c>
      <c r="S462" s="326">
        <f t="shared" si="83"/>
        <v>0</v>
      </c>
    </row>
    <row r="463" spans="1:19">
      <c r="A463" s="159"/>
      <c r="B463" s="59"/>
      <c r="C463" s="24">
        <f t="shared" si="74"/>
        <v>1</v>
      </c>
      <c r="D463" s="680"/>
      <c r="E463" s="24">
        <f t="shared" si="75"/>
        <v>1</v>
      </c>
      <c r="F463" s="680"/>
      <c r="G463" s="24">
        <f t="shared" si="76"/>
        <v>1</v>
      </c>
      <c r="H463" s="680"/>
      <c r="I463" s="24">
        <f t="shared" si="77"/>
        <v>1</v>
      </c>
      <c r="J463" s="680"/>
      <c r="K463" s="24">
        <f t="shared" si="78"/>
        <v>1</v>
      </c>
      <c r="L463" s="680"/>
      <c r="M463" s="24">
        <f t="shared" si="79"/>
        <v>1</v>
      </c>
      <c r="N463" s="680"/>
      <c r="O463" s="24">
        <f t="shared" si="80"/>
        <v>1</v>
      </c>
      <c r="P463" s="680"/>
      <c r="Q463" s="24">
        <f t="shared" si="81"/>
        <v>1</v>
      </c>
      <c r="R463" s="676">
        <f t="shared" si="82"/>
        <v>0</v>
      </c>
      <c r="S463" s="326">
        <f t="shared" si="83"/>
        <v>0</v>
      </c>
    </row>
    <row r="464" spans="1:19">
      <c r="A464" s="159"/>
      <c r="B464" s="59"/>
      <c r="C464" s="24">
        <f t="shared" si="74"/>
        <v>1</v>
      </c>
      <c r="D464" s="680"/>
      <c r="E464" s="24">
        <f t="shared" si="75"/>
        <v>1</v>
      </c>
      <c r="F464" s="680"/>
      <c r="G464" s="24">
        <f t="shared" si="76"/>
        <v>1</v>
      </c>
      <c r="H464" s="680"/>
      <c r="I464" s="24">
        <f t="shared" si="77"/>
        <v>1</v>
      </c>
      <c r="J464" s="680"/>
      <c r="K464" s="24">
        <f t="shared" si="78"/>
        <v>1</v>
      </c>
      <c r="L464" s="680"/>
      <c r="M464" s="24">
        <f t="shared" si="79"/>
        <v>1</v>
      </c>
      <c r="N464" s="680"/>
      <c r="O464" s="24">
        <f t="shared" si="80"/>
        <v>1</v>
      </c>
      <c r="P464" s="680"/>
      <c r="Q464" s="24">
        <f t="shared" si="81"/>
        <v>1</v>
      </c>
      <c r="R464" s="676">
        <f t="shared" si="82"/>
        <v>0</v>
      </c>
      <c r="S464" s="326">
        <f t="shared" si="83"/>
        <v>0</v>
      </c>
    </row>
    <row r="465" spans="1:19">
      <c r="A465" s="159"/>
      <c r="B465" s="59"/>
      <c r="C465" s="24">
        <f t="shared" si="74"/>
        <v>1</v>
      </c>
      <c r="D465" s="680"/>
      <c r="E465" s="24">
        <f t="shared" si="75"/>
        <v>1</v>
      </c>
      <c r="F465" s="680"/>
      <c r="G465" s="24">
        <f t="shared" si="76"/>
        <v>1</v>
      </c>
      <c r="H465" s="680"/>
      <c r="I465" s="24">
        <f t="shared" si="77"/>
        <v>1</v>
      </c>
      <c r="J465" s="680"/>
      <c r="K465" s="24">
        <f t="shared" si="78"/>
        <v>1</v>
      </c>
      <c r="L465" s="680"/>
      <c r="M465" s="24">
        <f t="shared" si="79"/>
        <v>1</v>
      </c>
      <c r="N465" s="680"/>
      <c r="O465" s="24">
        <f t="shared" si="80"/>
        <v>1</v>
      </c>
      <c r="P465" s="680"/>
      <c r="Q465" s="24">
        <f t="shared" si="81"/>
        <v>1</v>
      </c>
      <c r="R465" s="676">
        <f t="shared" si="82"/>
        <v>0</v>
      </c>
      <c r="S465" s="326">
        <f t="shared" si="83"/>
        <v>0</v>
      </c>
    </row>
    <row r="466" spans="1:19">
      <c r="A466" s="159"/>
      <c r="B466" s="59"/>
      <c r="C466" s="24">
        <f t="shared" si="74"/>
        <v>1</v>
      </c>
      <c r="D466" s="680"/>
      <c r="E466" s="24">
        <f t="shared" si="75"/>
        <v>1</v>
      </c>
      <c r="F466" s="680"/>
      <c r="G466" s="24">
        <f t="shared" si="76"/>
        <v>1</v>
      </c>
      <c r="H466" s="680"/>
      <c r="I466" s="24">
        <f t="shared" si="77"/>
        <v>1</v>
      </c>
      <c r="J466" s="680"/>
      <c r="K466" s="24">
        <f t="shared" si="78"/>
        <v>1</v>
      </c>
      <c r="L466" s="680"/>
      <c r="M466" s="24">
        <f t="shared" si="79"/>
        <v>1</v>
      </c>
      <c r="N466" s="680"/>
      <c r="O466" s="24">
        <f t="shared" si="80"/>
        <v>1</v>
      </c>
      <c r="P466" s="680"/>
      <c r="Q466" s="24">
        <f t="shared" si="81"/>
        <v>1</v>
      </c>
      <c r="R466" s="676">
        <f t="shared" si="82"/>
        <v>0</v>
      </c>
      <c r="S466" s="326">
        <f t="shared" si="83"/>
        <v>0</v>
      </c>
    </row>
    <row r="467" spans="1:19">
      <c r="A467" s="159"/>
      <c r="B467" s="59"/>
      <c r="C467" s="24">
        <f t="shared" si="74"/>
        <v>1</v>
      </c>
      <c r="D467" s="680"/>
      <c r="E467" s="24">
        <f t="shared" si="75"/>
        <v>1</v>
      </c>
      <c r="F467" s="680"/>
      <c r="G467" s="24">
        <f t="shared" si="76"/>
        <v>1</v>
      </c>
      <c r="H467" s="680"/>
      <c r="I467" s="24">
        <f t="shared" si="77"/>
        <v>1</v>
      </c>
      <c r="J467" s="680"/>
      <c r="K467" s="24">
        <f t="shared" si="78"/>
        <v>1</v>
      </c>
      <c r="L467" s="680"/>
      <c r="M467" s="24">
        <f t="shared" si="79"/>
        <v>1</v>
      </c>
      <c r="N467" s="680"/>
      <c r="O467" s="24">
        <f t="shared" si="80"/>
        <v>1</v>
      </c>
      <c r="P467" s="680"/>
      <c r="Q467" s="24">
        <f t="shared" si="81"/>
        <v>1</v>
      </c>
      <c r="R467" s="676">
        <f t="shared" si="82"/>
        <v>0</v>
      </c>
      <c r="S467" s="326">
        <f t="shared" si="83"/>
        <v>0</v>
      </c>
    </row>
    <row r="468" spans="1:19">
      <c r="A468" s="159"/>
      <c r="B468" s="59"/>
      <c r="C468" s="24">
        <f t="shared" si="74"/>
        <v>1</v>
      </c>
      <c r="D468" s="680"/>
      <c r="E468" s="24">
        <f t="shared" si="75"/>
        <v>1</v>
      </c>
      <c r="F468" s="680"/>
      <c r="G468" s="24">
        <f t="shared" si="76"/>
        <v>1</v>
      </c>
      <c r="H468" s="680"/>
      <c r="I468" s="24">
        <f t="shared" si="77"/>
        <v>1</v>
      </c>
      <c r="J468" s="680"/>
      <c r="K468" s="24">
        <f t="shared" si="78"/>
        <v>1</v>
      </c>
      <c r="L468" s="680"/>
      <c r="M468" s="24">
        <f t="shared" si="79"/>
        <v>1</v>
      </c>
      <c r="N468" s="680"/>
      <c r="O468" s="24">
        <f t="shared" si="80"/>
        <v>1</v>
      </c>
      <c r="P468" s="680"/>
      <c r="Q468" s="24">
        <f t="shared" si="81"/>
        <v>1</v>
      </c>
      <c r="R468" s="676">
        <f t="shared" si="82"/>
        <v>0</v>
      </c>
      <c r="S468" s="326">
        <f t="shared" ref="S468:S497" si="84">ROUND(R468*B468/10000,0)</f>
        <v>0</v>
      </c>
    </row>
    <row r="469" spans="1:19">
      <c r="A469" s="159"/>
      <c r="B469" s="59"/>
      <c r="C469" s="24">
        <f t="shared" si="74"/>
        <v>1</v>
      </c>
      <c r="D469" s="680"/>
      <c r="E469" s="24">
        <f t="shared" si="75"/>
        <v>1</v>
      </c>
      <c r="F469" s="680"/>
      <c r="G469" s="24">
        <f t="shared" si="76"/>
        <v>1</v>
      </c>
      <c r="H469" s="680"/>
      <c r="I469" s="24">
        <f t="shared" si="77"/>
        <v>1</v>
      </c>
      <c r="J469" s="680"/>
      <c r="K469" s="24">
        <f t="shared" si="78"/>
        <v>1</v>
      </c>
      <c r="L469" s="680"/>
      <c r="M469" s="24">
        <f t="shared" si="79"/>
        <v>1</v>
      </c>
      <c r="N469" s="680"/>
      <c r="O469" s="24">
        <f t="shared" si="80"/>
        <v>1</v>
      </c>
      <c r="P469" s="680"/>
      <c r="Q469" s="24">
        <f t="shared" si="81"/>
        <v>1</v>
      </c>
      <c r="R469" s="676">
        <f t="shared" si="82"/>
        <v>0</v>
      </c>
      <c r="S469" s="326">
        <f t="shared" si="84"/>
        <v>0</v>
      </c>
    </row>
    <row r="470" spans="1:19">
      <c r="A470" s="159"/>
      <c r="B470" s="59"/>
      <c r="C470" s="24">
        <f t="shared" si="74"/>
        <v>1</v>
      </c>
      <c r="D470" s="680"/>
      <c r="E470" s="24">
        <f t="shared" si="75"/>
        <v>1</v>
      </c>
      <c r="F470" s="680"/>
      <c r="G470" s="24">
        <f t="shared" si="76"/>
        <v>1</v>
      </c>
      <c r="H470" s="680"/>
      <c r="I470" s="24">
        <f t="shared" si="77"/>
        <v>1</v>
      </c>
      <c r="J470" s="680"/>
      <c r="K470" s="24">
        <f t="shared" si="78"/>
        <v>1</v>
      </c>
      <c r="L470" s="680"/>
      <c r="M470" s="24">
        <f t="shared" si="79"/>
        <v>1</v>
      </c>
      <c r="N470" s="680"/>
      <c r="O470" s="24">
        <f t="shared" si="80"/>
        <v>1</v>
      </c>
      <c r="P470" s="680"/>
      <c r="Q470" s="24">
        <f t="shared" si="81"/>
        <v>1</v>
      </c>
      <c r="R470" s="676">
        <f t="shared" si="82"/>
        <v>0</v>
      </c>
      <c r="S470" s="326">
        <f t="shared" si="84"/>
        <v>0</v>
      </c>
    </row>
    <row r="471" spans="1:19">
      <c r="A471" s="159"/>
      <c r="B471" s="59"/>
      <c r="C471" s="24">
        <f t="shared" si="74"/>
        <v>1</v>
      </c>
      <c r="D471" s="680"/>
      <c r="E471" s="24">
        <f t="shared" si="75"/>
        <v>1</v>
      </c>
      <c r="F471" s="680"/>
      <c r="G471" s="24">
        <f t="shared" si="76"/>
        <v>1</v>
      </c>
      <c r="H471" s="680"/>
      <c r="I471" s="24">
        <f t="shared" si="77"/>
        <v>1</v>
      </c>
      <c r="J471" s="680"/>
      <c r="K471" s="24">
        <f t="shared" si="78"/>
        <v>1</v>
      </c>
      <c r="L471" s="680"/>
      <c r="M471" s="24">
        <f t="shared" si="79"/>
        <v>1</v>
      </c>
      <c r="N471" s="680"/>
      <c r="O471" s="24">
        <f t="shared" si="80"/>
        <v>1</v>
      </c>
      <c r="P471" s="680"/>
      <c r="Q471" s="24">
        <f t="shared" si="81"/>
        <v>1</v>
      </c>
      <c r="R471" s="676">
        <f t="shared" si="82"/>
        <v>0</v>
      </c>
      <c r="S471" s="326">
        <f t="shared" si="84"/>
        <v>0</v>
      </c>
    </row>
    <row r="472" spans="1:19">
      <c r="A472" s="159"/>
      <c r="B472" s="59"/>
      <c r="C472" s="24">
        <f t="shared" si="74"/>
        <v>1</v>
      </c>
      <c r="D472" s="680"/>
      <c r="E472" s="24">
        <f t="shared" si="75"/>
        <v>1</v>
      </c>
      <c r="F472" s="680"/>
      <c r="G472" s="24">
        <f t="shared" si="76"/>
        <v>1</v>
      </c>
      <c r="H472" s="680"/>
      <c r="I472" s="24">
        <f t="shared" si="77"/>
        <v>1</v>
      </c>
      <c r="J472" s="680"/>
      <c r="K472" s="24">
        <f t="shared" si="78"/>
        <v>1</v>
      </c>
      <c r="L472" s="680"/>
      <c r="M472" s="24">
        <f t="shared" si="79"/>
        <v>1</v>
      </c>
      <c r="N472" s="680"/>
      <c r="O472" s="24">
        <f t="shared" si="80"/>
        <v>1</v>
      </c>
      <c r="P472" s="680"/>
      <c r="Q472" s="24">
        <f t="shared" si="81"/>
        <v>1</v>
      </c>
      <c r="R472" s="676">
        <f t="shared" si="82"/>
        <v>0</v>
      </c>
      <c r="S472" s="326">
        <f t="shared" si="84"/>
        <v>0</v>
      </c>
    </row>
    <row r="473" spans="1:19">
      <c r="A473" s="159"/>
      <c r="B473" s="59"/>
      <c r="C473" s="24">
        <f t="shared" si="74"/>
        <v>1</v>
      </c>
      <c r="D473" s="680"/>
      <c r="E473" s="24">
        <f t="shared" si="75"/>
        <v>1</v>
      </c>
      <c r="F473" s="680"/>
      <c r="G473" s="24">
        <f t="shared" si="76"/>
        <v>1</v>
      </c>
      <c r="H473" s="680"/>
      <c r="I473" s="24">
        <f t="shared" si="77"/>
        <v>1</v>
      </c>
      <c r="J473" s="680"/>
      <c r="K473" s="24">
        <f t="shared" si="78"/>
        <v>1</v>
      </c>
      <c r="L473" s="680"/>
      <c r="M473" s="24">
        <f t="shared" si="79"/>
        <v>1</v>
      </c>
      <c r="N473" s="680"/>
      <c r="O473" s="24">
        <f t="shared" si="80"/>
        <v>1</v>
      </c>
      <c r="P473" s="680"/>
      <c r="Q473" s="24">
        <f t="shared" si="81"/>
        <v>1</v>
      </c>
      <c r="R473" s="676">
        <f t="shared" si="82"/>
        <v>0</v>
      </c>
      <c r="S473" s="326">
        <f t="shared" si="84"/>
        <v>0</v>
      </c>
    </row>
    <row r="474" spans="1:19">
      <c r="A474" s="159"/>
      <c r="B474" s="59"/>
      <c r="C474" s="24">
        <f t="shared" ref="C474:C524" si="85">IF(B474="",1,(LOOKUP(B474,$3:$3,$4:$4)-LOOKUP($B$24,$3:$3,$4:$4)+100)/100)</f>
        <v>1</v>
      </c>
      <c r="D474" s="680"/>
      <c r="E474" s="24">
        <f t="shared" ref="E474:E524" si="86">(SUMIF($5:$5,D474,$6:$6)-SUMIF($5:$5,$D$24,$6:$6)+100)/100</f>
        <v>1</v>
      </c>
      <c r="F474" s="680"/>
      <c r="G474" s="24">
        <f t="shared" ref="G474:G524" si="87">(SUMIF($7:$7,F474,$8:$8)-SUMIF($7:$7,$F$24,$8:$8)+100)/100</f>
        <v>1</v>
      </c>
      <c r="H474" s="680"/>
      <c r="I474" s="24">
        <f t="shared" ref="I474:I524" si="88">(SUMIF($9:$9,H474,$10:$10)-SUMIF($9:$9,$H$24,$10:$10)+100)/100</f>
        <v>1</v>
      </c>
      <c r="J474" s="680"/>
      <c r="K474" s="24">
        <f t="shared" ref="K474:K524" si="89">(SUMIF($11:$11,J474,$12:$12)-SUMIF($11:$11,$J$24,$12:$12)+100)/100</f>
        <v>1</v>
      </c>
      <c r="L474" s="680"/>
      <c r="M474" s="24">
        <f t="shared" ref="M474:M524" si="90">(SUMIF($13:$13,L474,$14:$14)-SUMIF($13:$13,$L$24,$14:$14)+100)/100</f>
        <v>1</v>
      </c>
      <c r="N474" s="680"/>
      <c r="O474" s="24">
        <f t="shared" ref="O474:O524" si="91">(SUMIF($15:$15,N474,$16:$16)-SUMIF($15:$15,$N$24,$16:$16)+100)/100</f>
        <v>1</v>
      </c>
      <c r="P474" s="680"/>
      <c r="Q474" s="24">
        <f t="shared" ref="Q474:Q524" si="92">(SUMIF($17:$17,P474,$18:$18)-SUMIF($17:$17,$P$24,$18:$18)+100)/100</f>
        <v>1</v>
      </c>
      <c r="R474" s="676">
        <f t="shared" ref="R474:R524" si="93">IF(B474="",0,ROUND($R$24*C474*E474*G474*I474*K474*M474*O474*Q474,0))</f>
        <v>0</v>
      </c>
      <c r="S474" s="326">
        <f t="shared" si="84"/>
        <v>0</v>
      </c>
    </row>
    <row r="475" spans="1:19">
      <c r="A475" s="159"/>
      <c r="B475" s="59"/>
      <c r="C475" s="24">
        <f t="shared" si="85"/>
        <v>1</v>
      </c>
      <c r="D475" s="680"/>
      <c r="E475" s="24">
        <f t="shared" si="86"/>
        <v>1</v>
      </c>
      <c r="F475" s="680"/>
      <c r="G475" s="24">
        <f t="shared" si="87"/>
        <v>1</v>
      </c>
      <c r="H475" s="680"/>
      <c r="I475" s="24">
        <f t="shared" si="88"/>
        <v>1</v>
      </c>
      <c r="J475" s="680"/>
      <c r="K475" s="24">
        <f t="shared" si="89"/>
        <v>1</v>
      </c>
      <c r="L475" s="680"/>
      <c r="M475" s="24">
        <f t="shared" si="90"/>
        <v>1</v>
      </c>
      <c r="N475" s="680"/>
      <c r="O475" s="24">
        <f t="shared" si="91"/>
        <v>1</v>
      </c>
      <c r="P475" s="680"/>
      <c r="Q475" s="24">
        <f t="shared" si="92"/>
        <v>1</v>
      </c>
      <c r="R475" s="676">
        <f t="shared" si="93"/>
        <v>0</v>
      </c>
      <c r="S475" s="326">
        <f t="shared" si="84"/>
        <v>0</v>
      </c>
    </row>
    <row r="476" spans="1:19">
      <c r="A476" s="159"/>
      <c r="B476" s="59"/>
      <c r="C476" s="24">
        <f t="shared" si="85"/>
        <v>1</v>
      </c>
      <c r="D476" s="680"/>
      <c r="E476" s="24">
        <f t="shared" si="86"/>
        <v>1</v>
      </c>
      <c r="F476" s="680"/>
      <c r="G476" s="24">
        <f t="shared" si="87"/>
        <v>1</v>
      </c>
      <c r="H476" s="680"/>
      <c r="I476" s="24">
        <f t="shared" si="88"/>
        <v>1</v>
      </c>
      <c r="J476" s="680"/>
      <c r="K476" s="24">
        <f t="shared" si="89"/>
        <v>1</v>
      </c>
      <c r="L476" s="680"/>
      <c r="M476" s="24">
        <f t="shared" si="90"/>
        <v>1</v>
      </c>
      <c r="N476" s="680"/>
      <c r="O476" s="24">
        <f t="shared" si="91"/>
        <v>1</v>
      </c>
      <c r="P476" s="680"/>
      <c r="Q476" s="24">
        <f t="shared" si="92"/>
        <v>1</v>
      </c>
      <c r="R476" s="676">
        <f t="shared" si="93"/>
        <v>0</v>
      </c>
      <c r="S476" s="326">
        <f t="shared" si="84"/>
        <v>0</v>
      </c>
    </row>
    <row r="477" spans="1:19">
      <c r="A477" s="159"/>
      <c r="B477" s="59"/>
      <c r="C477" s="24">
        <f t="shared" si="85"/>
        <v>1</v>
      </c>
      <c r="D477" s="680"/>
      <c r="E477" s="24">
        <f t="shared" si="86"/>
        <v>1</v>
      </c>
      <c r="F477" s="680"/>
      <c r="G477" s="24">
        <f t="shared" si="87"/>
        <v>1</v>
      </c>
      <c r="H477" s="680"/>
      <c r="I477" s="24">
        <f t="shared" si="88"/>
        <v>1</v>
      </c>
      <c r="J477" s="680"/>
      <c r="K477" s="24">
        <f t="shared" si="89"/>
        <v>1</v>
      </c>
      <c r="L477" s="680"/>
      <c r="M477" s="24">
        <f t="shared" si="90"/>
        <v>1</v>
      </c>
      <c r="N477" s="680"/>
      <c r="O477" s="24">
        <f t="shared" si="91"/>
        <v>1</v>
      </c>
      <c r="P477" s="680"/>
      <c r="Q477" s="24">
        <f t="shared" si="92"/>
        <v>1</v>
      </c>
      <c r="R477" s="676">
        <f t="shared" si="93"/>
        <v>0</v>
      </c>
      <c r="S477" s="326">
        <f t="shared" si="84"/>
        <v>0</v>
      </c>
    </row>
    <row r="478" spans="1:19">
      <c r="A478" s="159"/>
      <c r="B478" s="59"/>
      <c r="C478" s="24">
        <f t="shared" si="85"/>
        <v>1</v>
      </c>
      <c r="D478" s="680"/>
      <c r="E478" s="24">
        <f t="shared" si="86"/>
        <v>1</v>
      </c>
      <c r="F478" s="680"/>
      <c r="G478" s="24">
        <f t="shared" si="87"/>
        <v>1</v>
      </c>
      <c r="H478" s="680"/>
      <c r="I478" s="24">
        <f t="shared" si="88"/>
        <v>1</v>
      </c>
      <c r="J478" s="680"/>
      <c r="K478" s="24">
        <f t="shared" si="89"/>
        <v>1</v>
      </c>
      <c r="L478" s="680"/>
      <c r="M478" s="24">
        <f t="shared" si="90"/>
        <v>1</v>
      </c>
      <c r="N478" s="680"/>
      <c r="O478" s="24">
        <f t="shared" si="91"/>
        <v>1</v>
      </c>
      <c r="P478" s="680"/>
      <c r="Q478" s="24">
        <f t="shared" si="92"/>
        <v>1</v>
      </c>
      <c r="R478" s="676">
        <f t="shared" si="93"/>
        <v>0</v>
      </c>
      <c r="S478" s="326">
        <f t="shared" si="84"/>
        <v>0</v>
      </c>
    </row>
    <row r="479" spans="1:19">
      <c r="A479" s="159"/>
      <c r="B479" s="59"/>
      <c r="C479" s="24">
        <f t="shared" si="85"/>
        <v>1</v>
      </c>
      <c r="D479" s="680"/>
      <c r="E479" s="24">
        <f t="shared" si="86"/>
        <v>1</v>
      </c>
      <c r="F479" s="680"/>
      <c r="G479" s="24">
        <f t="shared" si="87"/>
        <v>1</v>
      </c>
      <c r="H479" s="680"/>
      <c r="I479" s="24">
        <f t="shared" si="88"/>
        <v>1</v>
      </c>
      <c r="J479" s="680"/>
      <c r="K479" s="24">
        <f t="shared" si="89"/>
        <v>1</v>
      </c>
      <c r="L479" s="680"/>
      <c r="M479" s="24">
        <f t="shared" si="90"/>
        <v>1</v>
      </c>
      <c r="N479" s="680"/>
      <c r="O479" s="24">
        <f t="shared" si="91"/>
        <v>1</v>
      </c>
      <c r="P479" s="680"/>
      <c r="Q479" s="24">
        <f t="shared" si="92"/>
        <v>1</v>
      </c>
      <c r="R479" s="676">
        <f t="shared" si="93"/>
        <v>0</v>
      </c>
      <c r="S479" s="326">
        <f t="shared" si="84"/>
        <v>0</v>
      </c>
    </row>
    <row r="480" spans="1:19">
      <c r="A480" s="159"/>
      <c r="B480" s="59"/>
      <c r="C480" s="24">
        <f t="shared" si="85"/>
        <v>1</v>
      </c>
      <c r="D480" s="680"/>
      <c r="E480" s="24">
        <f t="shared" si="86"/>
        <v>1</v>
      </c>
      <c r="F480" s="680"/>
      <c r="G480" s="24">
        <f t="shared" si="87"/>
        <v>1</v>
      </c>
      <c r="H480" s="680"/>
      <c r="I480" s="24">
        <f t="shared" si="88"/>
        <v>1</v>
      </c>
      <c r="J480" s="680"/>
      <c r="K480" s="24">
        <f t="shared" si="89"/>
        <v>1</v>
      </c>
      <c r="L480" s="680"/>
      <c r="M480" s="24">
        <f t="shared" si="90"/>
        <v>1</v>
      </c>
      <c r="N480" s="680"/>
      <c r="O480" s="24">
        <f t="shared" si="91"/>
        <v>1</v>
      </c>
      <c r="P480" s="680"/>
      <c r="Q480" s="24">
        <f t="shared" si="92"/>
        <v>1</v>
      </c>
      <c r="R480" s="676">
        <f t="shared" si="93"/>
        <v>0</v>
      </c>
      <c r="S480" s="326">
        <f t="shared" si="84"/>
        <v>0</v>
      </c>
    </row>
    <row r="481" spans="1:19">
      <c r="A481" s="159"/>
      <c r="B481" s="59"/>
      <c r="C481" s="24">
        <f t="shared" si="85"/>
        <v>1</v>
      </c>
      <c r="D481" s="680"/>
      <c r="E481" s="24">
        <f t="shared" si="86"/>
        <v>1</v>
      </c>
      <c r="F481" s="680"/>
      <c r="G481" s="24">
        <f t="shared" si="87"/>
        <v>1</v>
      </c>
      <c r="H481" s="680"/>
      <c r="I481" s="24">
        <f t="shared" si="88"/>
        <v>1</v>
      </c>
      <c r="J481" s="680"/>
      <c r="K481" s="24">
        <f t="shared" si="89"/>
        <v>1</v>
      </c>
      <c r="L481" s="680"/>
      <c r="M481" s="24">
        <f t="shared" si="90"/>
        <v>1</v>
      </c>
      <c r="N481" s="680"/>
      <c r="O481" s="24">
        <f t="shared" si="91"/>
        <v>1</v>
      </c>
      <c r="P481" s="680"/>
      <c r="Q481" s="24">
        <f t="shared" si="92"/>
        <v>1</v>
      </c>
      <c r="R481" s="676">
        <f t="shared" si="93"/>
        <v>0</v>
      </c>
      <c r="S481" s="326">
        <f t="shared" si="84"/>
        <v>0</v>
      </c>
    </row>
    <row r="482" spans="1:19">
      <c r="A482" s="159"/>
      <c r="B482" s="59"/>
      <c r="C482" s="24">
        <f t="shared" si="85"/>
        <v>1</v>
      </c>
      <c r="D482" s="680"/>
      <c r="E482" s="24">
        <f t="shared" si="86"/>
        <v>1</v>
      </c>
      <c r="F482" s="680"/>
      <c r="G482" s="24">
        <f t="shared" si="87"/>
        <v>1</v>
      </c>
      <c r="H482" s="680"/>
      <c r="I482" s="24">
        <f t="shared" si="88"/>
        <v>1</v>
      </c>
      <c r="J482" s="680"/>
      <c r="K482" s="24">
        <f t="shared" si="89"/>
        <v>1</v>
      </c>
      <c r="L482" s="680"/>
      <c r="M482" s="24">
        <f t="shared" si="90"/>
        <v>1</v>
      </c>
      <c r="N482" s="680"/>
      <c r="O482" s="24">
        <f t="shared" si="91"/>
        <v>1</v>
      </c>
      <c r="P482" s="680"/>
      <c r="Q482" s="24">
        <f t="shared" si="92"/>
        <v>1</v>
      </c>
      <c r="R482" s="676">
        <f t="shared" si="93"/>
        <v>0</v>
      </c>
      <c r="S482" s="326">
        <f t="shared" si="84"/>
        <v>0</v>
      </c>
    </row>
    <row r="483" spans="1:19">
      <c r="A483" s="159"/>
      <c r="B483" s="59"/>
      <c r="C483" s="24">
        <f t="shared" si="85"/>
        <v>1</v>
      </c>
      <c r="D483" s="680"/>
      <c r="E483" s="24">
        <f t="shared" si="86"/>
        <v>1</v>
      </c>
      <c r="F483" s="680"/>
      <c r="G483" s="24">
        <f t="shared" si="87"/>
        <v>1</v>
      </c>
      <c r="H483" s="680"/>
      <c r="I483" s="24">
        <f t="shared" si="88"/>
        <v>1</v>
      </c>
      <c r="J483" s="680"/>
      <c r="K483" s="24">
        <f t="shared" si="89"/>
        <v>1</v>
      </c>
      <c r="L483" s="680"/>
      <c r="M483" s="24">
        <f t="shared" si="90"/>
        <v>1</v>
      </c>
      <c r="N483" s="680"/>
      <c r="O483" s="24">
        <f t="shared" si="91"/>
        <v>1</v>
      </c>
      <c r="P483" s="680"/>
      <c r="Q483" s="24">
        <f t="shared" si="92"/>
        <v>1</v>
      </c>
      <c r="R483" s="676">
        <f t="shared" si="93"/>
        <v>0</v>
      </c>
      <c r="S483" s="326">
        <f t="shared" si="84"/>
        <v>0</v>
      </c>
    </row>
    <row r="484" spans="1:19">
      <c r="A484" s="159"/>
      <c r="B484" s="59"/>
      <c r="C484" s="24">
        <f t="shared" si="85"/>
        <v>1</v>
      </c>
      <c r="D484" s="680"/>
      <c r="E484" s="24">
        <f t="shared" si="86"/>
        <v>1</v>
      </c>
      <c r="F484" s="680"/>
      <c r="G484" s="24">
        <f t="shared" si="87"/>
        <v>1</v>
      </c>
      <c r="H484" s="680"/>
      <c r="I484" s="24">
        <f t="shared" si="88"/>
        <v>1</v>
      </c>
      <c r="J484" s="680"/>
      <c r="K484" s="24">
        <f t="shared" si="89"/>
        <v>1</v>
      </c>
      <c r="L484" s="680"/>
      <c r="M484" s="24">
        <f t="shared" si="90"/>
        <v>1</v>
      </c>
      <c r="N484" s="680"/>
      <c r="O484" s="24">
        <f t="shared" si="91"/>
        <v>1</v>
      </c>
      <c r="P484" s="680"/>
      <c r="Q484" s="24">
        <f t="shared" si="92"/>
        <v>1</v>
      </c>
      <c r="R484" s="676">
        <f t="shared" si="93"/>
        <v>0</v>
      </c>
      <c r="S484" s="326">
        <f t="shared" si="84"/>
        <v>0</v>
      </c>
    </row>
    <row r="485" spans="1:19">
      <c r="A485" s="159"/>
      <c r="B485" s="59"/>
      <c r="C485" s="24">
        <f t="shared" si="85"/>
        <v>1</v>
      </c>
      <c r="D485" s="680"/>
      <c r="E485" s="24">
        <f t="shared" si="86"/>
        <v>1</v>
      </c>
      <c r="F485" s="680"/>
      <c r="G485" s="24">
        <f t="shared" si="87"/>
        <v>1</v>
      </c>
      <c r="H485" s="680"/>
      <c r="I485" s="24">
        <f t="shared" si="88"/>
        <v>1</v>
      </c>
      <c r="J485" s="680"/>
      <c r="K485" s="24">
        <f t="shared" si="89"/>
        <v>1</v>
      </c>
      <c r="L485" s="680"/>
      <c r="M485" s="24">
        <f t="shared" si="90"/>
        <v>1</v>
      </c>
      <c r="N485" s="680"/>
      <c r="O485" s="24">
        <f t="shared" si="91"/>
        <v>1</v>
      </c>
      <c r="P485" s="680"/>
      <c r="Q485" s="24">
        <f t="shared" si="92"/>
        <v>1</v>
      </c>
      <c r="R485" s="676">
        <f t="shared" si="93"/>
        <v>0</v>
      </c>
      <c r="S485" s="326">
        <f t="shared" si="84"/>
        <v>0</v>
      </c>
    </row>
    <row r="486" spans="1:19">
      <c r="A486" s="159"/>
      <c r="B486" s="59"/>
      <c r="C486" s="24">
        <f t="shared" si="85"/>
        <v>1</v>
      </c>
      <c r="D486" s="680"/>
      <c r="E486" s="24">
        <f t="shared" si="86"/>
        <v>1</v>
      </c>
      <c r="F486" s="680"/>
      <c r="G486" s="24">
        <f t="shared" si="87"/>
        <v>1</v>
      </c>
      <c r="H486" s="680"/>
      <c r="I486" s="24">
        <f t="shared" si="88"/>
        <v>1</v>
      </c>
      <c r="J486" s="680"/>
      <c r="K486" s="24">
        <f t="shared" si="89"/>
        <v>1</v>
      </c>
      <c r="L486" s="680"/>
      <c r="M486" s="24">
        <f t="shared" si="90"/>
        <v>1</v>
      </c>
      <c r="N486" s="680"/>
      <c r="O486" s="24">
        <f t="shared" si="91"/>
        <v>1</v>
      </c>
      <c r="P486" s="680"/>
      <c r="Q486" s="24">
        <f t="shared" si="92"/>
        <v>1</v>
      </c>
      <c r="R486" s="676">
        <f t="shared" si="93"/>
        <v>0</v>
      </c>
      <c r="S486" s="326">
        <f t="shared" si="84"/>
        <v>0</v>
      </c>
    </row>
    <row r="487" spans="1:19">
      <c r="A487" s="159"/>
      <c r="B487" s="59"/>
      <c r="C487" s="24">
        <f t="shared" si="85"/>
        <v>1</v>
      </c>
      <c r="D487" s="680"/>
      <c r="E487" s="24">
        <f t="shared" si="86"/>
        <v>1</v>
      </c>
      <c r="F487" s="680"/>
      <c r="G487" s="24">
        <f t="shared" si="87"/>
        <v>1</v>
      </c>
      <c r="H487" s="680"/>
      <c r="I487" s="24">
        <f t="shared" si="88"/>
        <v>1</v>
      </c>
      <c r="J487" s="680"/>
      <c r="K487" s="24">
        <f t="shared" si="89"/>
        <v>1</v>
      </c>
      <c r="L487" s="680"/>
      <c r="M487" s="24">
        <f t="shared" si="90"/>
        <v>1</v>
      </c>
      <c r="N487" s="680"/>
      <c r="O487" s="24">
        <f t="shared" si="91"/>
        <v>1</v>
      </c>
      <c r="P487" s="680"/>
      <c r="Q487" s="24">
        <f t="shared" si="92"/>
        <v>1</v>
      </c>
      <c r="R487" s="676">
        <f t="shared" si="93"/>
        <v>0</v>
      </c>
      <c r="S487" s="326">
        <f t="shared" si="84"/>
        <v>0</v>
      </c>
    </row>
    <row r="488" spans="1:19">
      <c r="A488" s="159"/>
      <c r="B488" s="59"/>
      <c r="C488" s="24">
        <f t="shared" si="85"/>
        <v>1</v>
      </c>
      <c r="D488" s="680"/>
      <c r="E488" s="24">
        <f t="shared" si="86"/>
        <v>1</v>
      </c>
      <c r="F488" s="680"/>
      <c r="G488" s="24">
        <f t="shared" si="87"/>
        <v>1</v>
      </c>
      <c r="H488" s="680"/>
      <c r="I488" s="24">
        <f t="shared" si="88"/>
        <v>1</v>
      </c>
      <c r="J488" s="680"/>
      <c r="K488" s="24">
        <f t="shared" si="89"/>
        <v>1</v>
      </c>
      <c r="L488" s="680"/>
      <c r="M488" s="24">
        <f t="shared" si="90"/>
        <v>1</v>
      </c>
      <c r="N488" s="680"/>
      <c r="O488" s="24">
        <f t="shared" si="91"/>
        <v>1</v>
      </c>
      <c r="P488" s="680"/>
      <c r="Q488" s="24">
        <f t="shared" si="92"/>
        <v>1</v>
      </c>
      <c r="R488" s="676">
        <f t="shared" si="93"/>
        <v>0</v>
      </c>
      <c r="S488" s="326">
        <f t="shared" si="84"/>
        <v>0</v>
      </c>
    </row>
    <row r="489" spans="1:19">
      <c r="A489" s="159"/>
      <c r="B489" s="59"/>
      <c r="C489" s="24">
        <f t="shared" si="85"/>
        <v>1</v>
      </c>
      <c r="D489" s="680"/>
      <c r="E489" s="24">
        <f t="shared" si="86"/>
        <v>1</v>
      </c>
      <c r="F489" s="680"/>
      <c r="G489" s="24">
        <f t="shared" si="87"/>
        <v>1</v>
      </c>
      <c r="H489" s="680"/>
      <c r="I489" s="24">
        <f t="shared" si="88"/>
        <v>1</v>
      </c>
      <c r="J489" s="680"/>
      <c r="K489" s="24">
        <f t="shared" si="89"/>
        <v>1</v>
      </c>
      <c r="L489" s="680"/>
      <c r="M489" s="24">
        <f t="shared" si="90"/>
        <v>1</v>
      </c>
      <c r="N489" s="680"/>
      <c r="O489" s="24">
        <f t="shared" si="91"/>
        <v>1</v>
      </c>
      <c r="P489" s="680"/>
      <c r="Q489" s="24">
        <f t="shared" si="92"/>
        <v>1</v>
      </c>
      <c r="R489" s="676">
        <f t="shared" si="93"/>
        <v>0</v>
      </c>
      <c r="S489" s="326">
        <f t="shared" si="84"/>
        <v>0</v>
      </c>
    </row>
    <row r="490" spans="1:19">
      <c r="A490" s="159"/>
      <c r="B490" s="59"/>
      <c r="C490" s="24">
        <f t="shared" si="85"/>
        <v>1</v>
      </c>
      <c r="D490" s="680"/>
      <c r="E490" s="24">
        <f t="shared" si="86"/>
        <v>1</v>
      </c>
      <c r="F490" s="680"/>
      <c r="G490" s="24">
        <f t="shared" si="87"/>
        <v>1</v>
      </c>
      <c r="H490" s="680"/>
      <c r="I490" s="24">
        <f t="shared" si="88"/>
        <v>1</v>
      </c>
      <c r="J490" s="680"/>
      <c r="K490" s="24">
        <f t="shared" si="89"/>
        <v>1</v>
      </c>
      <c r="L490" s="680"/>
      <c r="M490" s="24">
        <f t="shared" si="90"/>
        <v>1</v>
      </c>
      <c r="N490" s="680"/>
      <c r="O490" s="24">
        <f t="shared" si="91"/>
        <v>1</v>
      </c>
      <c r="P490" s="680"/>
      <c r="Q490" s="24">
        <f t="shared" si="92"/>
        <v>1</v>
      </c>
      <c r="R490" s="676">
        <f t="shared" si="93"/>
        <v>0</v>
      </c>
      <c r="S490" s="326">
        <f t="shared" si="84"/>
        <v>0</v>
      </c>
    </row>
    <row r="491" spans="1:19">
      <c r="A491" s="159"/>
      <c r="B491" s="59"/>
      <c r="C491" s="24">
        <f t="shared" si="85"/>
        <v>1</v>
      </c>
      <c r="D491" s="680"/>
      <c r="E491" s="24">
        <f t="shared" si="86"/>
        <v>1</v>
      </c>
      <c r="F491" s="680"/>
      <c r="G491" s="24">
        <f t="shared" si="87"/>
        <v>1</v>
      </c>
      <c r="H491" s="680"/>
      <c r="I491" s="24">
        <f t="shared" si="88"/>
        <v>1</v>
      </c>
      <c r="J491" s="680"/>
      <c r="K491" s="24">
        <f t="shared" si="89"/>
        <v>1</v>
      </c>
      <c r="L491" s="680"/>
      <c r="M491" s="24">
        <f t="shared" si="90"/>
        <v>1</v>
      </c>
      <c r="N491" s="680"/>
      <c r="O491" s="24">
        <f t="shared" si="91"/>
        <v>1</v>
      </c>
      <c r="P491" s="680"/>
      <c r="Q491" s="24">
        <f t="shared" si="92"/>
        <v>1</v>
      </c>
      <c r="R491" s="676">
        <f t="shared" si="93"/>
        <v>0</v>
      </c>
      <c r="S491" s="326">
        <f t="shared" si="84"/>
        <v>0</v>
      </c>
    </row>
    <row r="492" spans="1:19">
      <c r="A492" s="159"/>
      <c r="B492" s="59"/>
      <c r="C492" s="24">
        <f t="shared" si="85"/>
        <v>1</v>
      </c>
      <c r="D492" s="680"/>
      <c r="E492" s="24">
        <f t="shared" si="86"/>
        <v>1</v>
      </c>
      <c r="F492" s="680"/>
      <c r="G492" s="24">
        <f t="shared" si="87"/>
        <v>1</v>
      </c>
      <c r="H492" s="680"/>
      <c r="I492" s="24">
        <f t="shared" si="88"/>
        <v>1</v>
      </c>
      <c r="J492" s="680"/>
      <c r="K492" s="24">
        <f t="shared" si="89"/>
        <v>1</v>
      </c>
      <c r="L492" s="680"/>
      <c r="M492" s="24">
        <f t="shared" si="90"/>
        <v>1</v>
      </c>
      <c r="N492" s="680"/>
      <c r="O492" s="24">
        <f t="shared" si="91"/>
        <v>1</v>
      </c>
      <c r="P492" s="680"/>
      <c r="Q492" s="24">
        <f t="shared" si="92"/>
        <v>1</v>
      </c>
      <c r="R492" s="676">
        <f t="shared" si="93"/>
        <v>0</v>
      </c>
      <c r="S492" s="326">
        <f t="shared" si="84"/>
        <v>0</v>
      </c>
    </row>
    <row r="493" spans="1:19">
      <c r="A493" s="159"/>
      <c r="B493" s="59"/>
      <c r="C493" s="24">
        <f t="shared" si="85"/>
        <v>1</v>
      </c>
      <c r="D493" s="680"/>
      <c r="E493" s="24">
        <f t="shared" si="86"/>
        <v>1</v>
      </c>
      <c r="F493" s="680"/>
      <c r="G493" s="24">
        <f t="shared" si="87"/>
        <v>1</v>
      </c>
      <c r="H493" s="680"/>
      <c r="I493" s="24">
        <f t="shared" si="88"/>
        <v>1</v>
      </c>
      <c r="J493" s="680"/>
      <c r="K493" s="24">
        <f t="shared" si="89"/>
        <v>1</v>
      </c>
      <c r="L493" s="680"/>
      <c r="M493" s="24">
        <f t="shared" si="90"/>
        <v>1</v>
      </c>
      <c r="N493" s="680"/>
      <c r="O493" s="24">
        <f t="shared" si="91"/>
        <v>1</v>
      </c>
      <c r="P493" s="680"/>
      <c r="Q493" s="24">
        <f t="shared" si="92"/>
        <v>1</v>
      </c>
      <c r="R493" s="676">
        <f t="shared" si="93"/>
        <v>0</v>
      </c>
      <c r="S493" s="326">
        <f t="shared" si="84"/>
        <v>0</v>
      </c>
    </row>
    <row r="494" spans="1:19">
      <c r="A494" s="159"/>
      <c r="B494" s="59"/>
      <c r="C494" s="24">
        <f t="shared" si="85"/>
        <v>1</v>
      </c>
      <c r="D494" s="680"/>
      <c r="E494" s="24">
        <f t="shared" si="86"/>
        <v>1</v>
      </c>
      <c r="F494" s="680"/>
      <c r="G494" s="24">
        <f t="shared" si="87"/>
        <v>1</v>
      </c>
      <c r="H494" s="680"/>
      <c r="I494" s="24">
        <f t="shared" si="88"/>
        <v>1</v>
      </c>
      <c r="J494" s="680"/>
      <c r="K494" s="24">
        <f t="shared" si="89"/>
        <v>1</v>
      </c>
      <c r="L494" s="680"/>
      <c r="M494" s="24">
        <f t="shared" si="90"/>
        <v>1</v>
      </c>
      <c r="N494" s="680"/>
      <c r="O494" s="24">
        <f t="shared" si="91"/>
        <v>1</v>
      </c>
      <c r="P494" s="680"/>
      <c r="Q494" s="24">
        <f t="shared" si="92"/>
        <v>1</v>
      </c>
      <c r="R494" s="676">
        <f t="shared" si="93"/>
        <v>0</v>
      </c>
      <c r="S494" s="326">
        <f t="shared" si="84"/>
        <v>0</v>
      </c>
    </row>
    <row r="495" spans="1:19">
      <c r="A495" s="159"/>
      <c r="B495" s="59"/>
      <c r="C495" s="24">
        <f t="shared" si="85"/>
        <v>1</v>
      </c>
      <c r="D495" s="680"/>
      <c r="E495" s="24">
        <f t="shared" si="86"/>
        <v>1</v>
      </c>
      <c r="F495" s="680"/>
      <c r="G495" s="24">
        <f t="shared" si="87"/>
        <v>1</v>
      </c>
      <c r="H495" s="680"/>
      <c r="I495" s="24">
        <f t="shared" si="88"/>
        <v>1</v>
      </c>
      <c r="J495" s="680"/>
      <c r="K495" s="24">
        <f t="shared" si="89"/>
        <v>1</v>
      </c>
      <c r="L495" s="680"/>
      <c r="M495" s="24">
        <f t="shared" si="90"/>
        <v>1</v>
      </c>
      <c r="N495" s="680"/>
      <c r="O495" s="24">
        <f t="shared" si="91"/>
        <v>1</v>
      </c>
      <c r="P495" s="680"/>
      <c r="Q495" s="24">
        <f t="shared" si="92"/>
        <v>1</v>
      </c>
      <c r="R495" s="676">
        <f t="shared" si="93"/>
        <v>0</v>
      </c>
      <c r="S495" s="326">
        <f t="shared" si="84"/>
        <v>0</v>
      </c>
    </row>
    <row r="496" spans="1:19">
      <c r="A496" s="159"/>
      <c r="B496" s="59"/>
      <c r="C496" s="24">
        <f t="shared" si="85"/>
        <v>1</v>
      </c>
      <c r="D496" s="680"/>
      <c r="E496" s="24">
        <f t="shared" si="86"/>
        <v>1</v>
      </c>
      <c r="F496" s="680"/>
      <c r="G496" s="24">
        <f t="shared" si="87"/>
        <v>1</v>
      </c>
      <c r="H496" s="680"/>
      <c r="I496" s="24">
        <f t="shared" si="88"/>
        <v>1</v>
      </c>
      <c r="J496" s="680"/>
      <c r="K496" s="24">
        <f t="shared" si="89"/>
        <v>1</v>
      </c>
      <c r="L496" s="680"/>
      <c r="M496" s="24">
        <f t="shared" si="90"/>
        <v>1</v>
      </c>
      <c r="N496" s="680"/>
      <c r="O496" s="24">
        <f t="shared" si="91"/>
        <v>1</v>
      </c>
      <c r="P496" s="680"/>
      <c r="Q496" s="24">
        <f t="shared" si="92"/>
        <v>1</v>
      </c>
      <c r="R496" s="676">
        <f t="shared" si="93"/>
        <v>0</v>
      </c>
      <c r="S496" s="326">
        <f t="shared" si="84"/>
        <v>0</v>
      </c>
    </row>
    <row r="497" spans="1:19">
      <c r="A497" s="159"/>
      <c r="B497" s="59"/>
      <c r="C497" s="24">
        <f t="shared" si="85"/>
        <v>1</v>
      </c>
      <c r="D497" s="680"/>
      <c r="E497" s="24">
        <f t="shared" si="86"/>
        <v>1</v>
      </c>
      <c r="F497" s="680"/>
      <c r="G497" s="24">
        <f t="shared" si="87"/>
        <v>1</v>
      </c>
      <c r="H497" s="680"/>
      <c r="I497" s="24">
        <f t="shared" si="88"/>
        <v>1</v>
      </c>
      <c r="J497" s="680"/>
      <c r="K497" s="24">
        <f t="shared" si="89"/>
        <v>1</v>
      </c>
      <c r="L497" s="680"/>
      <c r="M497" s="24">
        <f t="shared" si="90"/>
        <v>1</v>
      </c>
      <c r="N497" s="680"/>
      <c r="O497" s="24">
        <f t="shared" si="91"/>
        <v>1</v>
      </c>
      <c r="P497" s="680"/>
      <c r="Q497" s="24">
        <f t="shared" si="92"/>
        <v>1</v>
      </c>
      <c r="R497" s="676">
        <f t="shared" si="93"/>
        <v>0</v>
      </c>
      <c r="S497" s="326">
        <f t="shared" si="84"/>
        <v>0</v>
      </c>
    </row>
    <row r="498" spans="1:19">
      <c r="A498" s="159"/>
      <c r="B498" s="59"/>
      <c r="C498" s="24">
        <f t="shared" si="85"/>
        <v>1</v>
      </c>
      <c r="D498" s="680"/>
      <c r="E498" s="24">
        <f t="shared" si="86"/>
        <v>1</v>
      </c>
      <c r="F498" s="680"/>
      <c r="G498" s="24">
        <f t="shared" si="87"/>
        <v>1</v>
      </c>
      <c r="H498" s="680"/>
      <c r="I498" s="24">
        <f t="shared" si="88"/>
        <v>1</v>
      </c>
      <c r="J498" s="680"/>
      <c r="K498" s="24">
        <f t="shared" si="89"/>
        <v>1</v>
      </c>
      <c r="L498" s="680"/>
      <c r="M498" s="24">
        <f t="shared" si="90"/>
        <v>1</v>
      </c>
      <c r="N498" s="680"/>
      <c r="O498" s="24">
        <f t="shared" si="91"/>
        <v>1</v>
      </c>
      <c r="P498" s="680"/>
      <c r="Q498" s="24">
        <f t="shared" si="92"/>
        <v>1</v>
      </c>
      <c r="R498" s="676">
        <f t="shared" si="93"/>
        <v>0</v>
      </c>
      <c r="S498" s="326">
        <f t="shared" ref="S498:S524" si="94">ROUND(R498*B498/10000,0)</f>
        <v>0</v>
      </c>
    </row>
    <row r="499" spans="1:19">
      <c r="A499" s="159"/>
      <c r="B499" s="59"/>
      <c r="C499" s="24">
        <f t="shared" si="85"/>
        <v>1</v>
      </c>
      <c r="D499" s="680"/>
      <c r="E499" s="24">
        <f t="shared" si="86"/>
        <v>1</v>
      </c>
      <c r="F499" s="680"/>
      <c r="G499" s="24">
        <f t="shared" si="87"/>
        <v>1</v>
      </c>
      <c r="H499" s="680"/>
      <c r="I499" s="24">
        <f t="shared" si="88"/>
        <v>1</v>
      </c>
      <c r="J499" s="680"/>
      <c r="K499" s="24">
        <f t="shared" si="89"/>
        <v>1</v>
      </c>
      <c r="L499" s="680"/>
      <c r="M499" s="24">
        <f t="shared" si="90"/>
        <v>1</v>
      </c>
      <c r="N499" s="680"/>
      <c r="O499" s="24">
        <f t="shared" si="91"/>
        <v>1</v>
      </c>
      <c r="P499" s="680"/>
      <c r="Q499" s="24">
        <f t="shared" si="92"/>
        <v>1</v>
      </c>
      <c r="R499" s="676">
        <f t="shared" si="93"/>
        <v>0</v>
      </c>
      <c r="S499" s="326">
        <f t="shared" si="94"/>
        <v>0</v>
      </c>
    </row>
    <row r="500" spans="1:19">
      <c r="A500" s="159"/>
      <c r="B500" s="59"/>
      <c r="C500" s="24">
        <f t="shared" si="85"/>
        <v>1</v>
      </c>
      <c r="D500" s="680"/>
      <c r="E500" s="24">
        <f t="shared" si="86"/>
        <v>1</v>
      </c>
      <c r="F500" s="680"/>
      <c r="G500" s="24">
        <f t="shared" si="87"/>
        <v>1</v>
      </c>
      <c r="H500" s="680"/>
      <c r="I500" s="24">
        <f t="shared" si="88"/>
        <v>1</v>
      </c>
      <c r="J500" s="680"/>
      <c r="K500" s="24">
        <f t="shared" si="89"/>
        <v>1</v>
      </c>
      <c r="L500" s="680"/>
      <c r="M500" s="24">
        <f t="shared" si="90"/>
        <v>1</v>
      </c>
      <c r="N500" s="680"/>
      <c r="O500" s="24">
        <f t="shared" si="91"/>
        <v>1</v>
      </c>
      <c r="P500" s="680"/>
      <c r="Q500" s="24">
        <f t="shared" si="92"/>
        <v>1</v>
      </c>
      <c r="R500" s="676">
        <f t="shared" si="93"/>
        <v>0</v>
      </c>
      <c r="S500" s="326">
        <f t="shared" si="94"/>
        <v>0</v>
      </c>
    </row>
    <row r="501" spans="1:19">
      <c r="A501" s="159"/>
      <c r="B501" s="59"/>
      <c r="C501" s="24">
        <f t="shared" si="85"/>
        <v>1</v>
      </c>
      <c r="D501" s="680"/>
      <c r="E501" s="24">
        <f t="shared" si="86"/>
        <v>1</v>
      </c>
      <c r="F501" s="680"/>
      <c r="G501" s="24">
        <f t="shared" si="87"/>
        <v>1</v>
      </c>
      <c r="H501" s="680"/>
      <c r="I501" s="24">
        <f t="shared" si="88"/>
        <v>1</v>
      </c>
      <c r="J501" s="680"/>
      <c r="K501" s="24">
        <f t="shared" si="89"/>
        <v>1</v>
      </c>
      <c r="L501" s="680"/>
      <c r="M501" s="24">
        <f t="shared" si="90"/>
        <v>1</v>
      </c>
      <c r="N501" s="680"/>
      <c r="O501" s="24">
        <f t="shared" si="91"/>
        <v>1</v>
      </c>
      <c r="P501" s="680"/>
      <c r="Q501" s="24">
        <f t="shared" si="92"/>
        <v>1</v>
      </c>
      <c r="R501" s="676">
        <f t="shared" si="93"/>
        <v>0</v>
      </c>
      <c r="S501" s="326">
        <f t="shared" si="94"/>
        <v>0</v>
      </c>
    </row>
    <row r="502" spans="1:19">
      <c r="A502" s="159"/>
      <c r="B502" s="59"/>
      <c r="C502" s="24">
        <f t="shared" si="85"/>
        <v>1</v>
      </c>
      <c r="D502" s="680"/>
      <c r="E502" s="24">
        <f t="shared" si="86"/>
        <v>1</v>
      </c>
      <c r="F502" s="680"/>
      <c r="G502" s="24">
        <f t="shared" si="87"/>
        <v>1</v>
      </c>
      <c r="H502" s="680"/>
      <c r="I502" s="24">
        <f t="shared" si="88"/>
        <v>1</v>
      </c>
      <c r="J502" s="680"/>
      <c r="K502" s="24">
        <f t="shared" si="89"/>
        <v>1</v>
      </c>
      <c r="L502" s="680"/>
      <c r="M502" s="24">
        <f t="shared" si="90"/>
        <v>1</v>
      </c>
      <c r="N502" s="680"/>
      <c r="O502" s="24">
        <f t="shared" si="91"/>
        <v>1</v>
      </c>
      <c r="P502" s="680"/>
      <c r="Q502" s="24">
        <f t="shared" si="92"/>
        <v>1</v>
      </c>
      <c r="R502" s="676">
        <f t="shared" si="93"/>
        <v>0</v>
      </c>
      <c r="S502" s="326">
        <f t="shared" si="94"/>
        <v>0</v>
      </c>
    </row>
    <row r="503" spans="1:19">
      <c r="A503" s="159"/>
      <c r="B503" s="59"/>
      <c r="C503" s="24">
        <f t="shared" si="85"/>
        <v>1</v>
      </c>
      <c r="D503" s="680"/>
      <c r="E503" s="24">
        <f t="shared" si="86"/>
        <v>1</v>
      </c>
      <c r="F503" s="680"/>
      <c r="G503" s="24">
        <f t="shared" si="87"/>
        <v>1</v>
      </c>
      <c r="H503" s="680"/>
      <c r="I503" s="24">
        <f t="shared" si="88"/>
        <v>1</v>
      </c>
      <c r="J503" s="680"/>
      <c r="K503" s="24">
        <f t="shared" si="89"/>
        <v>1</v>
      </c>
      <c r="L503" s="680"/>
      <c r="M503" s="24">
        <f t="shared" si="90"/>
        <v>1</v>
      </c>
      <c r="N503" s="680"/>
      <c r="O503" s="24">
        <f t="shared" si="91"/>
        <v>1</v>
      </c>
      <c r="P503" s="680"/>
      <c r="Q503" s="24">
        <f t="shared" si="92"/>
        <v>1</v>
      </c>
      <c r="R503" s="676">
        <f t="shared" si="93"/>
        <v>0</v>
      </c>
      <c r="S503" s="326">
        <f t="shared" si="94"/>
        <v>0</v>
      </c>
    </row>
    <row r="504" spans="1:19">
      <c r="A504" s="159"/>
      <c r="B504" s="59"/>
      <c r="C504" s="24">
        <f t="shared" si="85"/>
        <v>1</v>
      </c>
      <c r="D504" s="680"/>
      <c r="E504" s="24">
        <f t="shared" si="86"/>
        <v>1</v>
      </c>
      <c r="F504" s="680"/>
      <c r="G504" s="24">
        <f t="shared" si="87"/>
        <v>1</v>
      </c>
      <c r="H504" s="680"/>
      <c r="I504" s="24">
        <f t="shared" si="88"/>
        <v>1</v>
      </c>
      <c r="J504" s="680"/>
      <c r="K504" s="24">
        <f t="shared" si="89"/>
        <v>1</v>
      </c>
      <c r="L504" s="680"/>
      <c r="M504" s="24">
        <f t="shared" si="90"/>
        <v>1</v>
      </c>
      <c r="N504" s="680"/>
      <c r="O504" s="24">
        <f t="shared" si="91"/>
        <v>1</v>
      </c>
      <c r="P504" s="680"/>
      <c r="Q504" s="24">
        <f t="shared" si="92"/>
        <v>1</v>
      </c>
      <c r="R504" s="676">
        <f t="shared" si="93"/>
        <v>0</v>
      </c>
      <c r="S504" s="326">
        <f t="shared" si="94"/>
        <v>0</v>
      </c>
    </row>
    <row r="505" spans="1:19">
      <c r="A505" s="159"/>
      <c r="B505" s="59"/>
      <c r="C505" s="24">
        <f t="shared" si="85"/>
        <v>1</v>
      </c>
      <c r="D505" s="680"/>
      <c r="E505" s="24">
        <f t="shared" si="86"/>
        <v>1</v>
      </c>
      <c r="F505" s="680"/>
      <c r="G505" s="24">
        <f t="shared" si="87"/>
        <v>1</v>
      </c>
      <c r="H505" s="680"/>
      <c r="I505" s="24">
        <f t="shared" si="88"/>
        <v>1</v>
      </c>
      <c r="J505" s="680"/>
      <c r="K505" s="24">
        <f t="shared" si="89"/>
        <v>1</v>
      </c>
      <c r="L505" s="680"/>
      <c r="M505" s="24">
        <f t="shared" si="90"/>
        <v>1</v>
      </c>
      <c r="N505" s="680"/>
      <c r="O505" s="24">
        <f t="shared" si="91"/>
        <v>1</v>
      </c>
      <c r="P505" s="680"/>
      <c r="Q505" s="24">
        <f t="shared" si="92"/>
        <v>1</v>
      </c>
      <c r="R505" s="676">
        <f t="shared" si="93"/>
        <v>0</v>
      </c>
      <c r="S505" s="326">
        <f t="shared" si="94"/>
        <v>0</v>
      </c>
    </row>
    <row r="506" spans="1:19">
      <c r="A506" s="159"/>
      <c r="B506" s="59"/>
      <c r="C506" s="24">
        <f t="shared" si="85"/>
        <v>1</v>
      </c>
      <c r="D506" s="680"/>
      <c r="E506" s="24">
        <f t="shared" si="86"/>
        <v>1</v>
      </c>
      <c r="F506" s="680"/>
      <c r="G506" s="24">
        <f t="shared" si="87"/>
        <v>1</v>
      </c>
      <c r="H506" s="680"/>
      <c r="I506" s="24">
        <f t="shared" si="88"/>
        <v>1</v>
      </c>
      <c r="J506" s="680"/>
      <c r="K506" s="24">
        <f t="shared" si="89"/>
        <v>1</v>
      </c>
      <c r="L506" s="680"/>
      <c r="M506" s="24">
        <f t="shared" si="90"/>
        <v>1</v>
      </c>
      <c r="N506" s="680"/>
      <c r="O506" s="24">
        <f t="shared" si="91"/>
        <v>1</v>
      </c>
      <c r="P506" s="680"/>
      <c r="Q506" s="24">
        <f t="shared" si="92"/>
        <v>1</v>
      </c>
      <c r="R506" s="676">
        <f t="shared" si="93"/>
        <v>0</v>
      </c>
      <c r="S506" s="326">
        <f t="shared" si="94"/>
        <v>0</v>
      </c>
    </row>
    <row r="507" spans="1:19">
      <c r="A507" s="159"/>
      <c r="B507" s="59"/>
      <c r="C507" s="24">
        <f t="shared" si="85"/>
        <v>1</v>
      </c>
      <c r="D507" s="680"/>
      <c r="E507" s="24">
        <f t="shared" si="86"/>
        <v>1</v>
      </c>
      <c r="F507" s="680"/>
      <c r="G507" s="24">
        <f t="shared" si="87"/>
        <v>1</v>
      </c>
      <c r="H507" s="680"/>
      <c r="I507" s="24">
        <f t="shared" si="88"/>
        <v>1</v>
      </c>
      <c r="J507" s="680"/>
      <c r="K507" s="24">
        <f t="shared" si="89"/>
        <v>1</v>
      </c>
      <c r="L507" s="680"/>
      <c r="M507" s="24">
        <f t="shared" si="90"/>
        <v>1</v>
      </c>
      <c r="N507" s="680"/>
      <c r="O507" s="24">
        <f t="shared" si="91"/>
        <v>1</v>
      </c>
      <c r="P507" s="680"/>
      <c r="Q507" s="24">
        <f t="shared" si="92"/>
        <v>1</v>
      </c>
      <c r="R507" s="676">
        <f t="shared" si="93"/>
        <v>0</v>
      </c>
      <c r="S507" s="326">
        <f t="shared" si="94"/>
        <v>0</v>
      </c>
    </row>
    <row r="508" spans="1:19">
      <c r="A508" s="159"/>
      <c r="B508" s="59"/>
      <c r="C508" s="24">
        <f t="shared" si="85"/>
        <v>1</v>
      </c>
      <c r="D508" s="680"/>
      <c r="E508" s="24">
        <f t="shared" si="86"/>
        <v>1</v>
      </c>
      <c r="F508" s="680"/>
      <c r="G508" s="24">
        <f t="shared" si="87"/>
        <v>1</v>
      </c>
      <c r="H508" s="680"/>
      <c r="I508" s="24">
        <f t="shared" si="88"/>
        <v>1</v>
      </c>
      <c r="J508" s="680"/>
      <c r="K508" s="24">
        <f t="shared" si="89"/>
        <v>1</v>
      </c>
      <c r="L508" s="680"/>
      <c r="M508" s="24">
        <f t="shared" si="90"/>
        <v>1</v>
      </c>
      <c r="N508" s="680"/>
      <c r="O508" s="24">
        <f t="shared" si="91"/>
        <v>1</v>
      </c>
      <c r="P508" s="680"/>
      <c r="Q508" s="24">
        <f t="shared" si="92"/>
        <v>1</v>
      </c>
      <c r="R508" s="676">
        <f t="shared" si="93"/>
        <v>0</v>
      </c>
      <c r="S508" s="326">
        <f t="shared" si="94"/>
        <v>0</v>
      </c>
    </row>
    <row r="509" spans="1:19">
      <c r="A509" s="159"/>
      <c r="B509" s="59"/>
      <c r="C509" s="24">
        <f t="shared" si="85"/>
        <v>1</v>
      </c>
      <c r="D509" s="680"/>
      <c r="E509" s="24">
        <f t="shared" si="86"/>
        <v>1</v>
      </c>
      <c r="F509" s="680"/>
      <c r="G509" s="24">
        <f t="shared" si="87"/>
        <v>1</v>
      </c>
      <c r="H509" s="680"/>
      <c r="I509" s="24">
        <f t="shared" si="88"/>
        <v>1</v>
      </c>
      <c r="J509" s="680"/>
      <c r="K509" s="24">
        <f t="shared" si="89"/>
        <v>1</v>
      </c>
      <c r="L509" s="680"/>
      <c r="M509" s="24">
        <f t="shared" si="90"/>
        <v>1</v>
      </c>
      <c r="N509" s="680"/>
      <c r="O509" s="24">
        <f t="shared" si="91"/>
        <v>1</v>
      </c>
      <c r="P509" s="680"/>
      <c r="Q509" s="24">
        <f t="shared" si="92"/>
        <v>1</v>
      </c>
      <c r="R509" s="676">
        <f t="shared" si="93"/>
        <v>0</v>
      </c>
      <c r="S509" s="326">
        <f t="shared" si="94"/>
        <v>0</v>
      </c>
    </row>
    <row r="510" spans="1:19">
      <c r="A510" s="159"/>
      <c r="B510" s="59"/>
      <c r="C510" s="24">
        <f t="shared" si="85"/>
        <v>1</v>
      </c>
      <c r="D510" s="680"/>
      <c r="E510" s="24">
        <f t="shared" si="86"/>
        <v>1</v>
      </c>
      <c r="F510" s="680"/>
      <c r="G510" s="24">
        <f t="shared" si="87"/>
        <v>1</v>
      </c>
      <c r="H510" s="680"/>
      <c r="I510" s="24">
        <f t="shared" si="88"/>
        <v>1</v>
      </c>
      <c r="J510" s="680"/>
      <c r="K510" s="24">
        <f t="shared" si="89"/>
        <v>1</v>
      </c>
      <c r="L510" s="680"/>
      <c r="M510" s="24">
        <f t="shared" si="90"/>
        <v>1</v>
      </c>
      <c r="N510" s="680"/>
      <c r="O510" s="24">
        <f t="shared" si="91"/>
        <v>1</v>
      </c>
      <c r="P510" s="680"/>
      <c r="Q510" s="24">
        <f t="shared" si="92"/>
        <v>1</v>
      </c>
      <c r="R510" s="676">
        <f t="shared" si="93"/>
        <v>0</v>
      </c>
      <c r="S510" s="326">
        <f t="shared" si="94"/>
        <v>0</v>
      </c>
    </row>
    <row r="511" spans="1:19">
      <c r="A511" s="159"/>
      <c r="B511" s="59"/>
      <c r="C511" s="24">
        <f t="shared" si="85"/>
        <v>1</v>
      </c>
      <c r="D511" s="680"/>
      <c r="E511" s="24">
        <f t="shared" si="86"/>
        <v>1</v>
      </c>
      <c r="F511" s="680"/>
      <c r="G511" s="24">
        <f t="shared" si="87"/>
        <v>1</v>
      </c>
      <c r="H511" s="680"/>
      <c r="I511" s="24">
        <f t="shared" si="88"/>
        <v>1</v>
      </c>
      <c r="J511" s="680"/>
      <c r="K511" s="24">
        <f t="shared" si="89"/>
        <v>1</v>
      </c>
      <c r="L511" s="680"/>
      <c r="M511" s="24">
        <f t="shared" si="90"/>
        <v>1</v>
      </c>
      <c r="N511" s="680"/>
      <c r="O511" s="24">
        <f t="shared" si="91"/>
        <v>1</v>
      </c>
      <c r="P511" s="680"/>
      <c r="Q511" s="24">
        <f t="shared" si="92"/>
        <v>1</v>
      </c>
      <c r="R511" s="676">
        <f t="shared" si="93"/>
        <v>0</v>
      </c>
      <c r="S511" s="326">
        <f t="shared" si="94"/>
        <v>0</v>
      </c>
    </row>
    <row r="512" spans="1:19">
      <c r="A512" s="159"/>
      <c r="B512" s="59"/>
      <c r="C512" s="24">
        <f t="shared" si="85"/>
        <v>1</v>
      </c>
      <c r="D512" s="680"/>
      <c r="E512" s="24">
        <f t="shared" si="86"/>
        <v>1</v>
      </c>
      <c r="F512" s="680"/>
      <c r="G512" s="24">
        <f t="shared" si="87"/>
        <v>1</v>
      </c>
      <c r="H512" s="680"/>
      <c r="I512" s="24">
        <f t="shared" si="88"/>
        <v>1</v>
      </c>
      <c r="J512" s="680"/>
      <c r="K512" s="24">
        <f t="shared" si="89"/>
        <v>1</v>
      </c>
      <c r="L512" s="680"/>
      <c r="M512" s="24">
        <f t="shared" si="90"/>
        <v>1</v>
      </c>
      <c r="N512" s="680"/>
      <c r="O512" s="24">
        <f t="shared" si="91"/>
        <v>1</v>
      </c>
      <c r="P512" s="680"/>
      <c r="Q512" s="24">
        <f t="shared" si="92"/>
        <v>1</v>
      </c>
      <c r="R512" s="676">
        <f t="shared" si="93"/>
        <v>0</v>
      </c>
      <c r="S512" s="326">
        <f t="shared" si="94"/>
        <v>0</v>
      </c>
    </row>
    <row r="513" spans="1:19">
      <c r="A513" s="159"/>
      <c r="B513" s="59"/>
      <c r="C513" s="24">
        <f t="shared" si="85"/>
        <v>1</v>
      </c>
      <c r="D513" s="680"/>
      <c r="E513" s="24">
        <f t="shared" si="86"/>
        <v>1</v>
      </c>
      <c r="F513" s="680"/>
      <c r="G513" s="24">
        <f t="shared" si="87"/>
        <v>1</v>
      </c>
      <c r="H513" s="680"/>
      <c r="I513" s="24">
        <f t="shared" si="88"/>
        <v>1</v>
      </c>
      <c r="J513" s="680"/>
      <c r="K513" s="24">
        <f t="shared" si="89"/>
        <v>1</v>
      </c>
      <c r="L513" s="680"/>
      <c r="M513" s="24">
        <f t="shared" si="90"/>
        <v>1</v>
      </c>
      <c r="N513" s="680"/>
      <c r="O513" s="24">
        <f t="shared" si="91"/>
        <v>1</v>
      </c>
      <c r="P513" s="680"/>
      <c r="Q513" s="24">
        <f t="shared" si="92"/>
        <v>1</v>
      </c>
      <c r="R513" s="676">
        <f t="shared" si="93"/>
        <v>0</v>
      </c>
      <c r="S513" s="326">
        <f t="shared" si="94"/>
        <v>0</v>
      </c>
    </row>
    <row r="514" spans="1:19">
      <c r="A514" s="159"/>
      <c r="B514" s="59"/>
      <c r="C514" s="24">
        <f t="shared" si="85"/>
        <v>1</v>
      </c>
      <c r="D514" s="680"/>
      <c r="E514" s="24">
        <f t="shared" si="86"/>
        <v>1</v>
      </c>
      <c r="F514" s="680"/>
      <c r="G514" s="24">
        <f t="shared" si="87"/>
        <v>1</v>
      </c>
      <c r="H514" s="680"/>
      <c r="I514" s="24">
        <f t="shared" si="88"/>
        <v>1</v>
      </c>
      <c r="J514" s="680"/>
      <c r="K514" s="24">
        <f t="shared" si="89"/>
        <v>1</v>
      </c>
      <c r="L514" s="680"/>
      <c r="M514" s="24">
        <f t="shared" si="90"/>
        <v>1</v>
      </c>
      <c r="N514" s="680"/>
      <c r="O514" s="24">
        <f t="shared" si="91"/>
        <v>1</v>
      </c>
      <c r="P514" s="680"/>
      <c r="Q514" s="24">
        <f t="shared" si="92"/>
        <v>1</v>
      </c>
      <c r="R514" s="676">
        <f t="shared" si="93"/>
        <v>0</v>
      </c>
      <c r="S514" s="326">
        <f t="shared" si="94"/>
        <v>0</v>
      </c>
    </row>
    <row r="515" spans="1:19">
      <c r="A515" s="159"/>
      <c r="B515" s="59"/>
      <c r="C515" s="24">
        <f t="shared" si="85"/>
        <v>1</v>
      </c>
      <c r="D515" s="680"/>
      <c r="E515" s="24">
        <f t="shared" si="86"/>
        <v>1</v>
      </c>
      <c r="F515" s="680"/>
      <c r="G515" s="24">
        <f t="shared" si="87"/>
        <v>1</v>
      </c>
      <c r="H515" s="680"/>
      <c r="I515" s="24">
        <f t="shared" si="88"/>
        <v>1</v>
      </c>
      <c r="J515" s="680"/>
      <c r="K515" s="24">
        <f t="shared" si="89"/>
        <v>1</v>
      </c>
      <c r="L515" s="680"/>
      <c r="M515" s="24">
        <f t="shared" si="90"/>
        <v>1</v>
      </c>
      <c r="N515" s="680"/>
      <c r="O515" s="24">
        <f t="shared" si="91"/>
        <v>1</v>
      </c>
      <c r="P515" s="680"/>
      <c r="Q515" s="24">
        <f t="shared" si="92"/>
        <v>1</v>
      </c>
      <c r="R515" s="676">
        <f t="shared" si="93"/>
        <v>0</v>
      </c>
      <c r="S515" s="326">
        <f t="shared" si="94"/>
        <v>0</v>
      </c>
    </row>
    <row r="516" spans="1:19">
      <c r="A516" s="159"/>
      <c r="B516" s="59"/>
      <c r="C516" s="24">
        <f t="shared" si="85"/>
        <v>1</v>
      </c>
      <c r="D516" s="680"/>
      <c r="E516" s="24">
        <f t="shared" si="86"/>
        <v>1</v>
      </c>
      <c r="F516" s="680"/>
      <c r="G516" s="24">
        <f t="shared" si="87"/>
        <v>1</v>
      </c>
      <c r="H516" s="680"/>
      <c r="I516" s="24">
        <f t="shared" si="88"/>
        <v>1</v>
      </c>
      <c r="J516" s="680"/>
      <c r="K516" s="24">
        <f t="shared" si="89"/>
        <v>1</v>
      </c>
      <c r="L516" s="680"/>
      <c r="M516" s="24">
        <f t="shared" si="90"/>
        <v>1</v>
      </c>
      <c r="N516" s="680"/>
      <c r="O516" s="24">
        <f t="shared" si="91"/>
        <v>1</v>
      </c>
      <c r="P516" s="680"/>
      <c r="Q516" s="24">
        <f t="shared" si="92"/>
        <v>1</v>
      </c>
      <c r="R516" s="676">
        <f t="shared" si="93"/>
        <v>0</v>
      </c>
      <c r="S516" s="326">
        <f t="shared" si="94"/>
        <v>0</v>
      </c>
    </row>
    <row r="517" spans="1:19">
      <c r="A517" s="159"/>
      <c r="B517" s="59"/>
      <c r="C517" s="24">
        <f t="shared" si="85"/>
        <v>1</v>
      </c>
      <c r="D517" s="680"/>
      <c r="E517" s="24">
        <f t="shared" si="86"/>
        <v>1</v>
      </c>
      <c r="F517" s="680"/>
      <c r="G517" s="24">
        <f t="shared" si="87"/>
        <v>1</v>
      </c>
      <c r="H517" s="680"/>
      <c r="I517" s="24">
        <f t="shared" si="88"/>
        <v>1</v>
      </c>
      <c r="J517" s="680"/>
      <c r="K517" s="24">
        <f t="shared" si="89"/>
        <v>1</v>
      </c>
      <c r="L517" s="680"/>
      <c r="M517" s="24">
        <f t="shared" si="90"/>
        <v>1</v>
      </c>
      <c r="N517" s="680"/>
      <c r="O517" s="24">
        <f t="shared" si="91"/>
        <v>1</v>
      </c>
      <c r="P517" s="680"/>
      <c r="Q517" s="24">
        <f t="shared" si="92"/>
        <v>1</v>
      </c>
      <c r="R517" s="676">
        <f t="shared" si="93"/>
        <v>0</v>
      </c>
      <c r="S517" s="326">
        <f t="shared" si="94"/>
        <v>0</v>
      </c>
    </row>
    <row r="518" spans="1:19">
      <c r="A518" s="159"/>
      <c r="B518" s="59"/>
      <c r="C518" s="24">
        <f t="shared" si="85"/>
        <v>1</v>
      </c>
      <c r="D518" s="680"/>
      <c r="E518" s="24">
        <f t="shared" si="86"/>
        <v>1</v>
      </c>
      <c r="F518" s="680"/>
      <c r="G518" s="24">
        <f t="shared" si="87"/>
        <v>1</v>
      </c>
      <c r="H518" s="680"/>
      <c r="I518" s="24">
        <f t="shared" si="88"/>
        <v>1</v>
      </c>
      <c r="J518" s="680"/>
      <c r="K518" s="24">
        <f t="shared" si="89"/>
        <v>1</v>
      </c>
      <c r="L518" s="680"/>
      <c r="M518" s="24">
        <f t="shared" si="90"/>
        <v>1</v>
      </c>
      <c r="N518" s="680"/>
      <c r="O518" s="24">
        <f t="shared" si="91"/>
        <v>1</v>
      </c>
      <c r="P518" s="680"/>
      <c r="Q518" s="24">
        <f t="shared" si="92"/>
        <v>1</v>
      </c>
      <c r="R518" s="676">
        <f t="shared" si="93"/>
        <v>0</v>
      </c>
      <c r="S518" s="326">
        <f t="shared" si="94"/>
        <v>0</v>
      </c>
    </row>
    <row r="519" spans="1:19">
      <c r="A519" s="159"/>
      <c r="B519" s="59"/>
      <c r="C519" s="24">
        <f t="shared" si="85"/>
        <v>1</v>
      </c>
      <c r="D519" s="680"/>
      <c r="E519" s="24">
        <f t="shared" si="86"/>
        <v>1</v>
      </c>
      <c r="F519" s="680"/>
      <c r="G519" s="24">
        <f t="shared" si="87"/>
        <v>1</v>
      </c>
      <c r="H519" s="680"/>
      <c r="I519" s="24">
        <f t="shared" si="88"/>
        <v>1</v>
      </c>
      <c r="J519" s="680"/>
      <c r="K519" s="24">
        <f t="shared" si="89"/>
        <v>1</v>
      </c>
      <c r="L519" s="680"/>
      <c r="M519" s="24">
        <f t="shared" si="90"/>
        <v>1</v>
      </c>
      <c r="N519" s="680"/>
      <c r="O519" s="24">
        <f t="shared" si="91"/>
        <v>1</v>
      </c>
      <c r="P519" s="680"/>
      <c r="Q519" s="24">
        <f t="shared" si="92"/>
        <v>1</v>
      </c>
      <c r="R519" s="676">
        <f t="shared" si="93"/>
        <v>0</v>
      </c>
      <c r="S519" s="326">
        <f t="shared" si="94"/>
        <v>0</v>
      </c>
    </row>
    <row r="520" spans="1:19">
      <c r="A520" s="159"/>
      <c r="B520" s="59"/>
      <c r="C520" s="24">
        <f t="shared" si="85"/>
        <v>1</v>
      </c>
      <c r="D520" s="680"/>
      <c r="E520" s="24">
        <f t="shared" si="86"/>
        <v>1</v>
      </c>
      <c r="F520" s="680"/>
      <c r="G520" s="24">
        <f t="shared" si="87"/>
        <v>1</v>
      </c>
      <c r="H520" s="680"/>
      <c r="I520" s="24">
        <f t="shared" si="88"/>
        <v>1</v>
      </c>
      <c r="J520" s="680"/>
      <c r="K520" s="24">
        <f t="shared" si="89"/>
        <v>1</v>
      </c>
      <c r="L520" s="680"/>
      <c r="M520" s="24">
        <f t="shared" si="90"/>
        <v>1</v>
      </c>
      <c r="N520" s="680"/>
      <c r="O520" s="24">
        <f t="shared" si="91"/>
        <v>1</v>
      </c>
      <c r="P520" s="680"/>
      <c r="Q520" s="24">
        <f t="shared" si="92"/>
        <v>1</v>
      </c>
      <c r="R520" s="676">
        <f t="shared" si="93"/>
        <v>0</v>
      </c>
      <c r="S520" s="326">
        <f t="shared" si="94"/>
        <v>0</v>
      </c>
    </row>
    <row r="521" spans="1:19">
      <c r="A521" s="159"/>
      <c r="B521" s="59"/>
      <c r="C521" s="24">
        <f t="shared" si="85"/>
        <v>1</v>
      </c>
      <c r="D521" s="680"/>
      <c r="E521" s="24">
        <f t="shared" si="86"/>
        <v>1</v>
      </c>
      <c r="F521" s="680"/>
      <c r="G521" s="24">
        <f t="shared" si="87"/>
        <v>1</v>
      </c>
      <c r="H521" s="680"/>
      <c r="I521" s="24">
        <f t="shared" si="88"/>
        <v>1</v>
      </c>
      <c r="J521" s="680"/>
      <c r="K521" s="24">
        <f t="shared" si="89"/>
        <v>1</v>
      </c>
      <c r="L521" s="680"/>
      <c r="M521" s="24">
        <f t="shared" si="90"/>
        <v>1</v>
      </c>
      <c r="N521" s="680"/>
      <c r="O521" s="24">
        <f t="shared" si="91"/>
        <v>1</v>
      </c>
      <c r="P521" s="680"/>
      <c r="Q521" s="24">
        <f t="shared" si="92"/>
        <v>1</v>
      </c>
      <c r="R521" s="676">
        <f t="shared" si="93"/>
        <v>0</v>
      </c>
      <c r="S521" s="326">
        <f t="shared" si="94"/>
        <v>0</v>
      </c>
    </row>
    <row r="522" spans="1:19">
      <c r="A522" s="159"/>
      <c r="B522" s="59"/>
      <c r="C522" s="24">
        <f t="shared" si="85"/>
        <v>1</v>
      </c>
      <c r="D522" s="680"/>
      <c r="E522" s="24">
        <f t="shared" si="86"/>
        <v>1</v>
      </c>
      <c r="F522" s="680"/>
      <c r="G522" s="24">
        <f t="shared" si="87"/>
        <v>1</v>
      </c>
      <c r="H522" s="680"/>
      <c r="I522" s="24">
        <f t="shared" si="88"/>
        <v>1</v>
      </c>
      <c r="J522" s="680"/>
      <c r="K522" s="24">
        <f t="shared" si="89"/>
        <v>1</v>
      </c>
      <c r="L522" s="680"/>
      <c r="M522" s="24">
        <f t="shared" si="90"/>
        <v>1</v>
      </c>
      <c r="N522" s="680"/>
      <c r="O522" s="24">
        <f t="shared" si="91"/>
        <v>1</v>
      </c>
      <c r="P522" s="680"/>
      <c r="Q522" s="24">
        <f t="shared" si="92"/>
        <v>1</v>
      </c>
      <c r="R522" s="676">
        <f t="shared" si="93"/>
        <v>0</v>
      </c>
      <c r="S522" s="326">
        <f t="shared" si="94"/>
        <v>0</v>
      </c>
    </row>
    <row r="523" spans="1:19">
      <c r="A523" s="159"/>
      <c r="B523" s="59"/>
      <c r="C523" s="24">
        <f t="shared" si="85"/>
        <v>1</v>
      </c>
      <c r="D523" s="680"/>
      <c r="E523" s="24">
        <f t="shared" si="86"/>
        <v>1</v>
      </c>
      <c r="F523" s="680"/>
      <c r="G523" s="24">
        <f t="shared" si="87"/>
        <v>1</v>
      </c>
      <c r="H523" s="680"/>
      <c r="I523" s="24">
        <f t="shared" si="88"/>
        <v>1</v>
      </c>
      <c r="J523" s="680"/>
      <c r="K523" s="24">
        <f t="shared" si="89"/>
        <v>1</v>
      </c>
      <c r="L523" s="680"/>
      <c r="M523" s="24">
        <f t="shared" si="90"/>
        <v>1</v>
      </c>
      <c r="N523" s="680"/>
      <c r="O523" s="24">
        <f t="shared" si="91"/>
        <v>1</v>
      </c>
      <c r="P523" s="680"/>
      <c r="Q523" s="24">
        <f t="shared" si="92"/>
        <v>1</v>
      </c>
      <c r="R523" s="676">
        <f t="shared" si="93"/>
        <v>0</v>
      </c>
      <c r="S523" s="326">
        <f t="shared" si="94"/>
        <v>0</v>
      </c>
    </row>
    <row r="524" spans="1:19">
      <c r="A524" s="159"/>
      <c r="B524" s="59"/>
      <c r="C524" s="24">
        <f t="shared" si="85"/>
        <v>1</v>
      </c>
      <c r="D524" s="680"/>
      <c r="E524" s="24">
        <f t="shared" si="86"/>
        <v>1</v>
      </c>
      <c r="F524" s="680"/>
      <c r="G524" s="24">
        <f t="shared" si="87"/>
        <v>1</v>
      </c>
      <c r="H524" s="680"/>
      <c r="I524" s="24">
        <f t="shared" si="88"/>
        <v>1</v>
      </c>
      <c r="J524" s="680"/>
      <c r="K524" s="24">
        <f t="shared" si="89"/>
        <v>1</v>
      </c>
      <c r="L524" s="680"/>
      <c r="M524" s="24">
        <f t="shared" si="90"/>
        <v>1</v>
      </c>
      <c r="N524" s="680"/>
      <c r="O524" s="24">
        <f t="shared" si="91"/>
        <v>1</v>
      </c>
      <c r="P524" s="680"/>
      <c r="Q524" s="24">
        <f t="shared" si="92"/>
        <v>1</v>
      </c>
      <c r="R524" s="676">
        <f t="shared" si="93"/>
        <v>0</v>
      </c>
      <c r="S524" s="326">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9" customWidth="1"/>
    <col min="2" max="2" width="29.21875" style="261" customWidth="1"/>
    <col min="3" max="3" width="12.109375" style="261" customWidth="1"/>
    <col min="4" max="5" width="11.21875" style="282" customWidth="1"/>
    <col min="6" max="6" width="9.44140625" style="261" customWidth="1"/>
    <col min="7" max="7" width="31.88671875" style="261" customWidth="1"/>
    <col min="8" max="254" width="9" style="261" customWidth="1"/>
    <col min="255" max="16384" width="8.33203125" style="261"/>
  </cols>
  <sheetData>
    <row r="1" spans="1:7" s="210" customFormat="1" ht="21">
      <c r="A1" s="206" t="s">
        <v>83</v>
      </c>
      <c r="B1" s="207"/>
      <c r="C1" s="208"/>
      <c r="D1" s="208"/>
      <c r="E1" s="208"/>
      <c r="F1" s="208"/>
      <c r="G1" s="209"/>
    </row>
    <row r="2" spans="1:7" s="210" customFormat="1" ht="18" customHeight="1">
      <c r="A2" s="211" t="s">
        <v>84</v>
      </c>
      <c r="B2" s="212">
        <f ca="1">C52</f>
        <v>30186</v>
      </c>
      <c r="C2" s="2" t="s">
        <v>133</v>
      </c>
      <c r="D2" s="209"/>
      <c r="E2" s="209"/>
      <c r="F2" s="209"/>
      <c r="G2" s="209"/>
    </row>
    <row r="3" spans="1:7" s="210" customFormat="1" ht="18" customHeight="1" thickBot="1">
      <c r="A3" s="213" t="s">
        <v>85</v>
      </c>
      <c r="B3" s="214">
        <f ca="1">ROUND(B2*10000/'数据-汇总表'!E3,0)</f>
        <v>34937</v>
      </c>
      <c r="C3" s="2" t="s">
        <v>134</v>
      </c>
      <c r="D3" s="209"/>
      <c r="E3" s="209"/>
      <c r="F3" s="209"/>
      <c r="G3" s="209"/>
    </row>
    <row r="4" spans="1:7" s="218" customFormat="1" ht="16.2">
      <c r="A4" s="215" t="s">
        <v>86</v>
      </c>
      <c r="B4" s="216"/>
      <c r="C4" s="216"/>
      <c r="D4" s="216"/>
      <c r="E4" s="216"/>
      <c r="F4" s="216"/>
      <c r="G4" s="217"/>
    </row>
    <row r="5" spans="1:7" s="224" customFormat="1" ht="13.5" customHeight="1">
      <c r="A5" s="265" t="s">
        <v>1022</v>
      </c>
      <c r="B5" s="220" t="s">
        <v>87</v>
      </c>
      <c r="C5" s="221">
        <f>C6+C7+C8</f>
        <v>20610</v>
      </c>
      <c r="D5" s="221" t="s">
        <v>88</v>
      </c>
      <c r="E5" s="222" t="s">
        <v>89</v>
      </c>
      <c r="F5" s="222" t="s">
        <v>90</v>
      </c>
      <c r="G5" s="223"/>
    </row>
    <row r="6" spans="1:7" s="224" customFormat="1" ht="13.5" customHeight="1">
      <c r="A6" s="890" t="s">
        <v>791</v>
      </c>
      <c r="B6" s="225" t="s">
        <v>91</v>
      </c>
      <c r="C6" s="226">
        <v>20000</v>
      </c>
      <c r="D6" s="227"/>
      <c r="E6" s="228"/>
      <c r="F6" s="228"/>
      <c r="G6" s="229"/>
    </row>
    <row r="7" spans="1:7" s="224" customFormat="1" ht="13.5" customHeight="1">
      <c r="A7" s="890" t="s">
        <v>792</v>
      </c>
      <c r="B7" s="225" t="s">
        <v>57</v>
      </c>
      <c r="C7" s="230">
        <f>ROUND(C6*F7,0)</f>
        <v>610</v>
      </c>
      <c r="D7" s="230"/>
      <c r="E7" s="228"/>
      <c r="F7" s="231">
        <f>'数据-取费表'!B48+'数据-取费表'!B49</f>
        <v>3.0499999999999999E-2</v>
      </c>
      <c r="G7" s="229"/>
    </row>
    <row r="8" spans="1:7" s="233" customFormat="1">
      <c r="A8" s="890" t="s">
        <v>793</v>
      </c>
      <c r="B8" s="225" t="s">
        <v>92</v>
      </c>
      <c r="C8" s="230" t="str">
        <f>IF(G8="已包含在土地购买价格中","0",'数据-取费表'!B29)</f>
        <v>0</v>
      </c>
      <c r="D8" s="232"/>
      <c r="E8" s="230"/>
      <c r="F8" s="231"/>
      <c r="G8" s="1" t="s">
        <v>1116</v>
      </c>
    </row>
    <row r="9" spans="1:7" s="224" customFormat="1" ht="13.5" customHeight="1">
      <c r="A9" s="891" t="s">
        <v>800</v>
      </c>
      <c r="B9" s="234" t="s">
        <v>93</v>
      </c>
      <c r="C9" s="235">
        <f>ROUND(D9*E9/10000,0)</f>
        <v>0</v>
      </c>
      <c r="D9" s="958">
        <f>'数据-汇总表'!E5</f>
        <v>0</v>
      </c>
      <c r="E9" s="235">
        <f>'数据-取费表'!B27</f>
        <v>0</v>
      </c>
      <c r="F9" s="231"/>
      <c r="G9" s="236"/>
    </row>
    <row r="10" spans="1:7" s="224" customFormat="1" ht="13.5" customHeight="1">
      <c r="A10" s="891" t="s">
        <v>801</v>
      </c>
      <c r="B10" s="234" t="s">
        <v>94</v>
      </c>
      <c r="C10" s="235">
        <f>ROUND(D10*E10/10000,0)</f>
        <v>173</v>
      </c>
      <c r="D10" s="958">
        <f>'数据-汇总表'!E6</f>
        <v>8640.14</v>
      </c>
      <c r="E10" s="235">
        <f>'数据-取费表'!B28</f>
        <v>200</v>
      </c>
      <c r="F10" s="231"/>
      <c r="G10" s="236"/>
    </row>
    <row r="11" spans="1:7" s="224" customFormat="1" ht="13.5" hidden="1" customHeight="1">
      <c r="A11" s="237" t="s">
        <v>7</v>
      </c>
      <c r="B11" s="225" t="s">
        <v>95</v>
      </c>
      <c r="C11" s="221"/>
      <c r="D11" s="960"/>
      <c r="E11" s="228"/>
      <c r="F11" s="228"/>
      <c r="G11" s="229"/>
    </row>
    <row r="12" spans="1:7" s="224" customFormat="1" ht="13.5" hidden="1" customHeight="1">
      <c r="A12" s="237" t="s">
        <v>8</v>
      </c>
      <c r="B12" s="225" t="s">
        <v>96</v>
      </c>
      <c r="C12" s="221">
        <v>0</v>
      </c>
      <c r="D12" s="960"/>
      <c r="E12" s="238"/>
      <c r="F12" s="231">
        <v>3.0499999999999999E-2</v>
      </c>
      <c r="G12" s="229"/>
    </row>
    <row r="13" spans="1:7" s="224" customFormat="1" ht="13.5" hidden="1" customHeight="1">
      <c r="A13" s="237" t="s">
        <v>9</v>
      </c>
      <c r="B13" s="225" t="s">
        <v>97</v>
      </c>
      <c r="C13" s="221"/>
      <c r="D13" s="960"/>
      <c r="E13" s="228"/>
      <c r="F13" s="228"/>
      <c r="G13" s="229"/>
    </row>
    <row r="14" spans="1:7" s="224" customFormat="1" ht="13.5" hidden="1" customHeight="1">
      <c r="A14" s="237" t="s">
        <v>10</v>
      </c>
      <c r="B14" s="225" t="s">
        <v>92</v>
      </c>
      <c r="C14" s="221"/>
      <c r="D14" s="960"/>
      <c r="E14" s="228"/>
      <c r="F14" s="228"/>
      <c r="G14" s="229" t="s">
        <v>98</v>
      </c>
    </row>
    <row r="15" spans="1:7" s="224" customFormat="1" ht="13.5" hidden="1" customHeight="1">
      <c r="A15" s="237" t="s">
        <v>11</v>
      </c>
      <c r="B15" s="225" t="s">
        <v>99</v>
      </c>
      <c r="C15" s="230"/>
      <c r="D15" s="960"/>
      <c r="E15" s="228"/>
      <c r="F15" s="228"/>
      <c r="G15" s="229" t="s">
        <v>100</v>
      </c>
    </row>
    <row r="16" spans="1:7" s="224" customFormat="1" ht="13.5" hidden="1" customHeight="1">
      <c r="A16" s="237" t="s">
        <v>12</v>
      </c>
      <c r="B16" s="225" t="s">
        <v>92</v>
      </c>
      <c r="C16" s="230"/>
      <c r="D16" s="960"/>
      <c r="E16" s="228"/>
      <c r="F16" s="228"/>
      <c r="G16" s="229"/>
    </row>
    <row r="17" spans="1:7" s="224" customFormat="1" ht="13.5" hidden="1" customHeight="1">
      <c r="A17" s="237" t="s">
        <v>13</v>
      </c>
      <c r="B17" s="225" t="s">
        <v>101</v>
      </c>
      <c r="C17" s="239"/>
      <c r="D17" s="961"/>
      <c r="E17" s="239"/>
      <c r="F17" s="239"/>
      <c r="G17" s="229" t="s">
        <v>100</v>
      </c>
    </row>
    <row r="18" spans="1:7" s="224" customFormat="1" ht="13.5" hidden="1" customHeight="1">
      <c r="A18" s="237" t="s">
        <v>14</v>
      </c>
      <c r="B18" s="225" t="s">
        <v>102</v>
      </c>
      <c r="C18" s="230">
        <v>0</v>
      </c>
      <c r="D18" s="960"/>
      <c r="E18" s="228"/>
      <c r="F18" s="231">
        <v>3.0499999999999999E-2</v>
      </c>
      <c r="G18" s="229" t="s">
        <v>103</v>
      </c>
    </row>
    <row r="19" spans="1:7" s="233" customFormat="1" ht="13.5" customHeight="1">
      <c r="A19" s="889" t="s">
        <v>1023</v>
      </c>
      <c r="B19" s="220" t="s">
        <v>111</v>
      </c>
      <c r="C19" s="221">
        <f>IF(G19="已包含在土地取得成本中","0",ROUND(D19*E19/10000,0))</f>
        <v>173</v>
      </c>
      <c r="D19" s="962">
        <f>'数据-汇总表'!E3</f>
        <v>8640.14</v>
      </c>
      <c r="E19" s="221">
        <f>'数据-取费表'!B31</f>
        <v>200</v>
      </c>
      <c r="F19" s="241"/>
      <c r="G19" s="1" t="s">
        <v>1042</v>
      </c>
    </row>
    <row r="20" spans="1:7" s="224" customFormat="1" ht="13.5" customHeight="1">
      <c r="A20" s="889" t="s">
        <v>1025</v>
      </c>
      <c r="B20" s="220" t="s">
        <v>104</v>
      </c>
      <c r="C20" s="242">
        <f>ROUND((C5+C19)*F20,0)</f>
        <v>416</v>
      </c>
      <c r="D20" s="242"/>
      <c r="E20" s="242"/>
      <c r="F20" s="243">
        <f>'数据-取费表'!B37</f>
        <v>0.02</v>
      </c>
      <c r="G20" s="1203" t="s">
        <v>1036</v>
      </c>
    </row>
    <row r="21" spans="1:7" s="224" customFormat="1" ht="13.5" customHeight="1">
      <c r="A21" s="889" t="s">
        <v>1027</v>
      </c>
      <c r="B21" s="220" t="s">
        <v>105</v>
      </c>
      <c r="C21" s="245">
        <f>F21</f>
        <v>0.02</v>
      </c>
      <c r="D21" s="246" t="s">
        <v>126</v>
      </c>
      <c r="E21" s="242"/>
      <c r="F21" s="243">
        <f>'数据-取费表'!B38</f>
        <v>0.02</v>
      </c>
      <c r="G21" s="244" t="s">
        <v>106</v>
      </c>
    </row>
    <row r="22" spans="1:7" s="224" customFormat="1" ht="13.5" customHeight="1">
      <c r="A22" s="889" t="s">
        <v>786</v>
      </c>
      <c r="B22" s="220" t="s">
        <v>107</v>
      </c>
      <c r="C22" s="1268">
        <f ca="1">ROUND(SUM(C23:C25),0)</f>
        <v>1513</v>
      </c>
      <c r="D22" s="245">
        <f ca="1">C26</f>
        <v>6.9999999999999999E-4</v>
      </c>
      <c r="E22" s="246" t="s">
        <v>126</v>
      </c>
      <c r="F22" s="247">
        <f ca="1">'数据-取费表'!B40</f>
        <v>4.7500000000000001E-2</v>
      </c>
      <c r="G22" s="1203" t="str">
        <f>IF('数据-取费表'!B22&lt;=1,"单利计息","复利计息")</f>
        <v>复利计息</v>
      </c>
    </row>
    <row r="23" spans="1:7" s="224" customFormat="1" ht="13.5" customHeight="1">
      <c r="A23" s="892" t="s">
        <v>794</v>
      </c>
      <c r="B23" s="225" t="s">
        <v>1029</v>
      </c>
      <c r="C23" s="1269">
        <f ca="1">ROUND(IF('数据-取费表'!B22&lt;=1,C5*F22*'数据-取费表'!B23,C5*(POWER((1+F22),'数据-取费表'!B23)-1)),0)</f>
        <v>1486</v>
      </c>
      <c r="D23" s="248"/>
      <c r="E23" s="248"/>
      <c r="F23" s="249"/>
      <c r="G23" s="250" t="s">
        <v>108</v>
      </c>
    </row>
    <row r="24" spans="1:7" s="224" customFormat="1" ht="13.5" customHeight="1">
      <c r="A24" s="892" t="s">
        <v>792</v>
      </c>
      <c r="B24" s="225" t="s">
        <v>1024</v>
      </c>
      <c r="C24" s="1269">
        <f ca="1">ROUND(IF('数据-取费表'!B22&lt;=1,C19*F22*('数据-取费表'!B19/2+'数据-取费表'!B21),C19*(POWER((1+F22),('数据-取费表'!B19/2+'数据-取费表'!B21))-1)),0)</f>
        <v>12</v>
      </c>
      <c r="D24" s="248"/>
      <c r="E24" s="248"/>
      <c r="F24" s="249"/>
      <c r="G24" s="250" t="s">
        <v>109</v>
      </c>
    </row>
    <row r="25" spans="1:7" s="224" customFormat="1" ht="24">
      <c r="A25" s="892" t="s">
        <v>793</v>
      </c>
      <c r="B25" s="225" t="s">
        <v>1026</v>
      </c>
      <c r="C25" s="1269">
        <f ca="1">ROUND(IF('数据-取费表'!B22&lt;=1,C20*F22*'数据-取费表'!B23/2,C20*(POWER((1+F22),'数据-取费表'!B23/2)-1)),0)</f>
        <v>15</v>
      </c>
      <c r="D25" s="248"/>
      <c r="E25" s="251"/>
      <c r="F25" s="249"/>
      <c r="G25" s="252" t="s">
        <v>110</v>
      </c>
    </row>
    <row r="26" spans="1:7" s="224" customFormat="1">
      <c r="A26" s="892" t="s">
        <v>795</v>
      </c>
      <c r="B26" s="225" t="s">
        <v>1028</v>
      </c>
      <c r="C26" s="248">
        <f ca="1">ROUND(IF('数据-取费表'!B22&lt;=1,F21*F22*'数据-取费表'!B23/2,F21*(POWER((1+F22),'数据-取费表'!B23/2)-1)),4)</f>
        <v>6.9999999999999999E-4</v>
      </c>
      <c r="D26" s="248"/>
      <c r="E26" s="251"/>
      <c r="F26" s="249"/>
      <c r="G26" s="253"/>
    </row>
    <row r="27" spans="1:7" s="224" customFormat="1" ht="26.4">
      <c r="A27" s="889" t="s">
        <v>787</v>
      </c>
      <c r="B27" s="254" t="s">
        <v>112</v>
      </c>
      <c r="C27" s="255">
        <f>C28</f>
        <v>2120</v>
      </c>
      <c r="D27" s="245">
        <f>C29</f>
        <v>2E-3</v>
      </c>
      <c r="E27" s="246" t="s">
        <v>126</v>
      </c>
      <c r="F27" s="256">
        <f>'数据-取费表'!Q16</f>
        <v>0.1</v>
      </c>
      <c r="G27" s="257" t="s">
        <v>1037</v>
      </c>
    </row>
    <row r="28" spans="1:7" s="224" customFormat="1" ht="13.5" customHeight="1">
      <c r="A28" s="892" t="s">
        <v>794</v>
      </c>
      <c r="B28" s="258" t="s">
        <v>1030</v>
      </c>
      <c r="C28" s="259">
        <f>ROUND((C5+C19+C20)*F27*'数据-取费表'!B21/'数据-取费表'!B20,0)</f>
        <v>2120</v>
      </c>
      <c r="D28" s="245"/>
      <c r="E28" s="246"/>
      <c r="F28" s="256"/>
      <c r="G28" s="257"/>
    </row>
    <row r="29" spans="1:7" s="224" customFormat="1" ht="13.5" customHeight="1">
      <c r="A29" s="892" t="s">
        <v>792</v>
      </c>
      <c r="B29" s="258" t="s">
        <v>1031</v>
      </c>
      <c r="C29" s="248">
        <f>ROUND(C21*F27*'数据-取费表'!B21/'数据-取费表'!B20,4)</f>
        <v>2E-3</v>
      </c>
      <c r="D29" s="245"/>
      <c r="E29" s="246"/>
      <c r="F29" s="256"/>
      <c r="G29" s="257"/>
    </row>
    <row r="30" spans="1:7" s="224" customFormat="1" ht="13.5" customHeight="1">
      <c r="A30" s="889" t="s">
        <v>788</v>
      </c>
      <c r="B30" s="220" t="s">
        <v>58</v>
      </c>
      <c r="C30" s="245">
        <f>F30</f>
        <v>5.5000000000000007E-2</v>
      </c>
      <c r="D30" s="246" t="s">
        <v>127</v>
      </c>
      <c r="E30" s="251"/>
      <c r="F30" s="247">
        <f>'数据-取费表'!B41</f>
        <v>5.5000000000000007E-2</v>
      </c>
      <c r="G30" s="244" t="s">
        <v>113</v>
      </c>
    </row>
    <row r="31" spans="1:7" ht="16.5" customHeight="1">
      <c r="A31" s="219">
        <v>1</v>
      </c>
      <c r="B31" s="220" t="s">
        <v>128</v>
      </c>
      <c r="C31" s="221">
        <f ca="1">ROUND((C5+C19+C20+C22+C27)/(1-C21-D22-D27-C30/(1+'数据-取费表'!B42)),0)</f>
        <v>26848</v>
      </c>
      <c r="D31" s="240"/>
      <c r="E31" s="221"/>
      <c r="F31" s="260"/>
      <c r="G31" s="244" t="s">
        <v>1038</v>
      </c>
    </row>
    <row r="32" spans="1:7" s="218" customFormat="1" ht="16.2">
      <c r="A32" s="262" t="s">
        <v>114</v>
      </c>
      <c r="B32" s="263"/>
      <c r="C32" s="263"/>
      <c r="D32" s="263"/>
      <c r="E32" s="263"/>
      <c r="F32" s="263"/>
      <c r="G32" s="264"/>
    </row>
    <row r="33" spans="1:7" s="224" customFormat="1" ht="13.5" customHeight="1">
      <c r="A33" s="265" t="s">
        <v>782</v>
      </c>
      <c r="B33" s="220" t="s">
        <v>115</v>
      </c>
      <c r="C33" s="266">
        <f>SUM(C34:C38)</f>
        <v>3333</v>
      </c>
      <c r="D33" s="242"/>
      <c r="E33" s="222"/>
      <c r="F33" s="251"/>
      <c r="G33" s="244"/>
    </row>
    <row r="34" spans="1:7" s="268" customFormat="1" ht="13.5" customHeight="1">
      <c r="A34" s="892" t="s">
        <v>794</v>
      </c>
      <c r="B34" s="225" t="s">
        <v>59</v>
      </c>
      <c r="C34" s="230">
        <f>IF(F34=100%,'数据-取费表'!M16-SUMIF('数据-取费表'!C:C,"公共配套",'数据-取费表'!M:M),'数据-取费表'!O16-SUMIF('数据-取费表'!C:C,"公共配套",'数据-取费表'!O:O))</f>
        <v>3024</v>
      </c>
      <c r="D34" s="227"/>
      <c r="E34" s="230"/>
      <c r="F34" s="267">
        <f>IF('数据-取费表'!B24=0,1,'数据-取费表'!N16)</f>
        <v>1</v>
      </c>
      <c r="G34" s="229" t="s">
        <v>116</v>
      </c>
    </row>
    <row r="35" spans="1:7" ht="13.5" customHeight="1">
      <c r="A35" s="892" t="s">
        <v>796</v>
      </c>
      <c r="B35" s="225" t="s">
        <v>60</v>
      </c>
      <c r="C35" s="230">
        <f>ROUND(C34*F35,0)</f>
        <v>91</v>
      </c>
      <c r="D35" s="230"/>
      <c r="E35" s="230"/>
      <c r="F35" s="269">
        <f>'数据-取费表'!B33</f>
        <v>0.03</v>
      </c>
      <c r="G35" s="229" t="s">
        <v>117</v>
      </c>
    </row>
    <row r="36" spans="1:7" ht="24">
      <c r="A36" s="892" t="s">
        <v>797</v>
      </c>
      <c r="B36" s="225" t="s">
        <v>61</v>
      </c>
      <c r="C36" s="230">
        <f>ROUND(IF(SUMIF('数据-取费表'!C:C,"住宅",IF(F34=100%,'数据-取费表'!M:M,'数据-取费表'!O:O))=0,0,IF(F36=0,SUMIF('数据-取费表'!C:C,"公共配套",IF(F34=100%,'数据-取费表'!M:M,'数据-取费表'!O:O)),SUMIF('数据-取费表'!C:C,"住宅",IF(F34=100%,'数据-取费表'!M:M,'数据-取费表'!O:O))*F36)),0)</f>
        <v>0</v>
      </c>
      <c r="D36" s="230"/>
      <c r="E36" s="230"/>
      <c r="F36" s="269">
        <f>'数据-取费表'!B34</f>
        <v>0</v>
      </c>
      <c r="G36" s="270" t="s">
        <v>62</v>
      </c>
    </row>
    <row r="37" spans="1:7" s="268" customFormat="1" ht="13.5" customHeight="1">
      <c r="A37" s="892" t="s">
        <v>798</v>
      </c>
      <c r="B37" s="225" t="s">
        <v>118</v>
      </c>
      <c r="C37" s="259">
        <f>ROUND(E37*D37*F34/10000,0)</f>
        <v>173</v>
      </c>
      <c r="D37" s="227">
        <f>'数据-汇总表'!E3</f>
        <v>8640.14</v>
      </c>
      <c r="E37" s="259">
        <f>'数据-取费表'!B35</f>
        <v>200</v>
      </c>
      <c r="F37" s="269"/>
      <c r="G37" s="271" t="s">
        <v>119</v>
      </c>
    </row>
    <row r="38" spans="1:7" ht="13.5" customHeight="1">
      <c r="A38" s="892" t="s">
        <v>799</v>
      </c>
      <c r="B38" s="225" t="s">
        <v>63</v>
      </c>
      <c r="C38" s="230">
        <f>ROUND(C34*F38,0)</f>
        <v>45</v>
      </c>
      <c r="D38" s="230"/>
      <c r="E38" s="230"/>
      <c r="F38" s="269">
        <f>'数据-取费表'!B36</f>
        <v>1.4999999999999999E-2</v>
      </c>
      <c r="G38" s="229" t="s">
        <v>117</v>
      </c>
    </row>
    <row r="39" spans="1:7" s="224" customFormat="1" ht="13.5" customHeight="1">
      <c r="A39" s="889" t="s">
        <v>783</v>
      </c>
      <c r="B39" s="220" t="s">
        <v>104</v>
      </c>
      <c r="C39" s="242">
        <f>ROUND(C33*F20,0)</f>
        <v>67</v>
      </c>
      <c r="D39" s="242"/>
      <c r="E39" s="242"/>
      <c r="F39" s="243"/>
      <c r="G39" s="1203" t="s">
        <v>1039</v>
      </c>
    </row>
    <row r="40" spans="1:7" s="224" customFormat="1" ht="13.5" customHeight="1">
      <c r="A40" s="889" t="s">
        <v>784</v>
      </c>
      <c r="B40" s="220" t="s">
        <v>105</v>
      </c>
      <c r="C40" s="272">
        <f>F21</f>
        <v>0.02</v>
      </c>
      <c r="D40" s="246" t="s">
        <v>129</v>
      </c>
      <c r="E40" s="242"/>
      <c r="F40" s="243"/>
      <c r="G40" s="244" t="s">
        <v>120</v>
      </c>
    </row>
    <row r="41" spans="1:7" s="224" customFormat="1" ht="13.5" customHeight="1">
      <c r="A41" s="889" t="s">
        <v>785</v>
      </c>
      <c r="B41" s="220" t="s">
        <v>107</v>
      </c>
      <c r="C41" s="242">
        <f ca="1">ROUND(SUM(C42:C43),0)</f>
        <v>120</v>
      </c>
      <c r="D41" s="245">
        <f ca="1">C44</f>
        <v>6.9999999999999999E-4</v>
      </c>
      <c r="E41" s="246" t="s">
        <v>129</v>
      </c>
      <c r="F41" s="247"/>
      <c r="G41" s="1203" t="str">
        <f>IF('数据-取费表'!B22&lt;=1,"单利计息","复利计息")</f>
        <v>复利计息</v>
      </c>
    </row>
    <row r="42" spans="1:7" ht="13.5" customHeight="1">
      <c r="A42" s="892" t="s">
        <v>794</v>
      </c>
      <c r="B42" s="225" t="s">
        <v>1029</v>
      </c>
      <c r="C42" s="248">
        <f ca="1">ROUND(IF('数据-取费表'!B22&lt;=1,C33*F22*'数据-取费表'!B21/2,C33*(POWER((1+F22),'数据-取费表'!B21/2)-1)),0)</f>
        <v>118</v>
      </c>
      <c r="D42" s="248"/>
      <c r="E42" s="248"/>
      <c r="F42" s="249"/>
      <c r="G42" s="3306" t="s">
        <v>121</v>
      </c>
    </row>
    <row r="43" spans="1:7" ht="13.5" customHeight="1">
      <c r="A43" s="892" t="s">
        <v>792</v>
      </c>
      <c r="B43" s="225" t="s">
        <v>1032</v>
      </c>
      <c r="C43" s="248">
        <f ca="1">ROUND(IF('数据-取费表'!B22&lt;=1,C39*F22*'数据-取费表'!B21/2,C39*(POWER((1+F22),'数据-取费表'!B21/2)-1)),0)</f>
        <v>2</v>
      </c>
      <c r="D43" s="248"/>
      <c r="E43" s="248"/>
      <c r="F43" s="249"/>
      <c r="G43" s="3307"/>
    </row>
    <row r="44" spans="1:7" ht="13.5" customHeight="1">
      <c r="A44" s="892" t="s">
        <v>793</v>
      </c>
      <c r="B44" s="225" t="s">
        <v>1034</v>
      </c>
      <c r="C44" s="248">
        <f ca="1">ROUND(IF('数据-取费表'!B22&lt;=1,C40*F22*'数据-取费表'!B21/2,C40*(POWER((1+F22),'数据-取费表'!B21/2)-1)),4)</f>
        <v>6.9999999999999999E-4</v>
      </c>
      <c r="D44" s="248"/>
      <c r="E44" s="248"/>
      <c r="F44" s="249"/>
      <c r="G44" s="3308"/>
    </row>
    <row r="45" spans="1:7" s="224" customFormat="1" ht="13.5" customHeight="1">
      <c r="A45" s="889" t="s">
        <v>786</v>
      </c>
      <c r="B45" s="254" t="s">
        <v>112</v>
      </c>
      <c r="C45" s="255">
        <f>C46</f>
        <v>340</v>
      </c>
      <c r="D45" s="245">
        <f>C47</f>
        <v>2E-3</v>
      </c>
      <c r="E45" s="246" t="s">
        <v>129</v>
      </c>
      <c r="F45" s="256"/>
      <c r="G45" s="257" t="s">
        <v>1040</v>
      </c>
    </row>
    <row r="46" spans="1:7" s="224" customFormat="1" ht="13.5" customHeight="1">
      <c r="A46" s="892" t="s">
        <v>794</v>
      </c>
      <c r="B46" s="258" t="s">
        <v>1033</v>
      </c>
      <c r="C46" s="259">
        <f>ROUND((C33+C39)*F27,0)</f>
        <v>340</v>
      </c>
      <c r="D46" s="273"/>
      <c r="E46" s="246"/>
      <c r="F46" s="256"/>
      <c r="G46" s="257"/>
    </row>
    <row r="47" spans="1:7" s="224" customFormat="1" ht="13.5" customHeight="1">
      <c r="A47" s="892" t="s">
        <v>792</v>
      </c>
      <c r="B47" s="258" t="s">
        <v>1035</v>
      </c>
      <c r="C47" s="248">
        <f>ROUND(C40*F27,4)</f>
        <v>2E-3</v>
      </c>
      <c r="D47" s="273"/>
      <c r="E47" s="246"/>
      <c r="F47" s="256"/>
      <c r="G47" s="257"/>
    </row>
    <row r="48" spans="1:7" s="224" customFormat="1" ht="13.5" customHeight="1">
      <c r="A48" s="889" t="s">
        <v>787</v>
      </c>
      <c r="B48" s="220" t="s">
        <v>122</v>
      </c>
      <c r="C48" s="272">
        <f>F30</f>
        <v>5.5000000000000007E-2</v>
      </c>
      <c r="D48" s="246" t="s">
        <v>130</v>
      </c>
      <c r="E48" s="242"/>
      <c r="F48" s="247"/>
      <c r="G48" s="244" t="s">
        <v>123</v>
      </c>
    </row>
    <row r="49" spans="1:7" ht="16.5" customHeight="1">
      <c r="A49" s="889" t="s">
        <v>788</v>
      </c>
      <c r="B49" s="220" t="s">
        <v>131</v>
      </c>
      <c r="C49" s="242">
        <f ca="1">ROUND((C33+C39+C41+C45)/(1-C40-D41-D45-C48/(1+'数据-取费表'!B42)),0)</f>
        <v>4173</v>
      </c>
      <c r="D49" s="242"/>
      <c r="E49" s="242"/>
      <c r="F49" s="274"/>
      <c r="G49" s="244" t="s">
        <v>1041</v>
      </c>
    </row>
    <row r="50" spans="1:7" s="268" customFormat="1" ht="24">
      <c r="A50" s="889" t="s">
        <v>789</v>
      </c>
      <c r="B50" s="220" t="s">
        <v>124</v>
      </c>
      <c r="C50" s="242"/>
      <c r="D50" s="242"/>
      <c r="E50" s="242"/>
      <c r="F50" s="274">
        <f>IF('数据-取费表'!B24=0,'数据-取费表'!N16,1)</f>
        <v>0.8</v>
      </c>
      <c r="G50" s="257" t="s">
        <v>125</v>
      </c>
    </row>
    <row r="51" spans="1:7" ht="16.5" customHeight="1">
      <c r="A51" s="889" t="s">
        <v>790</v>
      </c>
      <c r="B51" s="220" t="s">
        <v>132</v>
      </c>
      <c r="C51" s="242">
        <f ca="1">ROUND(C49*F50,0)</f>
        <v>3338</v>
      </c>
      <c r="D51" s="242"/>
      <c r="E51" s="242"/>
      <c r="F51" s="274"/>
      <c r="G51" s="244" t="s">
        <v>64</v>
      </c>
    </row>
    <row r="52" spans="1:7" s="218" customFormat="1" ht="16.8" thickBot="1">
      <c r="A52" s="275" t="s">
        <v>65</v>
      </c>
      <c r="B52" s="276"/>
      <c r="C52" s="277">
        <f ca="1">C31+C51</f>
        <v>30186</v>
      </c>
      <c r="D52" s="276"/>
      <c r="E52" s="276"/>
      <c r="F52" s="276"/>
      <c r="G52" s="278"/>
    </row>
    <row r="55" spans="1:7" ht="15">
      <c r="B55" s="280" t="s">
        <v>66</v>
      </c>
      <c r="C55" s="281"/>
    </row>
    <row r="56" spans="1:7">
      <c r="B56" s="283" t="s">
        <v>67</v>
      </c>
      <c r="C56" s="284">
        <f ca="1">ROUND(C51/C52,3)</f>
        <v>0.111</v>
      </c>
    </row>
    <row r="57" spans="1:7">
      <c r="B57" s="283" t="s">
        <v>68</v>
      </c>
      <c r="C57" s="285">
        <f ca="1">1-C56</f>
        <v>0.88900000000000001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83" customWidth="1"/>
    <col min="2" max="2" width="37.21875" style="1683" customWidth="1"/>
    <col min="3" max="3" width="11.33203125" style="1683" customWidth="1"/>
    <col min="4" max="4" width="31.77734375" style="1683" customWidth="1"/>
    <col min="5" max="5" width="0.44140625" style="1683" customWidth="1"/>
    <col min="6" max="7" width="13" style="1683" customWidth="1"/>
    <col min="8" max="16384" width="9" style="1683"/>
  </cols>
  <sheetData>
    <row r="1" spans="1:5" ht="17.399999999999999">
      <c r="A1" s="1681" t="s">
        <v>1586</v>
      </c>
      <c r="B1" s="1682"/>
      <c r="C1" s="1682"/>
      <c r="D1" s="1682"/>
      <c r="E1" s="1682"/>
    </row>
    <row r="2" spans="1:5" ht="78" customHeight="1">
      <c r="A2" s="31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2"/>
      <c r="C2" s="3122"/>
      <c r="D2" s="3122"/>
      <c r="E2" s="3122"/>
    </row>
    <row r="3" spans="1:5" ht="17.399999999999999">
      <c r="A3" s="3123" t="str">
        <f>IF(项目基本情况!B9="房地产市场价值","估价结果一览表（市场价值不需“结果表-1”）","估价结果一览表")</f>
        <v>估价结果一览表</v>
      </c>
      <c r="B3" s="3123"/>
      <c r="C3" s="3123"/>
      <c r="D3" s="3123"/>
      <c r="E3" s="3123"/>
    </row>
    <row r="4" spans="1:5" ht="18" thickBot="1">
      <c r="A4" s="1684"/>
      <c r="B4" s="3121" t="s">
        <v>1595</v>
      </c>
      <c r="C4" s="3121"/>
      <c r="D4" s="3121"/>
      <c r="E4" s="1684"/>
    </row>
    <row r="5" spans="1:5" ht="16.2" thickTop="1">
      <c r="A5" s="1682"/>
      <c r="B5" s="3119" t="s">
        <v>1587</v>
      </c>
      <c r="C5" s="1685" t="s">
        <v>1588</v>
      </c>
      <c r="D5" s="963">
        <f ca="1">结果表!H101</f>
        <v>12081</v>
      </c>
      <c r="E5" s="1682"/>
    </row>
    <row r="6" spans="1:5" ht="15.6">
      <c r="A6" s="1682"/>
      <c r="B6" s="3119"/>
      <c r="C6" s="1685" t="s">
        <v>1589</v>
      </c>
      <c r="D6" s="963" t="str">
        <f ca="1">NUMBERSTRING(INT(D5*10000),2)&amp;"元整"</f>
        <v>壹亿贰仟零捌拾壹万元整</v>
      </c>
      <c r="E6" s="1682"/>
    </row>
    <row r="7" spans="1:5" ht="15.6">
      <c r="A7" s="1682"/>
      <c r="B7" s="3124"/>
      <c r="C7" s="1686" t="s">
        <v>1590</v>
      </c>
      <c r="D7" s="964">
        <f ca="1">结果表!H102</f>
        <v>13982</v>
      </c>
      <c r="E7" s="1682"/>
    </row>
    <row r="8" spans="1:5" ht="15.6">
      <c r="A8" s="1682"/>
      <c r="B8" s="3125" t="str">
        <f>结果表!E103</f>
        <v>2.估价师知悉的法定优先受偿款</v>
      </c>
      <c r="C8" s="1687" t="s">
        <v>1591</v>
      </c>
      <c r="D8" s="964">
        <f>结果表!H103</f>
        <v>0</v>
      </c>
      <c r="E8" s="1682"/>
    </row>
    <row r="9" spans="1:5" ht="15.6">
      <c r="A9" s="1682"/>
      <c r="B9" s="3127"/>
      <c r="C9" s="1685" t="s">
        <v>1589</v>
      </c>
      <c r="D9" s="963" t="str">
        <f>NUMBERSTRING(INT(D8*10000),2)&amp;"元整"</f>
        <v>零元整</v>
      </c>
      <c r="E9" s="1682"/>
    </row>
    <row r="10" spans="1:5" ht="15.6">
      <c r="A10" s="1682"/>
      <c r="B10" s="1688" t="s">
        <v>1594</v>
      </c>
      <c r="C10" s="1689" t="s">
        <v>1592</v>
      </c>
      <c r="D10" s="965">
        <f>结果表!H104</f>
        <v>7500</v>
      </c>
      <c r="E10" s="1682"/>
    </row>
    <row r="11" spans="1:5" ht="15.6">
      <c r="A11" s="1682"/>
      <c r="B11" s="1688" t="s">
        <v>1596</v>
      </c>
      <c r="C11" s="1689" t="s">
        <v>1597</v>
      </c>
      <c r="D11" s="965">
        <f>结果表!H105</f>
        <v>0</v>
      </c>
      <c r="E11" s="1682"/>
    </row>
    <row r="12" spans="1:5" ht="15.6">
      <c r="A12" s="1682"/>
      <c r="B12" s="1688" t="s">
        <v>1598</v>
      </c>
      <c r="C12" s="1689" t="s">
        <v>1597</v>
      </c>
      <c r="D12" s="965">
        <f>结果表!H106</f>
        <v>0</v>
      </c>
      <c r="E12" s="1682"/>
    </row>
    <row r="13" spans="1:5" ht="15.6">
      <c r="A13" s="1682"/>
      <c r="B13" s="3118" t="str">
        <f>结果表!E107</f>
        <v>——</v>
      </c>
      <c r="C13" s="1690" t="s">
        <v>1588</v>
      </c>
      <c r="D13" s="966" t="str">
        <f>结果表!H107</f>
        <v>——</v>
      </c>
      <c r="E13" s="1682"/>
    </row>
    <row r="14" spans="1:5" ht="15.6">
      <c r="A14" s="1682"/>
      <c r="B14" s="3119"/>
      <c r="C14" s="1685" t="s">
        <v>1589</v>
      </c>
      <c r="D14" s="963" t="e">
        <f>NUMBERSTRING(INT(D13*10000),2)&amp;"元整"</f>
        <v>#VALUE!</v>
      </c>
      <c r="E14" s="1682"/>
    </row>
    <row r="15" spans="1:5" ht="15.6">
      <c r="A15" s="1682"/>
      <c r="B15" s="3124"/>
      <c r="C15" s="1686" t="s">
        <v>1599</v>
      </c>
      <c r="D15" s="972" t="e">
        <f>结果表!H108</f>
        <v>#VALUE!</v>
      </c>
      <c r="E15" s="1682"/>
    </row>
    <row r="16" spans="1:5" ht="15.6">
      <c r="A16" s="1682"/>
      <c r="B16" s="3125" t="str">
        <f>结果表!E109</f>
        <v>3.抵押担保权已注销时的房地产抵押价值</v>
      </c>
      <c r="C16" s="1690" t="s">
        <v>1600</v>
      </c>
      <c r="D16" s="1691">
        <f ca="1">结果表!H109</f>
        <v>12081</v>
      </c>
      <c r="E16" s="1682"/>
    </row>
    <row r="17" spans="1:5" ht="15.6">
      <c r="A17" s="1682"/>
      <c r="B17" s="3126"/>
      <c r="C17" s="1685" t="s">
        <v>1601</v>
      </c>
      <c r="D17" s="963" t="str">
        <f ca="1">NUMBERSTRING(INT(D16*10000),2)&amp;"元整"</f>
        <v>壹亿贰仟零捌拾壹万元整</v>
      </c>
      <c r="E17" s="1682"/>
    </row>
    <row r="18" spans="1:5" ht="15.6">
      <c r="A18" s="1682"/>
      <c r="B18" s="3127"/>
      <c r="C18" s="1686" t="s">
        <v>1590</v>
      </c>
      <c r="D18" s="972">
        <f ca="1">结果表!H110</f>
        <v>13982</v>
      </c>
      <c r="E18" s="1682"/>
    </row>
    <row r="19" spans="1:5" ht="15.6">
      <c r="A19" s="1682"/>
      <c r="B19" s="3118" t="str">
        <f>结果表!E111</f>
        <v>——</v>
      </c>
      <c r="C19" s="1690" t="s">
        <v>1588</v>
      </c>
      <c r="D19" s="964" t="str">
        <f>结果表!H111</f>
        <v>——</v>
      </c>
      <c r="E19" s="1682"/>
    </row>
    <row r="20" spans="1:5" ht="15.6">
      <c r="A20" s="1682"/>
      <c r="B20" s="3119"/>
      <c r="C20" s="1685" t="s">
        <v>1601</v>
      </c>
      <c r="D20" s="963" t="e">
        <f>NUMBERSTRING(INT(D19*10000),2)&amp;"元整"</f>
        <v>#VALUE!</v>
      </c>
      <c r="E20" s="1682"/>
    </row>
    <row r="21" spans="1:5" ht="16.2" thickBot="1">
      <c r="A21" s="1682"/>
      <c r="B21" s="3120"/>
      <c r="C21" s="1692" t="s">
        <v>1599</v>
      </c>
      <c r="D21" s="973" t="str">
        <f>结果表!H112</f>
        <v>——</v>
      </c>
      <c r="E21" s="1682"/>
    </row>
    <row r="22" spans="1:5" ht="14.4" thickTop="1">
      <c r="A22" s="1682"/>
      <c r="B22" s="1693" t="s">
        <v>1602</v>
      </c>
      <c r="C22" s="1682"/>
      <c r="D22" s="1682"/>
      <c r="E22" s="1682"/>
    </row>
    <row r="23" spans="1:5">
      <c r="A23" s="1682"/>
      <c r="B23" s="1682"/>
      <c r="C23" s="1682"/>
      <c r="D23" s="1682"/>
      <c r="E23" s="1682"/>
    </row>
    <row r="24" spans="1:5" ht="17.399999999999999">
      <c r="A24" s="1694"/>
      <c r="B24" s="1695" t="s">
        <v>1593</v>
      </c>
      <c r="C24" s="1694"/>
      <c r="D24" s="1694"/>
      <c r="E24" s="1694"/>
    </row>
    <row r="25" spans="1:5">
      <c r="A25" s="1694"/>
      <c r="B25" s="1694"/>
      <c r="C25" s="1694"/>
      <c r="D25" s="1694"/>
      <c r="E25" s="1694"/>
    </row>
    <row r="26" spans="1:5">
      <c r="A26" s="1694"/>
      <c r="B26" s="1694"/>
      <c r="C26" s="1694"/>
      <c r="D26" s="1694"/>
      <c r="E26" s="1694"/>
    </row>
    <row r="27" spans="1:5">
      <c r="A27" s="1694"/>
      <c r="B27" s="1694"/>
      <c r="C27" s="1694"/>
      <c r="D27" s="1694"/>
      <c r="E27" s="1694"/>
    </row>
    <row r="28" spans="1:5">
      <c r="A28" s="1694"/>
      <c r="B28" s="1694"/>
      <c r="C28" s="1694"/>
      <c r="D28" s="1694"/>
      <c r="E28" s="1694"/>
    </row>
    <row r="29" spans="1:5">
      <c r="A29" s="1694"/>
      <c r="B29" s="1694"/>
      <c r="C29" s="1694"/>
      <c r="D29" s="1694"/>
      <c r="E29" s="1694"/>
    </row>
    <row r="30" spans="1:5">
      <c r="A30" s="1694"/>
      <c r="B30" s="1694"/>
      <c r="C30" s="1694"/>
      <c r="D30" s="1694"/>
      <c r="E30" s="1694"/>
    </row>
    <row r="31" spans="1:5">
      <c r="A31" s="1694"/>
      <c r="B31" s="1694"/>
      <c r="C31" s="1694"/>
      <c r="D31" s="1694"/>
      <c r="E31" s="1694"/>
    </row>
    <row r="32" spans="1:5">
      <c r="A32" s="1694"/>
      <c r="B32" s="1694"/>
      <c r="C32" s="1694"/>
      <c r="D32" s="1694"/>
      <c r="E32" s="1694"/>
    </row>
    <row r="33" spans="1:5">
      <c r="A33" s="1694"/>
      <c r="B33" s="1694"/>
      <c r="C33" s="1694"/>
      <c r="D33" s="1694"/>
      <c r="E33" s="1694"/>
    </row>
    <row r="34" spans="1:5">
      <c r="A34" s="1694"/>
      <c r="B34" s="1694"/>
      <c r="C34" s="1694"/>
      <c r="D34" s="1694"/>
      <c r="E34" s="1694"/>
    </row>
    <row r="35" spans="1:5">
      <c r="A35" s="1694"/>
      <c r="B35" s="1694"/>
      <c r="C35" s="1694"/>
      <c r="D35" s="1694"/>
      <c r="E35" s="1694"/>
    </row>
    <row r="36" spans="1:5">
      <c r="A36" s="1694"/>
      <c r="B36" s="1694"/>
      <c r="C36" s="1694"/>
      <c r="D36" s="1694"/>
      <c r="E36" s="1694"/>
    </row>
    <row r="37" spans="1:5">
      <c r="A37" s="1694"/>
      <c r="B37" s="1694"/>
      <c r="C37" s="1694"/>
      <c r="D37" s="1694"/>
      <c r="E37" s="1694"/>
    </row>
    <row r="38" spans="1:5">
      <c r="A38" s="1694"/>
      <c r="B38" s="1694"/>
      <c r="C38" s="1694"/>
      <c r="D38" s="1694"/>
      <c r="E38" s="1694"/>
    </row>
    <row r="39" spans="1:5">
      <c r="A39" s="1694"/>
      <c r="B39" s="1694"/>
      <c r="C39" s="1694"/>
      <c r="D39" s="1694"/>
      <c r="E39" s="1694"/>
    </row>
    <row r="40" spans="1:5">
      <c r="A40" s="1694"/>
      <c r="B40" s="1694"/>
      <c r="C40" s="1694"/>
      <c r="D40" s="1694"/>
      <c r="E40" s="1694"/>
    </row>
    <row r="41" spans="1:5">
      <c r="A41" s="1694"/>
      <c r="B41" s="1694"/>
      <c r="C41" s="1694"/>
      <c r="D41" s="1694"/>
      <c r="E41" s="1694"/>
    </row>
    <row r="42" spans="1:5">
      <c r="A42" s="1694"/>
      <c r="B42" s="1694"/>
      <c r="C42" s="1694"/>
      <c r="D42" s="1694"/>
      <c r="E42" s="16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8" customWidth="1"/>
    <col min="2" max="5" width="10.21875" style="756" customWidth="1"/>
    <col min="6" max="6" width="9" style="756"/>
    <col min="7" max="8" width="9" style="771"/>
    <col min="9" max="16384" width="9" style="756"/>
  </cols>
  <sheetData>
    <row r="1" spans="1:19">
      <c r="A1" s="3447" t="s">
        <v>156</v>
      </c>
      <c r="B1" s="3447"/>
      <c r="C1" s="3447"/>
      <c r="D1" s="3447"/>
      <c r="E1" s="3447"/>
      <c r="F1" s="3447"/>
      <c r="H1" s="773" t="s">
        <v>157</v>
      </c>
      <c r="I1" s="774" t="s">
        <v>158</v>
      </c>
      <c r="J1" s="774" t="s">
        <v>159</v>
      </c>
      <c r="K1" s="774" t="s">
        <v>160</v>
      </c>
      <c r="L1" s="774" t="s">
        <v>161</v>
      </c>
      <c r="M1" s="774" t="s">
        <v>162</v>
      </c>
      <c r="N1" s="774" t="s">
        <v>163</v>
      </c>
      <c r="O1" s="774" t="s">
        <v>164</v>
      </c>
      <c r="P1" s="774" t="s">
        <v>165</v>
      </c>
      <c r="Q1" s="774" t="s">
        <v>166</v>
      </c>
      <c r="R1" s="774" t="s">
        <v>167</v>
      </c>
      <c r="S1" s="775" t="s">
        <v>168</v>
      </c>
    </row>
    <row r="2" spans="1:19" ht="15" thickBot="1">
      <c r="A2" s="3448" t="s">
        <v>169</v>
      </c>
      <c r="B2" s="3448"/>
      <c r="C2" s="3448"/>
      <c r="D2" s="3448"/>
      <c r="E2" s="3448"/>
      <c r="F2" s="3448"/>
      <c r="H2" s="776" t="s">
        <v>170</v>
      </c>
      <c r="I2" s="777" t="s">
        <v>171</v>
      </c>
      <c r="J2" s="777" t="s">
        <v>172</v>
      </c>
      <c r="K2" s="777" t="s">
        <v>173</v>
      </c>
      <c r="L2" s="777" t="s">
        <v>174</v>
      </c>
      <c r="M2" s="777" t="s">
        <v>175</v>
      </c>
      <c r="N2" s="777" t="s">
        <v>176</v>
      </c>
      <c r="O2" s="777" t="s">
        <v>177</v>
      </c>
      <c r="P2" s="777" t="s">
        <v>178</v>
      </c>
      <c r="Q2" s="777" t="s">
        <v>179</v>
      </c>
      <c r="R2" s="777" t="s">
        <v>180</v>
      </c>
      <c r="S2" s="777" t="s">
        <v>181</v>
      </c>
    </row>
    <row r="3" spans="1:19" s="772" customFormat="1" ht="19.5" customHeight="1">
      <c r="A3" s="3449" t="s">
        <v>182</v>
      </c>
      <c r="B3" s="778"/>
      <c r="C3" s="779" t="s">
        <v>183</v>
      </c>
      <c r="D3" s="779" t="s">
        <v>184</v>
      </c>
      <c r="E3" s="779" t="s">
        <v>751</v>
      </c>
      <c r="F3" s="779" t="s">
        <v>186</v>
      </c>
      <c r="G3" s="780"/>
      <c r="H3" s="776" t="s">
        <v>187</v>
      </c>
      <c r="I3" s="777" t="s">
        <v>188</v>
      </c>
      <c r="J3" s="777" t="s">
        <v>189</v>
      </c>
      <c r="K3" s="777" t="s">
        <v>190</v>
      </c>
      <c r="L3" s="777" t="s">
        <v>191</v>
      </c>
      <c r="M3" s="777" t="s">
        <v>192</v>
      </c>
      <c r="N3" s="777" t="s">
        <v>193</v>
      </c>
      <c r="O3" s="777" t="s">
        <v>194</v>
      </c>
      <c r="P3" s="777" t="s">
        <v>195</v>
      </c>
      <c r="Q3" s="777" t="s">
        <v>196</v>
      </c>
      <c r="R3" s="777" t="s">
        <v>197</v>
      </c>
      <c r="S3" s="777" t="s">
        <v>198</v>
      </c>
    </row>
    <row r="4" spans="1:19" s="772" customFormat="1" ht="19.5" customHeight="1" thickBot="1">
      <c r="A4" s="3450"/>
      <c r="B4" s="781" t="s">
        <v>199</v>
      </c>
      <c r="C4" s="781" t="s">
        <v>200</v>
      </c>
      <c r="D4" s="781" t="s">
        <v>200</v>
      </c>
      <c r="E4" s="781" t="s">
        <v>200</v>
      </c>
      <c r="F4" s="782" t="s">
        <v>200</v>
      </c>
      <c r="G4" s="780"/>
      <c r="H4" s="776" t="s">
        <v>201</v>
      </c>
      <c r="I4" s="777" t="s">
        <v>138</v>
      </c>
      <c r="J4" s="777" t="s">
        <v>202</v>
      </c>
      <c r="K4" s="777" t="s">
        <v>203</v>
      </c>
      <c r="L4" s="777" t="s">
        <v>204</v>
      </c>
      <c r="M4" s="777" t="s">
        <v>205</v>
      </c>
      <c r="N4" s="777" t="s">
        <v>206</v>
      </c>
      <c r="O4" s="777" t="s">
        <v>207</v>
      </c>
      <c r="P4" s="777" t="s">
        <v>208</v>
      </c>
      <c r="Q4" s="777" t="s">
        <v>209</v>
      </c>
      <c r="R4" s="777" t="s">
        <v>210</v>
      </c>
      <c r="S4" s="777" t="s">
        <v>211</v>
      </c>
    </row>
    <row r="5" spans="1:19" ht="14.25" customHeight="1" thickBot="1">
      <c r="A5" s="783" t="s">
        <v>816</v>
      </c>
      <c r="B5" s="784" t="s">
        <v>817</v>
      </c>
      <c r="C5" s="784">
        <v>29530</v>
      </c>
      <c r="D5" s="784">
        <v>28130</v>
      </c>
      <c r="E5" s="784">
        <v>27930</v>
      </c>
      <c r="F5" s="785">
        <v>11300</v>
      </c>
      <c r="G5" s="780"/>
      <c r="H5" s="776" t="s">
        <v>213</v>
      </c>
      <c r="I5" s="777" t="s">
        <v>214</v>
      </c>
      <c r="J5" s="777" t="s">
        <v>215</v>
      </c>
      <c r="K5" s="777" t="s">
        <v>216</v>
      </c>
      <c r="L5" s="777" t="s">
        <v>217</v>
      </c>
      <c r="M5" s="777" t="s">
        <v>218</v>
      </c>
      <c r="N5" s="777" t="s">
        <v>219</v>
      </c>
      <c r="O5" s="777" t="s">
        <v>220</v>
      </c>
      <c r="P5" s="777" t="s">
        <v>221</v>
      </c>
      <c r="Q5" s="777" t="s">
        <v>222</v>
      </c>
      <c r="R5" s="777" t="s">
        <v>223</v>
      </c>
      <c r="S5" s="777" t="s">
        <v>224</v>
      </c>
    </row>
    <row r="6" spans="1:19" ht="14.25" customHeight="1" thickBot="1">
      <c r="A6" s="783" t="s">
        <v>212</v>
      </c>
      <c r="B6" s="777" t="s">
        <v>187</v>
      </c>
      <c r="C6" s="777">
        <v>30290</v>
      </c>
      <c r="D6" s="777">
        <v>29210</v>
      </c>
      <c r="E6" s="777">
        <v>28860</v>
      </c>
      <c r="F6" s="786">
        <v>12600</v>
      </c>
      <c r="G6" s="780"/>
      <c r="H6" s="776" t="s">
        <v>225</v>
      </c>
      <c r="I6" s="777" t="s">
        <v>226</v>
      </c>
      <c r="J6" s="777" t="s">
        <v>227</v>
      </c>
      <c r="K6" s="777" t="s">
        <v>228</v>
      </c>
      <c r="L6" s="777" t="s">
        <v>229</v>
      </c>
      <c r="M6" s="777" t="s">
        <v>230</v>
      </c>
      <c r="N6" s="777" t="s">
        <v>231</v>
      </c>
      <c r="O6" s="777" t="s">
        <v>232</v>
      </c>
      <c r="P6" s="777" t="s">
        <v>233</v>
      </c>
      <c r="Q6" s="777" t="s">
        <v>234</v>
      </c>
      <c r="R6" s="777" t="s">
        <v>235</v>
      </c>
      <c r="S6" s="777" t="s">
        <v>236</v>
      </c>
    </row>
    <row r="7" spans="1:19" ht="14.25" customHeight="1" thickBot="1">
      <c r="A7" s="783" t="s">
        <v>212</v>
      </c>
      <c r="B7" s="787" t="s">
        <v>201</v>
      </c>
      <c r="C7" s="777">
        <v>29350</v>
      </c>
      <c r="D7" s="777">
        <v>28410</v>
      </c>
      <c r="E7" s="777">
        <v>27990</v>
      </c>
      <c r="F7" s="786">
        <v>12300</v>
      </c>
      <c r="G7" s="780"/>
      <c r="I7" s="777" t="s">
        <v>237</v>
      </c>
      <c r="J7" s="777" t="s">
        <v>238</v>
      </c>
      <c r="K7" s="777" t="s">
        <v>239</v>
      </c>
      <c r="L7" s="777" t="s">
        <v>240</v>
      </c>
      <c r="M7" s="777" t="s">
        <v>241</v>
      </c>
      <c r="N7" s="777" t="s">
        <v>242</v>
      </c>
      <c r="O7" s="777" t="s">
        <v>243</v>
      </c>
      <c r="P7" s="777" t="s">
        <v>244</v>
      </c>
      <c r="Q7" s="777" t="s">
        <v>245</v>
      </c>
      <c r="R7" s="777" t="s">
        <v>246</v>
      </c>
      <c r="S7" s="787" t="s">
        <v>247</v>
      </c>
    </row>
    <row r="8" spans="1:19" ht="14.25" customHeight="1" thickBot="1">
      <c r="A8" s="783" t="s">
        <v>212</v>
      </c>
      <c r="B8" s="777" t="s">
        <v>213</v>
      </c>
      <c r="C8" s="777">
        <v>30890</v>
      </c>
      <c r="D8" s="777">
        <v>29780</v>
      </c>
      <c r="E8" s="777">
        <v>29270</v>
      </c>
      <c r="F8" s="786">
        <v>11600</v>
      </c>
      <c r="G8" s="780"/>
      <c r="I8" s="777" t="s">
        <v>248</v>
      </c>
      <c r="J8" s="777" t="s">
        <v>249</v>
      </c>
      <c r="K8" s="777" t="s">
        <v>250</v>
      </c>
      <c r="L8" s="777" t="s">
        <v>251</v>
      </c>
      <c r="M8" s="777" t="s">
        <v>252</v>
      </c>
      <c r="N8" s="777" t="s">
        <v>253</v>
      </c>
      <c r="O8" s="777" t="s">
        <v>254</v>
      </c>
      <c r="P8" s="777" t="s">
        <v>255</v>
      </c>
      <c r="Q8" s="777" t="s">
        <v>256</v>
      </c>
      <c r="R8" s="777" t="s">
        <v>257</v>
      </c>
      <c r="S8" s="777" t="s">
        <v>258</v>
      </c>
    </row>
    <row r="9" spans="1:19" ht="14.25" customHeight="1" thickBot="1">
      <c r="A9" s="783" t="s">
        <v>212</v>
      </c>
      <c r="B9" s="788" t="s">
        <v>225</v>
      </c>
      <c r="C9" s="789">
        <v>28140</v>
      </c>
      <c r="D9" s="789"/>
      <c r="E9" s="789"/>
      <c r="F9" s="790"/>
      <c r="G9" s="780"/>
      <c r="I9" s="777" t="s">
        <v>259</v>
      </c>
      <c r="J9" s="777" t="s">
        <v>260</v>
      </c>
      <c r="K9" s="777" t="s">
        <v>261</v>
      </c>
      <c r="L9" s="777" t="s">
        <v>262</v>
      </c>
      <c r="M9" s="777" t="s">
        <v>263</v>
      </c>
      <c r="N9" s="777" t="s">
        <v>264</v>
      </c>
      <c r="O9" s="777" t="s">
        <v>265</v>
      </c>
      <c r="P9" s="777" t="s">
        <v>266</v>
      </c>
      <c r="Q9" s="777" t="s">
        <v>267</v>
      </c>
      <c r="R9" s="777" t="s">
        <v>268</v>
      </c>
    </row>
    <row r="10" spans="1:19" ht="14.25" customHeight="1" thickBot="1">
      <c r="A10" s="783" t="s">
        <v>269</v>
      </c>
      <c r="B10" s="784" t="s">
        <v>270</v>
      </c>
      <c r="C10" s="784">
        <v>27450</v>
      </c>
      <c r="D10" s="784">
        <v>26180</v>
      </c>
      <c r="E10" s="784">
        <v>25980</v>
      </c>
      <c r="F10" s="785">
        <v>8910</v>
      </c>
      <c r="G10" s="780"/>
      <c r="I10" s="777" t="s">
        <v>271</v>
      </c>
      <c r="J10" s="777" t="s">
        <v>272</v>
      </c>
      <c r="K10" s="777" t="s">
        <v>273</v>
      </c>
      <c r="L10" s="777" t="s">
        <v>274</v>
      </c>
      <c r="M10" s="777" t="s">
        <v>275</v>
      </c>
      <c r="N10" s="777" t="s">
        <v>276</v>
      </c>
      <c r="O10" s="777" t="s">
        <v>277</v>
      </c>
      <c r="P10" s="777" t="s">
        <v>278</v>
      </c>
      <c r="Q10" s="777" t="s">
        <v>279</v>
      </c>
      <c r="R10" s="777" t="s">
        <v>280</v>
      </c>
    </row>
    <row r="11" spans="1:19" ht="14.25" customHeight="1" thickBot="1">
      <c r="A11" s="783" t="s">
        <v>269</v>
      </c>
      <c r="B11" s="787" t="s">
        <v>188</v>
      </c>
      <c r="C11" s="777">
        <v>22950</v>
      </c>
      <c r="D11" s="777">
        <v>22630</v>
      </c>
      <c r="E11" s="777">
        <v>22030</v>
      </c>
      <c r="F11" s="791">
        <v>8330</v>
      </c>
      <c r="G11" s="780"/>
      <c r="I11" s="777" t="s">
        <v>281</v>
      </c>
      <c r="J11" s="777" t="s">
        <v>282</v>
      </c>
      <c r="K11" s="777" t="s">
        <v>283</v>
      </c>
      <c r="L11" s="777" t="s">
        <v>284</v>
      </c>
      <c r="M11" s="777" t="s">
        <v>285</v>
      </c>
      <c r="N11" s="777" t="s">
        <v>286</v>
      </c>
      <c r="O11" s="777" t="s">
        <v>287</v>
      </c>
      <c r="P11" s="777" t="s">
        <v>288</v>
      </c>
      <c r="Q11" s="777" t="s">
        <v>289</v>
      </c>
      <c r="R11" s="777" t="s">
        <v>290</v>
      </c>
    </row>
    <row r="12" spans="1:19" ht="14.25" customHeight="1" thickBot="1">
      <c r="A12" s="783" t="s">
        <v>269</v>
      </c>
      <c r="B12" s="787" t="s">
        <v>138</v>
      </c>
      <c r="C12" s="777">
        <v>24940</v>
      </c>
      <c r="D12" s="777">
        <v>23180</v>
      </c>
      <c r="E12" s="777">
        <v>22910</v>
      </c>
      <c r="F12" s="791">
        <v>7180</v>
      </c>
      <c r="G12" s="780"/>
      <c r="I12" s="777" t="s">
        <v>291</v>
      </c>
      <c r="J12" s="777" t="s">
        <v>292</v>
      </c>
      <c r="K12" s="777" t="s">
        <v>293</v>
      </c>
      <c r="L12" s="777" t="s">
        <v>294</v>
      </c>
      <c r="M12" s="777" t="s">
        <v>295</v>
      </c>
      <c r="N12" s="777" t="s">
        <v>296</v>
      </c>
      <c r="O12" s="777" t="s">
        <v>297</v>
      </c>
      <c r="P12" s="777" t="s">
        <v>298</v>
      </c>
      <c r="Q12" s="777" t="s">
        <v>299</v>
      </c>
      <c r="R12" s="777" t="s">
        <v>300</v>
      </c>
    </row>
    <row r="13" spans="1:19" ht="14.25" customHeight="1" thickBot="1">
      <c r="A13" s="783" t="s">
        <v>269</v>
      </c>
      <c r="B13" s="787" t="s">
        <v>214</v>
      </c>
      <c r="C13" s="777">
        <v>24140</v>
      </c>
      <c r="D13" s="777">
        <v>22270</v>
      </c>
      <c r="E13" s="777">
        <v>21950</v>
      </c>
      <c r="F13" s="791">
        <v>7600</v>
      </c>
      <c r="G13" s="780"/>
      <c r="I13" s="777" t="s">
        <v>301</v>
      </c>
      <c r="J13" s="777" t="s">
        <v>302</v>
      </c>
      <c r="K13" s="777" t="s">
        <v>303</v>
      </c>
      <c r="L13" s="777" t="s">
        <v>304</v>
      </c>
      <c r="M13" s="777" t="s">
        <v>305</v>
      </c>
      <c r="N13" s="777" t="s">
        <v>306</v>
      </c>
      <c r="O13" s="777" t="s">
        <v>307</v>
      </c>
      <c r="P13" s="777" t="s">
        <v>308</v>
      </c>
      <c r="Q13" s="777" t="s">
        <v>309</v>
      </c>
      <c r="R13" s="777" t="s">
        <v>310</v>
      </c>
    </row>
    <row r="14" spans="1:19" ht="14.25" customHeight="1" thickBot="1">
      <c r="A14" s="783" t="s">
        <v>269</v>
      </c>
      <c r="B14" s="787" t="s">
        <v>226</v>
      </c>
      <c r="C14" s="777">
        <v>25600</v>
      </c>
      <c r="D14" s="777">
        <v>22260</v>
      </c>
      <c r="E14" s="777">
        <v>22110</v>
      </c>
      <c r="F14" s="791">
        <v>7630</v>
      </c>
      <c r="G14" s="780"/>
      <c r="I14" s="777" t="s">
        <v>311</v>
      </c>
      <c r="J14" s="777" t="s">
        <v>312</v>
      </c>
      <c r="K14" s="777" t="s">
        <v>313</v>
      </c>
      <c r="L14" s="777" t="s">
        <v>314</v>
      </c>
      <c r="M14" s="777" t="s">
        <v>315</v>
      </c>
      <c r="N14" s="777" t="s">
        <v>316</v>
      </c>
      <c r="O14" s="777" t="s">
        <v>317</v>
      </c>
      <c r="P14" s="777" t="s">
        <v>318</v>
      </c>
      <c r="Q14" s="777" t="s">
        <v>319</v>
      </c>
      <c r="R14" s="777" t="s">
        <v>320</v>
      </c>
    </row>
    <row r="15" spans="1:19" ht="14.25" customHeight="1" thickBot="1">
      <c r="A15" s="783" t="s">
        <v>269</v>
      </c>
      <c r="B15" s="787" t="s">
        <v>237</v>
      </c>
      <c r="C15" s="777">
        <v>24760</v>
      </c>
      <c r="D15" s="777">
        <v>24440</v>
      </c>
      <c r="E15" s="777">
        <v>24130</v>
      </c>
      <c r="F15" s="791">
        <v>9480</v>
      </c>
      <c r="G15" s="780"/>
      <c r="I15" s="777" t="s">
        <v>322</v>
      </c>
      <c r="J15" s="777" t="s">
        <v>323</v>
      </c>
      <c r="K15" s="777" t="s">
        <v>324</v>
      </c>
      <c r="L15" s="777" t="s">
        <v>325</v>
      </c>
      <c r="M15" s="777" t="s">
        <v>326</v>
      </c>
      <c r="N15" s="777" t="s">
        <v>327</v>
      </c>
      <c r="O15" s="777" t="s">
        <v>328</v>
      </c>
      <c r="P15" s="777" t="s">
        <v>329</v>
      </c>
      <c r="Q15" s="777" t="s">
        <v>330</v>
      </c>
      <c r="R15" s="777" t="s">
        <v>331</v>
      </c>
    </row>
    <row r="16" spans="1:19" ht="14.25" customHeight="1" thickBot="1">
      <c r="A16" s="783" t="s">
        <v>269</v>
      </c>
      <c r="B16" s="787" t="s">
        <v>248</v>
      </c>
      <c r="C16" s="777">
        <v>22220</v>
      </c>
      <c r="D16" s="777">
        <v>22310</v>
      </c>
      <c r="E16" s="777">
        <v>22000</v>
      </c>
      <c r="F16" s="791">
        <v>8900</v>
      </c>
      <c r="G16" s="780"/>
      <c r="I16" s="777" t="s">
        <v>333</v>
      </c>
      <c r="J16" s="777" t="s">
        <v>334</v>
      </c>
      <c r="K16" s="777" t="s">
        <v>335</v>
      </c>
      <c r="L16" s="777" t="s">
        <v>336</v>
      </c>
      <c r="M16" s="777" t="s">
        <v>337</v>
      </c>
      <c r="N16" s="777" t="s">
        <v>338</v>
      </c>
      <c r="O16" s="777" t="s">
        <v>339</v>
      </c>
      <c r="P16" s="777" t="s">
        <v>340</v>
      </c>
      <c r="Q16" s="777" t="s">
        <v>341</v>
      </c>
      <c r="R16" s="777" t="s">
        <v>342</v>
      </c>
    </row>
    <row r="17" spans="1:18" ht="14.25" customHeight="1" thickBot="1">
      <c r="A17" s="783" t="s">
        <v>269</v>
      </c>
      <c r="B17" s="787" t="s">
        <v>259</v>
      </c>
      <c r="C17" s="777">
        <v>24700</v>
      </c>
      <c r="D17" s="777">
        <v>25150</v>
      </c>
      <c r="E17" s="777">
        <v>24700</v>
      </c>
      <c r="F17" s="792"/>
      <c r="G17" s="780"/>
      <c r="I17" s="777" t="s">
        <v>343</v>
      </c>
      <c r="J17" s="777" t="s">
        <v>344</v>
      </c>
      <c r="K17" s="777" t="s">
        <v>345</v>
      </c>
      <c r="L17" s="777" t="s">
        <v>346</v>
      </c>
      <c r="M17" s="777" t="s">
        <v>347</v>
      </c>
      <c r="N17" s="777" t="s">
        <v>348</v>
      </c>
      <c r="O17" s="777" t="s">
        <v>349</v>
      </c>
      <c r="P17" s="777" t="s">
        <v>350</v>
      </c>
      <c r="Q17" s="777" t="s">
        <v>351</v>
      </c>
      <c r="R17" s="777" t="s">
        <v>352</v>
      </c>
    </row>
    <row r="18" spans="1:18" ht="14.25" customHeight="1" thickBot="1">
      <c r="A18" s="783" t="s">
        <v>269</v>
      </c>
      <c r="B18" s="787" t="s">
        <v>271</v>
      </c>
      <c r="C18" s="777">
        <v>22350</v>
      </c>
      <c r="D18" s="777">
        <v>24340</v>
      </c>
      <c r="E18" s="777">
        <v>24100</v>
      </c>
      <c r="F18" s="792"/>
      <c r="G18" s="780"/>
      <c r="I18" s="777" t="s">
        <v>353</v>
      </c>
      <c r="J18" s="777" t="s">
        <v>354</v>
      </c>
      <c r="K18" s="777" t="s">
        <v>355</v>
      </c>
      <c r="L18" s="777" t="s">
        <v>356</v>
      </c>
      <c r="M18" s="777" t="s">
        <v>357</v>
      </c>
      <c r="N18" s="777" t="s">
        <v>358</v>
      </c>
      <c r="O18" s="777" t="s">
        <v>359</v>
      </c>
      <c r="P18" s="777" t="s">
        <v>360</v>
      </c>
      <c r="Q18" s="777" t="s">
        <v>361</v>
      </c>
      <c r="R18" s="777" t="s">
        <v>362</v>
      </c>
    </row>
    <row r="19" spans="1:18" ht="14.25" customHeight="1" thickBot="1">
      <c r="A19" s="783" t="s">
        <v>269</v>
      </c>
      <c r="B19" s="787" t="s">
        <v>281</v>
      </c>
      <c r="C19" s="777">
        <v>23430</v>
      </c>
      <c r="D19" s="777">
        <v>21580</v>
      </c>
      <c r="E19" s="777">
        <v>21350</v>
      </c>
      <c r="F19" s="792"/>
      <c r="G19" s="780"/>
      <c r="I19" s="777" t="s">
        <v>363</v>
      </c>
      <c r="J19" s="777" t="s">
        <v>364</v>
      </c>
      <c r="K19" s="777" t="s">
        <v>365</v>
      </c>
      <c r="L19" s="777" t="s">
        <v>366</v>
      </c>
      <c r="M19" s="777" t="s">
        <v>367</v>
      </c>
      <c r="N19" s="777" t="s">
        <v>368</v>
      </c>
      <c r="O19" s="777" t="s">
        <v>369</v>
      </c>
      <c r="P19" s="777" t="s">
        <v>370</v>
      </c>
      <c r="Q19" s="777" t="s">
        <v>371</v>
      </c>
      <c r="R19" s="777" t="s">
        <v>372</v>
      </c>
    </row>
    <row r="20" spans="1:18" ht="14.25" customHeight="1" thickBot="1">
      <c r="A20" s="783" t="s">
        <v>269</v>
      </c>
      <c r="B20" s="787" t="s">
        <v>291</v>
      </c>
      <c r="C20" s="777">
        <v>27660</v>
      </c>
      <c r="D20" s="777">
        <v>24240</v>
      </c>
      <c r="E20" s="777">
        <v>24020</v>
      </c>
      <c r="F20" s="792"/>
      <c r="I20" s="777" t="s">
        <v>373</v>
      </c>
      <c r="J20" s="777" t="s">
        <v>374</v>
      </c>
      <c r="K20" s="777" t="s">
        <v>375</v>
      </c>
      <c r="L20" s="777" t="s">
        <v>376</v>
      </c>
      <c r="M20" s="777" t="s">
        <v>377</v>
      </c>
      <c r="N20" s="777" t="s">
        <v>378</v>
      </c>
      <c r="O20" s="777" t="s">
        <v>379</v>
      </c>
      <c r="P20" s="777" t="s">
        <v>380</v>
      </c>
      <c r="Q20" s="777" t="s">
        <v>381</v>
      </c>
      <c r="R20" s="777" t="s">
        <v>382</v>
      </c>
    </row>
    <row r="21" spans="1:18" ht="14.25" customHeight="1" thickBot="1">
      <c r="A21" s="783" t="s">
        <v>269</v>
      </c>
      <c r="B21" s="787" t="s">
        <v>301</v>
      </c>
      <c r="C21" s="777">
        <v>24720</v>
      </c>
      <c r="D21" s="777">
        <v>21670</v>
      </c>
      <c r="E21" s="777">
        <v>21510</v>
      </c>
      <c r="F21" s="792"/>
      <c r="J21" s="777" t="s">
        <v>383</v>
      </c>
      <c r="K21" s="777" t="s">
        <v>384</v>
      </c>
      <c r="L21" s="777" t="s">
        <v>385</v>
      </c>
      <c r="M21" s="777" t="s">
        <v>386</v>
      </c>
      <c r="N21" s="777" t="s">
        <v>387</v>
      </c>
      <c r="O21" s="777" t="s">
        <v>388</v>
      </c>
      <c r="P21" s="777" t="s">
        <v>389</v>
      </c>
      <c r="Q21" s="777" t="s">
        <v>390</v>
      </c>
      <c r="R21" s="777" t="s">
        <v>391</v>
      </c>
    </row>
    <row r="22" spans="1:18" ht="14.25" customHeight="1" thickBot="1">
      <c r="A22" s="783" t="s">
        <v>269</v>
      </c>
      <c r="B22" s="787" t="s">
        <v>392</v>
      </c>
      <c r="C22" s="777">
        <v>26530</v>
      </c>
      <c r="D22" s="777">
        <v>22980</v>
      </c>
      <c r="E22" s="777">
        <v>22650</v>
      </c>
      <c r="F22" s="792"/>
      <c r="K22" s="777" t="s">
        <v>393</v>
      </c>
      <c r="L22" s="777" t="s">
        <v>394</v>
      </c>
      <c r="M22" s="777" t="s">
        <v>395</v>
      </c>
      <c r="N22" s="777" t="s">
        <v>396</v>
      </c>
      <c r="O22" s="777" t="s">
        <v>397</v>
      </c>
      <c r="P22" s="777" t="s">
        <v>398</v>
      </c>
      <c r="Q22" s="777" t="s">
        <v>399</v>
      </c>
      <c r="R22" s="787" t="s">
        <v>400</v>
      </c>
    </row>
    <row r="23" spans="1:18" ht="14.25" customHeight="1" thickBot="1">
      <c r="A23" s="783" t="s">
        <v>269</v>
      </c>
      <c r="B23" s="787" t="s">
        <v>322</v>
      </c>
      <c r="C23" s="777">
        <v>24700</v>
      </c>
      <c r="D23" s="777">
        <v>27290</v>
      </c>
      <c r="E23" s="777">
        <v>26710</v>
      </c>
      <c r="F23" s="792"/>
      <c r="K23" s="777" t="s">
        <v>401</v>
      </c>
      <c r="L23" s="777" t="s">
        <v>402</v>
      </c>
      <c r="M23" s="777" t="s">
        <v>403</v>
      </c>
      <c r="N23" s="777" t="s">
        <v>404</v>
      </c>
      <c r="O23" s="777" t="s">
        <v>405</v>
      </c>
      <c r="P23" s="777" t="s">
        <v>406</v>
      </c>
      <c r="Q23" s="777" t="s">
        <v>407</v>
      </c>
    </row>
    <row r="24" spans="1:18" ht="14.25" customHeight="1" thickBot="1">
      <c r="A24" s="783" t="s">
        <v>269</v>
      </c>
      <c r="B24" s="787" t="s">
        <v>333</v>
      </c>
      <c r="C24" s="777">
        <v>23070</v>
      </c>
      <c r="D24" s="777">
        <v>24130</v>
      </c>
      <c r="E24" s="777">
        <v>23860</v>
      </c>
      <c r="F24" s="792"/>
      <c r="K24" s="777" t="s">
        <v>408</v>
      </c>
      <c r="L24" s="777" t="s">
        <v>409</v>
      </c>
      <c r="M24" s="777" t="s">
        <v>410</v>
      </c>
      <c r="N24" s="777" t="s">
        <v>411</v>
      </c>
      <c r="O24" s="777" t="s">
        <v>412</v>
      </c>
      <c r="P24" s="777" t="s">
        <v>413</v>
      </c>
      <c r="Q24" s="777" t="s">
        <v>414</v>
      </c>
    </row>
    <row r="25" spans="1:18" ht="14.25" customHeight="1" thickBot="1">
      <c r="A25" s="783" t="s">
        <v>269</v>
      </c>
      <c r="B25" s="787" t="s">
        <v>343</v>
      </c>
      <c r="C25" s="777">
        <v>27550</v>
      </c>
      <c r="D25" s="777">
        <v>25850</v>
      </c>
      <c r="E25" s="777">
        <v>25340</v>
      </c>
      <c r="F25" s="792"/>
      <c r="K25" s="777" t="s">
        <v>415</v>
      </c>
      <c r="L25" s="777" t="s">
        <v>416</v>
      </c>
      <c r="M25" s="777" t="s">
        <v>417</v>
      </c>
      <c r="N25" s="777" t="s">
        <v>418</v>
      </c>
      <c r="O25" s="777" t="s">
        <v>419</v>
      </c>
      <c r="P25" s="777" t="s">
        <v>420</v>
      </c>
      <c r="Q25" s="777" t="s">
        <v>421</v>
      </c>
    </row>
    <row r="26" spans="1:18" ht="14.25" customHeight="1" thickBot="1">
      <c r="A26" s="783" t="s">
        <v>269</v>
      </c>
      <c r="B26" s="787" t="s">
        <v>353</v>
      </c>
      <c r="C26" s="777"/>
      <c r="D26" s="777">
        <v>23900</v>
      </c>
      <c r="E26" s="777">
        <v>23590</v>
      </c>
      <c r="F26" s="792"/>
      <c r="K26" s="777" t="s">
        <v>422</v>
      </c>
      <c r="L26" s="777" t="s">
        <v>423</v>
      </c>
      <c r="M26" s="777" t="s">
        <v>424</v>
      </c>
      <c r="N26" s="777" t="s">
        <v>425</v>
      </c>
      <c r="O26" s="777" t="s">
        <v>426</v>
      </c>
      <c r="P26" s="777" t="s">
        <v>427</v>
      </c>
      <c r="Q26" s="777" t="s">
        <v>428</v>
      </c>
    </row>
    <row r="27" spans="1:18" ht="14.25" customHeight="1" thickBot="1">
      <c r="A27" s="783" t="s">
        <v>269</v>
      </c>
      <c r="B27" s="787" t="s">
        <v>363</v>
      </c>
      <c r="C27" s="777"/>
      <c r="D27" s="777">
        <v>22850</v>
      </c>
      <c r="E27" s="777">
        <v>21920</v>
      </c>
      <c r="F27" s="792"/>
      <c r="K27" s="777" t="s">
        <v>429</v>
      </c>
      <c r="L27" s="777" t="s">
        <v>430</v>
      </c>
      <c r="M27" s="777" t="s">
        <v>431</v>
      </c>
      <c r="N27" s="777" t="s">
        <v>432</v>
      </c>
      <c r="O27" s="777" t="s">
        <v>433</v>
      </c>
      <c r="P27" s="777" t="s">
        <v>434</v>
      </c>
      <c r="Q27" s="777" t="s">
        <v>435</v>
      </c>
    </row>
    <row r="28" spans="1:18" ht="14.25" customHeight="1" thickBot="1">
      <c r="A28" s="793" t="s">
        <v>269</v>
      </c>
      <c r="B28" s="788" t="s">
        <v>373</v>
      </c>
      <c r="C28" s="789"/>
      <c r="D28" s="789">
        <v>26610</v>
      </c>
      <c r="E28" s="789">
        <v>26370</v>
      </c>
      <c r="F28" s="790"/>
      <c r="K28" s="777" t="s">
        <v>436</v>
      </c>
      <c r="L28" s="777" t="s">
        <v>437</v>
      </c>
      <c r="M28" s="777" t="s">
        <v>438</v>
      </c>
      <c r="N28" s="777" t="s">
        <v>439</v>
      </c>
      <c r="O28" s="777" t="s">
        <v>440</v>
      </c>
      <c r="P28" s="777" t="s">
        <v>441</v>
      </c>
    </row>
    <row r="29" spans="1:18" ht="14.25" customHeight="1" thickBot="1">
      <c r="A29" s="783" t="s">
        <v>442</v>
      </c>
      <c r="B29" s="784" t="s">
        <v>443</v>
      </c>
      <c r="C29" s="784">
        <v>22090</v>
      </c>
      <c r="D29" s="784">
        <v>21860</v>
      </c>
      <c r="E29" s="784">
        <v>19380</v>
      </c>
      <c r="F29" s="785">
        <v>6610</v>
      </c>
      <c r="L29" s="777" t="s">
        <v>444</v>
      </c>
      <c r="M29" s="777" t="s">
        <v>445</v>
      </c>
      <c r="N29" s="777" t="s">
        <v>446</v>
      </c>
      <c r="O29" s="777" t="s">
        <v>447</v>
      </c>
      <c r="P29" s="777" t="s">
        <v>448</v>
      </c>
    </row>
    <row r="30" spans="1:18" ht="14.25" customHeight="1" thickBot="1">
      <c r="A30" s="783" t="s">
        <v>442</v>
      </c>
      <c r="B30" s="787" t="s">
        <v>189</v>
      </c>
      <c r="C30" s="777">
        <v>21380</v>
      </c>
      <c r="D30" s="777">
        <v>19930</v>
      </c>
      <c r="E30" s="777">
        <v>19860</v>
      </c>
      <c r="F30" s="791">
        <v>6010</v>
      </c>
      <c r="L30" s="777" t="s">
        <v>449</v>
      </c>
      <c r="M30" s="777" t="s">
        <v>450</v>
      </c>
      <c r="N30" s="777" t="s">
        <v>451</v>
      </c>
      <c r="O30" s="777" t="s">
        <v>1021</v>
      </c>
      <c r="P30" s="777" t="s">
        <v>452</v>
      </c>
    </row>
    <row r="31" spans="1:18" ht="14.25" customHeight="1" thickBot="1">
      <c r="A31" s="783" t="s">
        <v>442</v>
      </c>
      <c r="B31" s="787" t="s">
        <v>202</v>
      </c>
      <c r="C31" s="777">
        <v>21670</v>
      </c>
      <c r="D31" s="777">
        <v>20660</v>
      </c>
      <c r="E31" s="777">
        <v>20290</v>
      </c>
      <c r="F31" s="791">
        <v>5840</v>
      </c>
      <c r="L31" s="777" t="s">
        <v>453</v>
      </c>
      <c r="M31" s="777" t="s">
        <v>454</v>
      </c>
      <c r="N31" s="777" t="s">
        <v>455</v>
      </c>
      <c r="O31" s="777" t="s">
        <v>456</v>
      </c>
      <c r="P31" s="777" t="s">
        <v>457</v>
      </c>
    </row>
    <row r="32" spans="1:18" ht="14.25" customHeight="1" thickBot="1">
      <c r="A32" s="783" t="s">
        <v>442</v>
      </c>
      <c r="B32" s="787" t="s">
        <v>215</v>
      </c>
      <c r="C32" s="777">
        <v>22280</v>
      </c>
      <c r="D32" s="777">
        <v>21800</v>
      </c>
      <c r="E32" s="777">
        <v>17650</v>
      </c>
      <c r="F32" s="791">
        <v>4690</v>
      </c>
      <c r="L32" s="777" t="s">
        <v>458</v>
      </c>
      <c r="M32" s="777" t="s">
        <v>459</v>
      </c>
      <c r="N32" s="777" t="s">
        <v>460</v>
      </c>
      <c r="O32" s="777" t="s">
        <v>461</v>
      </c>
      <c r="P32" s="777" t="s">
        <v>462</v>
      </c>
    </row>
    <row r="33" spans="1:16" ht="14.25" customHeight="1" thickBot="1">
      <c r="A33" s="783" t="s">
        <v>442</v>
      </c>
      <c r="B33" s="787" t="s">
        <v>227</v>
      </c>
      <c r="C33" s="777">
        <v>22130</v>
      </c>
      <c r="D33" s="777">
        <v>20460</v>
      </c>
      <c r="E33" s="777">
        <v>18500</v>
      </c>
      <c r="F33" s="791">
        <v>5340</v>
      </c>
      <c r="L33" s="777" t="s">
        <v>463</v>
      </c>
      <c r="M33" s="777" t="s">
        <v>464</v>
      </c>
      <c r="N33" s="777" t="s">
        <v>465</v>
      </c>
      <c r="O33" s="777" t="s">
        <v>466</v>
      </c>
      <c r="P33" s="777" t="s">
        <v>467</v>
      </c>
    </row>
    <row r="34" spans="1:16" ht="14.25" customHeight="1" thickBot="1">
      <c r="A34" s="783" t="s">
        <v>442</v>
      </c>
      <c r="B34" s="787" t="s">
        <v>238</v>
      </c>
      <c r="C34" s="777">
        <v>22070</v>
      </c>
      <c r="D34" s="777">
        <v>20110</v>
      </c>
      <c r="E34" s="777">
        <v>18830</v>
      </c>
      <c r="F34" s="791">
        <v>5190</v>
      </c>
      <c r="L34" s="777" t="s">
        <v>468</v>
      </c>
      <c r="M34" s="777" t="s">
        <v>469</v>
      </c>
      <c r="N34" s="777" t="s">
        <v>470</v>
      </c>
      <c r="O34" s="777" t="s">
        <v>471</v>
      </c>
      <c r="P34" s="777" t="s">
        <v>472</v>
      </c>
    </row>
    <row r="35" spans="1:16" ht="14.25" customHeight="1" thickBot="1">
      <c r="A35" s="783" t="s">
        <v>442</v>
      </c>
      <c r="B35" s="787" t="s">
        <v>249</v>
      </c>
      <c r="C35" s="777">
        <v>22240</v>
      </c>
      <c r="D35" s="777">
        <v>19550</v>
      </c>
      <c r="E35" s="777">
        <v>19220</v>
      </c>
      <c r="F35" s="791">
        <v>5800</v>
      </c>
      <c r="L35" s="777" t="s">
        <v>473</v>
      </c>
      <c r="M35" s="777" t="s">
        <v>474</v>
      </c>
      <c r="N35" s="777" t="s">
        <v>475</v>
      </c>
      <c r="O35" s="777" t="s">
        <v>476</v>
      </c>
      <c r="P35" s="777" t="s">
        <v>477</v>
      </c>
    </row>
    <row r="36" spans="1:16" ht="14.25" customHeight="1" thickBot="1">
      <c r="A36" s="783" t="s">
        <v>442</v>
      </c>
      <c r="B36" s="787" t="s">
        <v>260</v>
      </c>
      <c r="C36" s="777">
        <v>19750</v>
      </c>
      <c r="D36" s="777">
        <v>19790</v>
      </c>
      <c r="E36" s="777">
        <v>18510</v>
      </c>
      <c r="F36" s="791">
        <v>6520</v>
      </c>
      <c r="M36" s="777" t="s">
        <v>478</v>
      </c>
      <c r="N36" s="777" t="s">
        <v>479</v>
      </c>
      <c r="O36" s="777" t="s">
        <v>480</v>
      </c>
      <c r="P36" s="777" t="s">
        <v>481</v>
      </c>
    </row>
    <row r="37" spans="1:16" ht="14.25" customHeight="1" thickBot="1">
      <c r="A37" s="783" t="s">
        <v>442</v>
      </c>
      <c r="B37" s="787" t="s">
        <v>272</v>
      </c>
      <c r="C37" s="777">
        <v>22380</v>
      </c>
      <c r="D37" s="777">
        <v>18530</v>
      </c>
      <c r="E37" s="777">
        <v>17930</v>
      </c>
      <c r="F37" s="791">
        <v>6270</v>
      </c>
      <c r="M37" s="777" t="s">
        <v>482</v>
      </c>
      <c r="N37" s="777" t="s">
        <v>483</v>
      </c>
      <c r="O37" s="777" t="s">
        <v>484</v>
      </c>
      <c r="P37" s="777" t="s">
        <v>485</v>
      </c>
    </row>
    <row r="38" spans="1:16" ht="14.25" customHeight="1" thickBot="1">
      <c r="A38" s="783" t="s">
        <v>442</v>
      </c>
      <c r="B38" s="787" t="s">
        <v>282</v>
      </c>
      <c r="C38" s="777">
        <v>20200</v>
      </c>
      <c r="D38" s="777">
        <v>20070</v>
      </c>
      <c r="E38" s="777">
        <v>19950</v>
      </c>
      <c r="F38" s="791"/>
      <c r="M38" s="777" t="s">
        <v>486</v>
      </c>
      <c r="N38" s="777" t="s">
        <v>487</v>
      </c>
      <c r="O38" s="777" t="s">
        <v>488</v>
      </c>
      <c r="P38" s="777" t="s">
        <v>489</v>
      </c>
    </row>
    <row r="39" spans="1:16" ht="14.25" customHeight="1" thickBot="1">
      <c r="A39" s="783" t="s">
        <v>442</v>
      </c>
      <c r="B39" s="787" t="s">
        <v>292</v>
      </c>
      <c r="C39" s="777">
        <v>19300</v>
      </c>
      <c r="D39" s="777">
        <v>20360</v>
      </c>
      <c r="E39" s="777">
        <v>20230</v>
      </c>
      <c r="F39" s="791"/>
      <c r="M39" s="777" t="s">
        <v>490</v>
      </c>
      <c r="N39" s="777" t="s">
        <v>491</v>
      </c>
      <c r="O39" s="777" t="s">
        <v>492</v>
      </c>
      <c r="P39" s="777" t="s">
        <v>493</v>
      </c>
    </row>
    <row r="40" spans="1:16" ht="14.25" customHeight="1" thickBot="1">
      <c r="A40" s="783" t="s">
        <v>442</v>
      </c>
      <c r="B40" s="787" t="s">
        <v>302</v>
      </c>
      <c r="C40" s="777">
        <v>20210</v>
      </c>
      <c r="D40" s="777">
        <v>19060</v>
      </c>
      <c r="E40" s="777">
        <v>18890</v>
      </c>
      <c r="F40" s="791"/>
      <c r="M40" s="777" t="s">
        <v>494</v>
      </c>
      <c r="N40" s="777" t="s">
        <v>495</v>
      </c>
      <c r="O40" s="777" t="s">
        <v>496</v>
      </c>
      <c r="P40" s="777" t="s">
        <v>497</v>
      </c>
    </row>
    <row r="41" spans="1:16" ht="14.25" customHeight="1" thickBot="1">
      <c r="A41" s="783" t="s">
        <v>442</v>
      </c>
      <c r="B41" s="787" t="s">
        <v>312</v>
      </c>
      <c r="C41" s="777">
        <v>20560</v>
      </c>
      <c r="D41" s="777">
        <v>21040</v>
      </c>
      <c r="E41" s="777">
        <v>20740</v>
      </c>
      <c r="F41" s="791"/>
      <c r="M41" s="787" t="s">
        <v>498</v>
      </c>
      <c r="N41" s="787" t="s">
        <v>499</v>
      </c>
      <c r="P41" s="787" t="s">
        <v>500</v>
      </c>
    </row>
    <row r="42" spans="1:16" ht="14.25" customHeight="1" thickBot="1">
      <c r="A42" s="783" t="s">
        <v>442</v>
      </c>
      <c r="B42" s="787" t="s">
        <v>323</v>
      </c>
      <c r="C42" s="777">
        <v>19280</v>
      </c>
      <c r="D42" s="777">
        <v>22940</v>
      </c>
      <c r="E42" s="777">
        <v>22500</v>
      </c>
      <c r="F42" s="791"/>
      <c r="M42" s="777" t="s">
        <v>501</v>
      </c>
      <c r="N42" s="777" t="s">
        <v>502</v>
      </c>
      <c r="P42" s="777" t="s">
        <v>503</v>
      </c>
    </row>
    <row r="43" spans="1:16" ht="14.25" customHeight="1" thickBot="1">
      <c r="A43" s="783" t="s">
        <v>442</v>
      </c>
      <c r="B43" s="787" t="s">
        <v>334</v>
      </c>
      <c r="C43" s="777">
        <v>21520</v>
      </c>
      <c r="D43" s="777">
        <v>19230</v>
      </c>
      <c r="E43" s="777">
        <v>18540</v>
      </c>
      <c r="F43" s="791"/>
      <c r="M43" s="777" t="s">
        <v>504</v>
      </c>
      <c r="N43" s="777" t="s">
        <v>505</v>
      </c>
      <c r="P43" s="777" t="s">
        <v>506</v>
      </c>
    </row>
    <row r="44" spans="1:16" ht="14.25" customHeight="1" thickBot="1">
      <c r="A44" s="783" t="s">
        <v>442</v>
      </c>
      <c r="B44" s="787" t="s">
        <v>344</v>
      </c>
      <c r="C44" s="777">
        <v>23260</v>
      </c>
      <c r="D44" s="777">
        <v>21180</v>
      </c>
      <c r="E44" s="777">
        <v>20730</v>
      </c>
      <c r="F44" s="791"/>
      <c r="M44" s="777" t="s">
        <v>507</v>
      </c>
      <c r="N44" s="777" t="s">
        <v>508</v>
      </c>
      <c r="P44" s="777" t="s">
        <v>509</v>
      </c>
    </row>
    <row r="45" spans="1:16" ht="14.25" customHeight="1" thickBot="1">
      <c r="A45" s="783" t="s">
        <v>442</v>
      </c>
      <c r="B45" s="787" t="s">
        <v>354</v>
      </c>
      <c r="C45" s="777">
        <v>19610</v>
      </c>
      <c r="D45" s="777">
        <v>18090</v>
      </c>
      <c r="E45" s="777">
        <v>17970</v>
      </c>
      <c r="F45" s="791"/>
      <c r="M45" s="777" t="s">
        <v>510</v>
      </c>
      <c r="N45" s="777" t="s">
        <v>511</v>
      </c>
      <c r="P45" s="777" t="s">
        <v>512</v>
      </c>
    </row>
    <row r="46" spans="1:16" ht="14.25" customHeight="1" thickBot="1">
      <c r="A46" s="783" t="s">
        <v>442</v>
      </c>
      <c r="B46" s="787" t="s">
        <v>364</v>
      </c>
      <c r="C46" s="777">
        <v>21660</v>
      </c>
      <c r="D46" s="777">
        <v>19190</v>
      </c>
      <c r="E46" s="777">
        <v>19790</v>
      </c>
      <c r="F46" s="791"/>
      <c r="M46" s="777" t="s">
        <v>513</v>
      </c>
      <c r="N46" s="777" t="s">
        <v>514</v>
      </c>
      <c r="P46" s="777" t="s">
        <v>515</v>
      </c>
    </row>
    <row r="47" spans="1:16" ht="14.25" customHeight="1" thickBot="1">
      <c r="A47" s="783" t="s">
        <v>442</v>
      </c>
      <c r="B47" s="787" t="s">
        <v>374</v>
      </c>
      <c r="C47" s="777">
        <v>18220</v>
      </c>
      <c r="D47" s="777"/>
      <c r="E47" s="777">
        <v>17220</v>
      </c>
      <c r="F47" s="791"/>
      <c r="M47" s="777" t="s">
        <v>516</v>
      </c>
      <c r="N47" s="777" t="s">
        <v>517</v>
      </c>
    </row>
    <row r="48" spans="1:16" ht="14.25" customHeight="1" thickBot="1">
      <c r="A48" s="783" t="s">
        <v>442</v>
      </c>
      <c r="B48" s="788" t="s">
        <v>383</v>
      </c>
      <c r="C48" s="789">
        <v>19430</v>
      </c>
      <c r="D48" s="789"/>
      <c r="E48" s="789">
        <v>17830</v>
      </c>
      <c r="F48" s="794"/>
      <c r="M48" s="777" t="s">
        <v>518</v>
      </c>
      <c r="N48" s="777" t="s">
        <v>519</v>
      </c>
    </row>
    <row r="49" spans="1:14" ht="14.25" customHeight="1" thickBot="1">
      <c r="A49" s="783" t="s">
        <v>137</v>
      </c>
      <c r="B49" s="784" t="s">
        <v>520</v>
      </c>
      <c r="C49" s="784">
        <v>17090</v>
      </c>
      <c r="D49" s="784">
        <v>16950</v>
      </c>
      <c r="E49" s="784">
        <v>16310</v>
      </c>
      <c r="F49" s="785">
        <v>4540</v>
      </c>
      <c r="M49" s="777" t="s">
        <v>521</v>
      </c>
      <c r="N49" s="777" t="s">
        <v>522</v>
      </c>
    </row>
    <row r="50" spans="1:14" ht="14.25" customHeight="1" thickBot="1">
      <c r="A50" s="783" t="s">
        <v>137</v>
      </c>
      <c r="B50" s="777" t="s">
        <v>190</v>
      </c>
      <c r="C50" s="777">
        <v>19040</v>
      </c>
      <c r="D50" s="777">
        <v>16960</v>
      </c>
      <c r="E50" s="777">
        <v>14800</v>
      </c>
      <c r="F50" s="791">
        <v>3940</v>
      </c>
    </row>
    <row r="51" spans="1:14" ht="14.25" customHeight="1" thickBot="1">
      <c r="A51" s="783" t="s">
        <v>137</v>
      </c>
      <c r="B51" s="777" t="s">
        <v>203</v>
      </c>
      <c r="C51" s="777">
        <v>17040</v>
      </c>
      <c r="D51" s="777">
        <v>16930</v>
      </c>
      <c r="E51" s="777">
        <v>15030</v>
      </c>
      <c r="F51" s="791">
        <v>4120</v>
      </c>
    </row>
    <row r="52" spans="1:14" ht="14.25" customHeight="1" thickBot="1">
      <c r="A52" s="783" t="s">
        <v>137</v>
      </c>
      <c r="B52" s="777" t="s">
        <v>216</v>
      </c>
      <c r="C52" s="777">
        <v>17110</v>
      </c>
      <c r="D52" s="777">
        <v>17750</v>
      </c>
      <c r="E52" s="777">
        <v>17310</v>
      </c>
      <c r="F52" s="791">
        <v>3220</v>
      </c>
    </row>
    <row r="53" spans="1:14" ht="14.25" customHeight="1" thickBot="1">
      <c r="A53" s="783" t="s">
        <v>137</v>
      </c>
      <c r="B53" s="777" t="s">
        <v>228</v>
      </c>
      <c r="C53" s="777">
        <v>17810</v>
      </c>
      <c r="D53" s="777">
        <v>17260</v>
      </c>
      <c r="E53" s="777">
        <v>17090</v>
      </c>
      <c r="F53" s="791">
        <v>3520</v>
      </c>
    </row>
    <row r="54" spans="1:14" ht="14.25" customHeight="1" thickBot="1">
      <c r="A54" s="783" t="s">
        <v>137</v>
      </c>
      <c r="B54" s="777" t="s">
        <v>239</v>
      </c>
      <c r="C54" s="777">
        <v>17410</v>
      </c>
      <c r="D54" s="777">
        <v>16780</v>
      </c>
      <c r="E54" s="777">
        <v>16370</v>
      </c>
      <c r="F54" s="791">
        <v>3410</v>
      </c>
    </row>
    <row r="55" spans="1:14" ht="14.25" customHeight="1" thickBot="1">
      <c r="A55" s="783" t="s">
        <v>137</v>
      </c>
      <c r="B55" s="777" t="s">
        <v>250</v>
      </c>
      <c r="C55" s="777">
        <v>16930</v>
      </c>
      <c r="D55" s="777">
        <v>14720</v>
      </c>
      <c r="E55" s="777">
        <v>15000</v>
      </c>
      <c r="F55" s="791">
        <v>3710</v>
      </c>
    </row>
    <row r="56" spans="1:14" ht="14.25" customHeight="1" thickBot="1">
      <c r="A56" s="783" t="s">
        <v>137</v>
      </c>
      <c r="B56" s="777" t="s">
        <v>261</v>
      </c>
      <c r="C56" s="777">
        <v>14930</v>
      </c>
      <c r="D56" s="777">
        <v>15850</v>
      </c>
      <c r="E56" s="777">
        <v>14320</v>
      </c>
      <c r="F56" s="791">
        <v>3960</v>
      </c>
    </row>
    <row r="57" spans="1:14" ht="14.25" customHeight="1" thickBot="1">
      <c r="A57" s="783" t="s">
        <v>137</v>
      </c>
      <c r="B57" s="777" t="s">
        <v>273</v>
      </c>
      <c r="C57" s="777">
        <v>16160</v>
      </c>
      <c r="D57" s="777">
        <v>16190</v>
      </c>
      <c r="E57" s="777">
        <v>15650</v>
      </c>
      <c r="F57" s="791">
        <v>4200</v>
      </c>
    </row>
    <row r="58" spans="1:14" ht="14.25" customHeight="1" thickBot="1">
      <c r="A58" s="783" t="s">
        <v>137</v>
      </c>
      <c r="B58" s="777" t="s">
        <v>283</v>
      </c>
      <c r="C58" s="777">
        <v>16360</v>
      </c>
      <c r="D58" s="777">
        <v>14050</v>
      </c>
      <c r="E58" s="777">
        <v>16070</v>
      </c>
      <c r="F58" s="791">
        <v>3990</v>
      </c>
    </row>
    <row r="59" spans="1:14" ht="14.25" customHeight="1" thickBot="1">
      <c r="A59" s="783" t="s">
        <v>137</v>
      </c>
      <c r="B59" s="777" t="s">
        <v>293</v>
      </c>
      <c r="C59" s="777">
        <v>14160</v>
      </c>
      <c r="D59" s="777">
        <v>16620</v>
      </c>
      <c r="E59" s="777">
        <v>13940</v>
      </c>
      <c r="F59" s="791">
        <v>4260</v>
      </c>
    </row>
    <row r="60" spans="1:14" ht="14.25" customHeight="1" thickBot="1">
      <c r="A60" s="783" t="s">
        <v>137</v>
      </c>
      <c r="B60" s="777" t="s">
        <v>303</v>
      </c>
      <c r="C60" s="777">
        <v>16750</v>
      </c>
      <c r="D60" s="777">
        <v>13910</v>
      </c>
      <c r="E60" s="777">
        <v>16550</v>
      </c>
      <c r="F60" s="791">
        <v>4550</v>
      </c>
    </row>
    <row r="61" spans="1:14" ht="14.25" customHeight="1" thickBot="1">
      <c r="A61" s="783" t="s">
        <v>137</v>
      </c>
      <c r="B61" s="777" t="s">
        <v>313</v>
      </c>
      <c r="C61" s="777">
        <v>14000</v>
      </c>
      <c r="D61" s="777">
        <v>14550</v>
      </c>
      <c r="E61" s="777">
        <v>13860</v>
      </c>
      <c r="F61" s="795"/>
    </row>
    <row r="62" spans="1:14" ht="14.25" customHeight="1" thickBot="1">
      <c r="A62" s="783" t="s">
        <v>137</v>
      </c>
      <c r="B62" s="777" t="s">
        <v>324</v>
      </c>
      <c r="C62" s="777">
        <v>14660</v>
      </c>
      <c r="D62" s="777">
        <v>17450</v>
      </c>
      <c r="E62" s="777">
        <v>14470</v>
      </c>
      <c r="F62" s="795"/>
    </row>
    <row r="63" spans="1:14" ht="14.25" customHeight="1" thickBot="1">
      <c r="A63" s="783" t="s">
        <v>137</v>
      </c>
      <c r="B63" s="777" t="s">
        <v>335</v>
      </c>
      <c r="C63" s="777">
        <v>17610</v>
      </c>
      <c r="D63" s="777">
        <v>16500</v>
      </c>
      <c r="E63" s="777">
        <v>17330</v>
      </c>
      <c r="F63" s="795"/>
    </row>
    <row r="64" spans="1:14" ht="14.25" customHeight="1" thickBot="1">
      <c r="A64" s="783" t="s">
        <v>137</v>
      </c>
      <c r="B64" s="777" t="s">
        <v>345</v>
      </c>
      <c r="C64" s="777">
        <v>16590</v>
      </c>
      <c r="D64" s="777">
        <v>15130</v>
      </c>
      <c r="E64" s="777">
        <v>16420</v>
      </c>
      <c r="F64" s="795"/>
    </row>
    <row r="65" spans="1:6" s="771" customFormat="1" ht="14.25" customHeight="1" thickBot="1">
      <c r="A65" s="783" t="s">
        <v>137</v>
      </c>
      <c r="B65" s="777" t="s">
        <v>355</v>
      </c>
      <c r="C65" s="777">
        <v>15220</v>
      </c>
      <c r="D65" s="777">
        <v>14660</v>
      </c>
      <c r="E65" s="777">
        <v>15060</v>
      </c>
      <c r="F65" s="791"/>
    </row>
    <row r="66" spans="1:6" s="771" customFormat="1" ht="14.25" customHeight="1" thickBot="1">
      <c r="A66" s="783" t="s">
        <v>137</v>
      </c>
      <c r="B66" s="777" t="s">
        <v>365</v>
      </c>
      <c r="C66" s="777">
        <v>14720</v>
      </c>
      <c r="D66" s="777">
        <v>15970</v>
      </c>
      <c r="E66" s="777">
        <v>14610</v>
      </c>
      <c r="F66" s="791"/>
    </row>
    <row r="67" spans="1:6" s="771" customFormat="1" ht="14.25" customHeight="1" thickBot="1">
      <c r="A67" s="783" t="s">
        <v>137</v>
      </c>
      <c r="B67" s="777" t="s">
        <v>375</v>
      </c>
      <c r="C67" s="777">
        <v>16080</v>
      </c>
      <c r="D67" s="777">
        <v>14840</v>
      </c>
      <c r="E67" s="777">
        <v>15630</v>
      </c>
      <c r="F67" s="791"/>
    </row>
    <row r="68" spans="1:6" s="771" customFormat="1" ht="14.25" customHeight="1" thickBot="1">
      <c r="A68" s="783" t="s">
        <v>137</v>
      </c>
      <c r="B68" s="777" t="s">
        <v>384</v>
      </c>
      <c r="C68" s="777">
        <v>14940</v>
      </c>
      <c r="D68" s="777">
        <v>18000</v>
      </c>
      <c r="E68" s="777">
        <v>14040</v>
      </c>
      <c r="F68" s="791"/>
    </row>
    <row r="69" spans="1:6" s="771" customFormat="1" ht="14.25" customHeight="1" thickBot="1">
      <c r="A69" s="783" t="s">
        <v>137</v>
      </c>
      <c r="B69" s="777" t="s">
        <v>393</v>
      </c>
      <c r="C69" s="777">
        <v>18810</v>
      </c>
      <c r="D69" s="777">
        <v>15100</v>
      </c>
      <c r="E69" s="777">
        <v>14710</v>
      </c>
      <c r="F69" s="791"/>
    </row>
    <row r="70" spans="1:6" s="771" customFormat="1" ht="14.25" customHeight="1" thickBot="1">
      <c r="A70" s="783" t="s">
        <v>137</v>
      </c>
      <c r="B70" s="777" t="s">
        <v>401</v>
      </c>
      <c r="C70" s="777">
        <v>18270</v>
      </c>
      <c r="D70" s="777"/>
      <c r="E70" s="777"/>
      <c r="F70" s="791"/>
    </row>
    <row r="71" spans="1:6" s="771" customFormat="1" ht="14.25" customHeight="1" thickBot="1">
      <c r="A71" s="783" t="s">
        <v>137</v>
      </c>
      <c r="B71" s="777" t="s">
        <v>408</v>
      </c>
      <c r="C71" s="777">
        <v>15230</v>
      </c>
      <c r="D71" s="777"/>
      <c r="E71" s="777"/>
      <c r="F71" s="791"/>
    </row>
    <row r="72" spans="1:6" s="771" customFormat="1" ht="14.25" customHeight="1" thickBot="1">
      <c r="A72" s="783" t="s">
        <v>137</v>
      </c>
      <c r="B72" s="777" t="s">
        <v>415</v>
      </c>
      <c r="C72" s="777"/>
      <c r="D72" s="777"/>
      <c r="E72" s="777"/>
      <c r="F72" s="791">
        <v>4120</v>
      </c>
    </row>
    <row r="73" spans="1:6" s="771" customFormat="1" ht="14.25" customHeight="1" thickBot="1">
      <c r="A73" s="783" t="s">
        <v>137</v>
      </c>
      <c r="B73" s="777" t="s">
        <v>422</v>
      </c>
      <c r="C73" s="777"/>
      <c r="D73" s="777"/>
      <c r="E73" s="777"/>
      <c r="F73" s="791">
        <v>3930</v>
      </c>
    </row>
    <row r="74" spans="1:6" s="771" customFormat="1" ht="14.25" customHeight="1" thickBot="1">
      <c r="A74" s="783" t="s">
        <v>137</v>
      </c>
      <c r="B74" s="777" t="s">
        <v>429</v>
      </c>
      <c r="C74" s="777"/>
      <c r="D74" s="777"/>
      <c r="E74" s="777"/>
      <c r="F74" s="791">
        <v>4060</v>
      </c>
    </row>
    <row r="75" spans="1:6" s="771" customFormat="1" ht="14.25" customHeight="1" thickBot="1">
      <c r="A75" s="783" t="s">
        <v>137</v>
      </c>
      <c r="B75" s="789" t="s">
        <v>436</v>
      </c>
      <c r="C75" s="789"/>
      <c r="D75" s="789"/>
      <c r="E75" s="789"/>
      <c r="F75" s="794">
        <v>3750</v>
      </c>
    </row>
    <row r="76" spans="1:6" s="771" customFormat="1" ht="14.25" customHeight="1" thickBot="1">
      <c r="A76" s="783" t="s">
        <v>523</v>
      </c>
      <c r="B76" s="784" t="s">
        <v>524</v>
      </c>
      <c r="C76" s="784">
        <v>14690</v>
      </c>
      <c r="D76" s="784">
        <v>14640</v>
      </c>
      <c r="E76" s="784">
        <v>14590</v>
      </c>
      <c r="F76" s="785">
        <v>3060</v>
      </c>
    </row>
    <row r="77" spans="1:6" s="771" customFormat="1" ht="14.25" customHeight="1" thickBot="1">
      <c r="A77" s="783" t="s">
        <v>523</v>
      </c>
      <c r="B77" s="777" t="s">
        <v>191</v>
      </c>
      <c r="C77" s="777">
        <v>12550</v>
      </c>
      <c r="D77" s="777">
        <v>12480</v>
      </c>
      <c r="E77" s="777">
        <v>12450</v>
      </c>
      <c r="F77" s="791">
        <v>2590</v>
      </c>
    </row>
    <row r="78" spans="1:6" s="771" customFormat="1" ht="14.25" customHeight="1" thickBot="1">
      <c r="A78" s="783" t="s">
        <v>523</v>
      </c>
      <c r="B78" s="777" t="s">
        <v>204</v>
      </c>
      <c r="C78" s="777">
        <v>14360</v>
      </c>
      <c r="D78" s="777">
        <v>14320</v>
      </c>
      <c r="E78" s="777">
        <v>12510</v>
      </c>
      <c r="F78" s="791">
        <v>2700</v>
      </c>
    </row>
    <row r="79" spans="1:6" s="771" customFormat="1" ht="14.25" customHeight="1" thickBot="1">
      <c r="A79" s="783" t="s">
        <v>523</v>
      </c>
      <c r="B79" s="777" t="s">
        <v>217</v>
      </c>
      <c r="C79" s="777">
        <v>12590</v>
      </c>
      <c r="D79" s="777">
        <v>12540</v>
      </c>
      <c r="E79" s="777">
        <v>12350</v>
      </c>
      <c r="F79" s="791">
        <v>2740</v>
      </c>
    </row>
    <row r="80" spans="1:6" s="771" customFormat="1" ht="14.25" customHeight="1" thickBot="1">
      <c r="A80" s="783" t="s">
        <v>523</v>
      </c>
      <c r="B80" s="777" t="s">
        <v>229</v>
      </c>
      <c r="C80" s="777">
        <v>12450</v>
      </c>
      <c r="D80" s="777">
        <v>12370</v>
      </c>
      <c r="E80" s="777">
        <v>10790</v>
      </c>
      <c r="F80" s="791">
        <v>2290</v>
      </c>
    </row>
    <row r="81" spans="1:6" s="771" customFormat="1" ht="14.25" customHeight="1" thickBot="1">
      <c r="A81" s="783" t="s">
        <v>523</v>
      </c>
      <c r="B81" s="777" t="s">
        <v>240</v>
      </c>
      <c r="C81" s="777">
        <v>14210</v>
      </c>
      <c r="D81" s="777">
        <v>14150</v>
      </c>
      <c r="E81" s="777">
        <v>12730</v>
      </c>
      <c r="F81" s="791">
        <v>2240</v>
      </c>
    </row>
    <row r="82" spans="1:6" s="771" customFormat="1" ht="14.25" customHeight="1" thickBot="1">
      <c r="A82" s="783" t="s">
        <v>523</v>
      </c>
      <c r="B82" s="777" t="s">
        <v>251</v>
      </c>
      <c r="C82" s="777">
        <v>10860</v>
      </c>
      <c r="D82" s="777">
        <v>10820</v>
      </c>
      <c r="E82" s="777">
        <v>14720</v>
      </c>
      <c r="F82" s="791">
        <v>2490</v>
      </c>
    </row>
    <row r="83" spans="1:6" s="771" customFormat="1" ht="14.25" customHeight="1" thickBot="1">
      <c r="A83" s="783" t="s">
        <v>523</v>
      </c>
      <c r="B83" s="777" t="s">
        <v>262</v>
      </c>
      <c r="C83" s="777">
        <v>12810</v>
      </c>
      <c r="D83" s="777">
        <v>12760</v>
      </c>
      <c r="E83" s="777">
        <v>14830</v>
      </c>
      <c r="F83" s="791">
        <v>2450</v>
      </c>
    </row>
    <row r="84" spans="1:6" s="771" customFormat="1" ht="14.25" customHeight="1" thickBot="1">
      <c r="A84" s="783" t="s">
        <v>523</v>
      </c>
      <c r="B84" s="777" t="s">
        <v>274</v>
      </c>
      <c r="C84" s="777">
        <v>14950</v>
      </c>
      <c r="D84" s="777">
        <v>14810</v>
      </c>
      <c r="E84" s="777">
        <v>12590</v>
      </c>
      <c r="F84" s="791">
        <v>2540</v>
      </c>
    </row>
    <row r="85" spans="1:6" s="771" customFormat="1" ht="14.25" customHeight="1" thickBot="1">
      <c r="A85" s="783" t="s">
        <v>523</v>
      </c>
      <c r="B85" s="777" t="s">
        <v>284</v>
      </c>
      <c r="C85" s="777">
        <v>14960</v>
      </c>
      <c r="D85" s="777">
        <v>14890</v>
      </c>
      <c r="E85" s="777">
        <v>12840</v>
      </c>
      <c r="F85" s="791">
        <v>2840</v>
      </c>
    </row>
    <row r="86" spans="1:6" s="771" customFormat="1" ht="14.25" customHeight="1" thickBot="1">
      <c r="A86" s="783" t="s">
        <v>523</v>
      </c>
      <c r="B86" s="777" t="s">
        <v>294</v>
      </c>
      <c r="C86" s="777">
        <v>12730</v>
      </c>
      <c r="D86" s="777">
        <v>12660</v>
      </c>
      <c r="E86" s="777">
        <v>13310</v>
      </c>
      <c r="F86" s="791">
        <v>3140</v>
      </c>
    </row>
    <row r="87" spans="1:6" s="771" customFormat="1" ht="14.25" customHeight="1" thickBot="1">
      <c r="A87" s="783" t="s">
        <v>523</v>
      </c>
      <c r="B87" s="777" t="s">
        <v>304</v>
      </c>
      <c r="C87" s="777">
        <v>12940</v>
      </c>
      <c r="D87" s="777">
        <v>12890</v>
      </c>
      <c r="E87" s="777">
        <v>11580</v>
      </c>
      <c r="F87" s="795"/>
    </row>
    <row r="88" spans="1:6" s="771" customFormat="1" ht="14.25" customHeight="1" thickBot="1">
      <c r="A88" s="783" t="s">
        <v>523</v>
      </c>
      <c r="B88" s="777" t="s">
        <v>314</v>
      </c>
      <c r="C88" s="777">
        <v>13430</v>
      </c>
      <c r="D88" s="777">
        <v>13360</v>
      </c>
      <c r="E88" s="777">
        <v>12790</v>
      </c>
      <c r="F88" s="795"/>
    </row>
    <row r="89" spans="1:6" s="771" customFormat="1" ht="14.25" customHeight="1" thickBot="1">
      <c r="A89" s="783" t="s">
        <v>523</v>
      </c>
      <c r="B89" s="777" t="s">
        <v>325</v>
      </c>
      <c r="C89" s="777">
        <v>11680</v>
      </c>
      <c r="D89" s="777">
        <v>11630</v>
      </c>
      <c r="E89" s="777">
        <v>11320</v>
      </c>
      <c r="F89" s="795"/>
    </row>
    <row r="90" spans="1:6" s="771" customFormat="1" ht="14.25" customHeight="1" thickBot="1">
      <c r="A90" s="783" t="s">
        <v>523</v>
      </c>
      <c r="B90" s="777" t="s">
        <v>336</v>
      </c>
      <c r="C90" s="777">
        <v>12890</v>
      </c>
      <c r="D90" s="777">
        <v>12820</v>
      </c>
      <c r="E90" s="777">
        <v>12710</v>
      </c>
      <c r="F90" s="795"/>
    </row>
    <row r="91" spans="1:6" s="771" customFormat="1" ht="14.25" customHeight="1" thickBot="1">
      <c r="A91" s="783" t="s">
        <v>523</v>
      </c>
      <c r="B91" s="777" t="s">
        <v>346</v>
      </c>
      <c r="C91" s="777">
        <v>11410</v>
      </c>
      <c r="D91" s="777">
        <v>11360</v>
      </c>
      <c r="E91" s="777">
        <v>12670</v>
      </c>
      <c r="F91" s="795"/>
    </row>
    <row r="92" spans="1:6" s="771" customFormat="1" ht="14.25" customHeight="1" thickBot="1">
      <c r="A92" s="783" t="s">
        <v>523</v>
      </c>
      <c r="B92" s="777" t="s">
        <v>356</v>
      </c>
      <c r="C92" s="777">
        <v>12770</v>
      </c>
      <c r="D92" s="777">
        <v>12740</v>
      </c>
      <c r="E92" s="777">
        <v>11970</v>
      </c>
      <c r="F92" s="795"/>
    </row>
    <row r="93" spans="1:6" s="771" customFormat="1" ht="14.25" customHeight="1" thickBot="1">
      <c r="A93" s="783" t="s">
        <v>523</v>
      </c>
      <c r="B93" s="777" t="s">
        <v>366</v>
      </c>
      <c r="C93" s="777">
        <v>12740</v>
      </c>
      <c r="D93" s="777">
        <v>12700</v>
      </c>
      <c r="E93" s="777">
        <v>12540</v>
      </c>
      <c r="F93" s="795"/>
    </row>
    <row r="94" spans="1:6" s="771" customFormat="1" ht="14.25" customHeight="1" thickBot="1">
      <c r="A94" s="783" t="s">
        <v>523</v>
      </c>
      <c r="B94" s="777" t="s">
        <v>376</v>
      </c>
      <c r="C94" s="777">
        <v>12020</v>
      </c>
      <c r="D94" s="777">
        <v>11990</v>
      </c>
      <c r="E94" s="777">
        <v>13110</v>
      </c>
      <c r="F94" s="795"/>
    </row>
    <row r="95" spans="1:6" s="771" customFormat="1" ht="14.25" customHeight="1" thickBot="1">
      <c r="A95" s="783" t="s">
        <v>523</v>
      </c>
      <c r="B95" s="777" t="s">
        <v>385</v>
      </c>
      <c r="C95" s="777">
        <v>12620</v>
      </c>
      <c r="D95" s="777">
        <v>12580</v>
      </c>
      <c r="E95" s="777">
        <v>13160</v>
      </c>
      <c r="F95" s="791"/>
    </row>
    <row r="96" spans="1:6" s="771" customFormat="1" ht="14.25" customHeight="1" thickBot="1">
      <c r="A96" s="783" t="s">
        <v>523</v>
      </c>
      <c r="B96" s="777" t="s">
        <v>394</v>
      </c>
      <c r="C96" s="777">
        <v>13200</v>
      </c>
      <c r="D96" s="777">
        <v>13150</v>
      </c>
      <c r="E96" s="777">
        <v>12900</v>
      </c>
      <c r="F96" s="791"/>
    </row>
    <row r="97" spans="1:6" s="771" customFormat="1" ht="14.25" customHeight="1" thickBot="1">
      <c r="A97" s="783" t="s">
        <v>523</v>
      </c>
      <c r="B97" s="777" t="s">
        <v>402</v>
      </c>
      <c r="C97" s="777">
        <v>13270</v>
      </c>
      <c r="D97" s="777">
        <v>13210</v>
      </c>
      <c r="E97" s="777">
        <v>11080</v>
      </c>
      <c r="F97" s="791"/>
    </row>
    <row r="98" spans="1:6" s="771" customFormat="1" ht="14.25" customHeight="1" thickBot="1">
      <c r="A98" s="783" t="s">
        <v>523</v>
      </c>
      <c r="B98" s="777" t="s">
        <v>409</v>
      </c>
      <c r="C98" s="777">
        <v>13010</v>
      </c>
      <c r="D98" s="777">
        <v>12930</v>
      </c>
      <c r="E98" s="777">
        <v>12840</v>
      </c>
      <c r="F98" s="791"/>
    </row>
    <row r="99" spans="1:6" s="771" customFormat="1" ht="14.25" customHeight="1" thickBot="1">
      <c r="A99" s="783" t="s">
        <v>523</v>
      </c>
      <c r="B99" s="777" t="s">
        <v>416</v>
      </c>
      <c r="C99" s="777">
        <v>11190</v>
      </c>
      <c r="D99" s="777">
        <v>11130</v>
      </c>
      <c r="E99" s="777"/>
      <c r="F99" s="791"/>
    </row>
    <row r="100" spans="1:6" s="771" customFormat="1" ht="14.25" customHeight="1" thickBot="1">
      <c r="A100" s="783" t="s">
        <v>523</v>
      </c>
      <c r="B100" s="777" t="s">
        <v>423</v>
      </c>
      <c r="C100" s="777">
        <v>14280</v>
      </c>
      <c r="D100" s="777">
        <v>14180</v>
      </c>
      <c r="E100" s="777"/>
      <c r="F100" s="791"/>
    </row>
    <row r="101" spans="1:6" s="771" customFormat="1" ht="14.25" customHeight="1" thickBot="1">
      <c r="A101" s="783" t="s">
        <v>523</v>
      </c>
      <c r="B101" s="777" t="s">
        <v>430</v>
      </c>
      <c r="C101" s="777">
        <v>12960</v>
      </c>
      <c r="D101" s="777">
        <v>12890</v>
      </c>
      <c r="E101" s="777"/>
      <c r="F101" s="791"/>
    </row>
    <row r="102" spans="1:6" s="771" customFormat="1" ht="14.25" customHeight="1" thickBot="1">
      <c r="A102" s="783" t="s">
        <v>523</v>
      </c>
      <c r="B102" s="777" t="s">
        <v>437</v>
      </c>
      <c r="C102" s="777"/>
      <c r="D102" s="777"/>
      <c r="E102" s="777"/>
      <c r="F102" s="791">
        <v>3100</v>
      </c>
    </row>
    <row r="103" spans="1:6" s="771" customFormat="1" ht="14.25" customHeight="1" thickBot="1">
      <c r="A103" s="783" t="s">
        <v>523</v>
      </c>
      <c r="B103" s="777" t="s">
        <v>444</v>
      </c>
      <c r="C103" s="777"/>
      <c r="D103" s="777"/>
      <c r="E103" s="777"/>
      <c r="F103" s="791">
        <v>2320</v>
      </c>
    </row>
    <row r="104" spans="1:6" s="771" customFormat="1" ht="14.25" customHeight="1" thickBot="1">
      <c r="A104" s="783" t="s">
        <v>523</v>
      </c>
      <c r="B104" s="777" t="s">
        <v>449</v>
      </c>
      <c r="C104" s="777"/>
      <c r="D104" s="777"/>
      <c r="E104" s="777"/>
      <c r="F104" s="791">
        <v>2320</v>
      </c>
    </row>
    <row r="105" spans="1:6" s="771" customFormat="1" ht="14.25" customHeight="1" thickBot="1">
      <c r="A105" s="783" t="s">
        <v>523</v>
      </c>
      <c r="B105" s="777" t="s">
        <v>453</v>
      </c>
      <c r="C105" s="777"/>
      <c r="D105" s="777"/>
      <c r="E105" s="777"/>
      <c r="F105" s="791">
        <v>2320</v>
      </c>
    </row>
    <row r="106" spans="1:6" s="771" customFormat="1" ht="14.25" customHeight="1" thickBot="1">
      <c r="A106" s="783" t="s">
        <v>523</v>
      </c>
      <c r="B106" s="777" t="s">
        <v>458</v>
      </c>
      <c r="C106" s="777"/>
      <c r="D106" s="777"/>
      <c r="E106" s="777"/>
      <c r="F106" s="791">
        <v>2320</v>
      </c>
    </row>
    <row r="107" spans="1:6" s="771" customFormat="1" ht="14.25" customHeight="1" thickBot="1">
      <c r="A107" s="783" t="s">
        <v>523</v>
      </c>
      <c r="B107" s="777" t="s">
        <v>463</v>
      </c>
      <c r="C107" s="777"/>
      <c r="D107" s="777"/>
      <c r="E107" s="777"/>
      <c r="F107" s="791">
        <v>2280</v>
      </c>
    </row>
    <row r="108" spans="1:6" s="771" customFormat="1" ht="14.25" customHeight="1" thickBot="1">
      <c r="A108" s="783" t="s">
        <v>523</v>
      </c>
      <c r="B108" s="777" t="s">
        <v>468</v>
      </c>
      <c r="C108" s="777"/>
      <c r="D108" s="777"/>
      <c r="E108" s="777"/>
      <c r="F108" s="791">
        <v>2280</v>
      </c>
    </row>
    <row r="109" spans="1:6" s="771" customFormat="1" ht="14.25" customHeight="1" thickBot="1">
      <c r="A109" s="783" t="s">
        <v>523</v>
      </c>
      <c r="B109" s="789" t="s">
        <v>473</v>
      </c>
      <c r="C109" s="789"/>
      <c r="D109" s="789"/>
      <c r="E109" s="789"/>
      <c r="F109" s="794">
        <v>2280</v>
      </c>
    </row>
    <row r="110" spans="1:6" s="771" customFormat="1" ht="14.25" customHeight="1" thickBot="1">
      <c r="A110" s="783" t="s">
        <v>56</v>
      </c>
      <c r="B110" s="784" t="s">
        <v>525</v>
      </c>
      <c r="C110" s="784">
        <v>10520</v>
      </c>
      <c r="D110" s="784">
        <v>10490</v>
      </c>
      <c r="E110" s="784">
        <v>10760</v>
      </c>
      <c r="F110" s="785">
        <v>2160</v>
      </c>
    </row>
    <row r="111" spans="1:6" s="771" customFormat="1" ht="14.25" customHeight="1" thickBot="1">
      <c r="A111" s="783" t="s">
        <v>56</v>
      </c>
      <c r="B111" s="777" t="s">
        <v>192</v>
      </c>
      <c r="C111" s="777">
        <v>10090</v>
      </c>
      <c r="D111" s="777">
        <v>10060</v>
      </c>
      <c r="E111" s="777">
        <v>10300</v>
      </c>
      <c r="F111" s="791">
        <v>2010</v>
      </c>
    </row>
    <row r="112" spans="1:6" s="771" customFormat="1" ht="14.25" customHeight="1" thickBot="1">
      <c r="A112" s="783" t="s">
        <v>56</v>
      </c>
      <c r="B112" s="777" t="s">
        <v>205</v>
      </c>
      <c r="C112" s="777">
        <v>9910</v>
      </c>
      <c r="D112" s="777">
        <v>9850</v>
      </c>
      <c r="E112" s="777">
        <v>9960</v>
      </c>
      <c r="F112" s="791">
        <v>2090</v>
      </c>
    </row>
    <row r="113" spans="1:6" s="771" customFormat="1" ht="14.25" customHeight="1" thickBot="1">
      <c r="A113" s="783" t="s">
        <v>56</v>
      </c>
      <c r="B113" s="777" t="s">
        <v>218</v>
      </c>
      <c r="C113" s="777">
        <v>11430</v>
      </c>
      <c r="D113" s="777">
        <v>11400</v>
      </c>
      <c r="E113" s="777">
        <v>11710</v>
      </c>
      <c r="F113" s="791">
        <v>2050</v>
      </c>
    </row>
    <row r="114" spans="1:6" s="771" customFormat="1" ht="14.25" customHeight="1" thickBot="1">
      <c r="A114" s="783" t="s">
        <v>56</v>
      </c>
      <c r="B114" s="777" t="s">
        <v>230</v>
      </c>
      <c r="C114" s="777">
        <v>11390</v>
      </c>
      <c r="D114" s="777">
        <v>11350</v>
      </c>
      <c r="E114" s="777">
        <v>11640</v>
      </c>
      <c r="F114" s="791">
        <v>1620</v>
      </c>
    </row>
    <row r="115" spans="1:6" s="771" customFormat="1" ht="14.25" customHeight="1" thickBot="1">
      <c r="A115" s="783" t="s">
        <v>56</v>
      </c>
      <c r="B115" s="777" t="s">
        <v>241</v>
      </c>
      <c r="C115" s="777">
        <v>9930</v>
      </c>
      <c r="D115" s="777">
        <v>9900</v>
      </c>
      <c r="E115" s="777">
        <v>10160</v>
      </c>
      <c r="F115" s="791">
        <v>1580</v>
      </c>
    </row>
    <row r="116" spans="1:6" s="771" customFormat="1" ht="14.25" customHeight="1" thickBot="1">
      <c r="A116" s="783" t="s">
        <v>56</v>
      </c>
      <c r="B116" s="777" t="s">
        <v>252</v>
      </c>
      <c r="C116" s="777">
        <v>9150</v>
      </c>
      <c r="D116" s="777">
        <v>9120</v>
      </c>
      <c r="E116" s="777">
        <v>9380</v>
      </c>
      <c r="F116" s="791">
        <v>1750</v>
      </c>
    </row>
    <row r="117" spans="1:6" s="771" customFormat="1" ht="14.25" customHeight="1" thickBot="1">
      <c r="A117" s="783" t="s">
        <v>56</v>
      </c>
      <c r="B117" s="777" t="s">
        <v>263</v>
      </c>
      <c r="C117" s="777">
        <v>10680</v>
      </c>
      <c r="D117" s="777">
        <v>10650</v>
      </c>
      <c r="E117" s="777">
        <v>10970</v>
      </c>
      <c r="F117" s="791">
        <v>1730</v>
      </c>
    </row>
    <row r="118" spans="1:6" s="771" customFormat="1" ht="14.25" customHeight="1" thickBot="1">
      <c r="A118" s="783" t="s">
        <v>56</v>
      </c>
      <c r="B118" s="777" t="s">
        <v>275</v>
      </c>
      <c r="C118" s="777">
        <v>10080</v>
      </c>
      <c r="D118" s="777">
        <v>10050</v>
      </c>
      <c r="E118" s="777">
        <v>10350</v>
      </c>
      <c r="F118" s="791">
        <v>1920</v>
      </c>
    </row>
    <row r="119" spans="1:6" s="771" customFormat="1" ht="14.25" customHeight="1" thickBot="1">
      <c r="A119" s="783" t="s">
        <v>56</v>
      </c>
      <c r="B119" s="777" t="s">
        <v>285</v>
      </c>
      <c r="C119" s="777">
        <v>9450</v>
      </c>
      <c r="D119" s="777">
        <v>9410</v>
      </c>
      <c r="E119" s="777">
        <v>9680</v>
      </c>
      <c r="F119" s="791">
        <v>1880</v>
      </c>
    </row>
    <row r="120" spans="1:6" s="771" customFormat="1" ht="14.25" customHeight="1" thickBot="1">
      <c r="A120" s="783" t="s">
        <v>56</v>
      </c>
      <c r="B120" s="777" t="s">
        <v>295</v>
      </c>
      <c r="C120" s="777">
        <v>8730</v>
      </c>
      <c r="D120" s="777">
        <v>8700</v>
      </c>
      <c r="E120" s="777">
        <v>8950</v>
      </c>
      <c r="F120" s="791">
        <v>1830</v>
      </c>
    </row>
    <row r="121" spans="1:6" s="771" customFormat="1" ht="14.25" customHeight="1" thickBot="1">
      <c r="A121" s="783" t="s">
        <v>56</v>
      </c>
      <c r="B121" s="777" t="s">
        <v>305</v>
      </c>
      <c r="C121" s="777">
        <v>10070</v>
      </c>
      <c r="D121" s="777">
        <v>10040</v>
      </c>
      <c r="E121" s="777">
        <v>10270</v>
      </c>
      <c r="F121" s="791">
        <v>1960</v>
      </c>
    </row>
    <row r="122" spans="1:6" s="771" customFormat="1" ht="14.25" customHeight="1" thickBot="1">
      <c r="A122" s="783" t="s">
        <v>56</v>
      </c>
      <c r="B122" s="777" t="s">
        <v>315</v>
      </c>
      <c r="C122" s="777">
        <v>10500</v>
      </c>
      <c r="D122" s="777">
        <v>10470</v>
      </c>
      <c r="E122" s="777">
        <v>10780</v>
      </c>
      <c r="F122" s="791">
        <v>2180</v>
      </c>
    </row>
    <row r="123" spans="1:6" s="771" customFormat="1" ht="14.25" customHeight="1" thickBot="1">
      <c r="A123" s="783" t="s">
        <v>56</v>
      </c>
      <c r="B123" s="777" t="s">
        <v>326</v>
      </c>
      <c r="C123" s="777">
        <v>10390</v>
      </c>
      <c r="D123" s="777">
        <v>10360</v>
      </c>
      <c r="E123" s="777">
        <v>10660</v>
      </c>
      <c r="F123" s="791">
        <v>2040</v>
      </c>
    </row>
    <row r="124" spans="1:6" s="771" customFormat="1" ht="14.25" customHeight="1" thickBot="1">
      <c r="A124" s="783" t="s">
        <v>56</v>
      </c>
      <c r="B124" s="777" t="s">
        <v>337</v>
      </c>
      <c r="C124" s="777">
        <v>10390</v>
      </c>
      <c r="D124" s="777">
        <v>10360</v>
      </c>
      <c r="E124" s="777">
        <v>10680</v>
      </c>
      <c r="F124" s="795"/>
    </row>
    <row r="125" spans="1:6" s="771" customFormat="1" ht="14.25" customHeight="1" thickBot="1">
      <c r="A125" s="783" t="s">
        <v>56</v>
      </c>
      <c r="B125" s="777" t="s">
        <v>347</v>
      </c>
      <c r="C125" s="777">
        <v>10440</v>
      </c>
      <c r="D125" s="777">
        <v>10410</v>
      </c>
      <c r="E125" s="777">
        <v>10710</v>
      </c>
      <c r="F125" s="795"/>
    </row>
    <row r="126" spans="1:6" s="771" customFormat="1" ht="14.25" customHeight="1" thickBot="1">
      <c r="A126" s="783" t="s">
        <v>56</v>
      </c>
      <c r="B126" s="777" t="s">
        <v>357</v>
      </c>
      <c r="C126" s="777">
        <v>10780</v>
      </c>
      <c r="D126" s="777">
        <v>10750</v>
      </c>
      <c r="E126" s="777">
        <v>11080</v>
      </c>
      <c r="F126" s="795"/>
    </row>
    <row r="127" spans="1:6" s="771" customFormat="1" ht="14.25" customHeight="1" thickBot="1">
      <c r="A127" s="783" t="s">
        <v>56</v>
      </c>
      <c r="B127" s="777" t="s">
        <v>367</v>
      </c>
      <c r="C127" s="777">
        <v>10100</v>
      </c>
      <c r="D127" s="777">
        <v>10070</v>
      </c>
      <c r="E127" s="777">
        <v>10350</v>
      </c>
      <c r="F127" s="795"/>
    </row>
    <row r="128" spans="1:6" s="771" customFormat="1" ht="14.25" customHeight="1" thickBot="1">
      <c r="A128" s="783" t="s">
        <v>56</v>
      </c>
      <c r="B128" s="777" t="s">
        <v>377</v>
      </c>
      <c r="C128" s="777">
        <v>9200</v>
      </c>
      <c r="D128" s="777">
        <v>9160</v>
      </c>
      <c r="E128" s="777">
        <v>9660</v>
      </c>
      <c r="F128" s="795"/>
    </row>
    <row r="129" spans="1:6" s="771" customFormat="1" ht="14.25" customHeight="1" thickBot="1">
      <c r="A129" s="783" t="s">
        <v>56</v>
      </c>
      <c r="B129" s="777" t="s">
        <v>386</v>
      </c>
      <c r="C129" s="777">
        <v>10340</v>
      </c>
      <c r="D129" s="777">
        <v>10310</v>
      </c>
      <c r="E129" s="777">
        <v>10580</v>
      </c>
      <c r="F129" s="795"/>
    </row>
    <row r="130" spans="1:6" s="771" customFormat="1" ht="14.25" customHeight="1" thickBot="1">
      <c r="A130" s="783" t="s">
        <v>56</v>
      </c>
      <c r="B130" s="777" t="s">
        <v>395</v>
      </c>
      <c r="C130" s="777">
        <v>9680</v>
      </c>
      <c r="D130" s="777">
        <v>9660</v>
      </c>
      <c r="E130" s="777">
        <v>9950</v>
      </c>
      <c r="F130" s="795"/>
    </row>
    <row r="131" spans="1:6" s="771" customFormat="1" ht="14.25" customHeight="1" thickBot="1">
      <c r="A131" s="783" t="s">
        <v>56</v>
      </c>
      <c r="B131" s="777" t="s">
        <v>403</v>
      </c>
      <c r="C131" s="777">
        <v>9540</v>
      </c>
      <c r="D131" s="777">
        <v>9510</v>
      </c>
      <c r="E131" s="777">
        <v>9790</v>
      </c>
      <c r="F131" s="795"/>
    </row>
    <row r="132" spans="1:6" s="771" customFormat="1" ht="14.25" customHeight="1" thickBot="1">
      <c r="A132" s="783" t="s">
        <v>56</v>
      </c>
      <c r="B132" s="777" t="s">
        <v>410</v>
      </c>
      <c r="C132" s="777">
        <v>9320</v>
      </c>
      <c r="D132" s="777">
        <v>9290</v>
      </c>
      <c r="E132" s="777">
        <v>9570</v>
      </c>
      <c r="F132" s="795"/>
    </row>
    <row r="133" spans="1:6" s="771" customFormat="1" ht="14.25" customHeight="1" thickBot="1">
      <c r="A133" s="783" t="s">
        <v>56</v>
      </c>
      <c r="B133" s="777" t="s">
        <v>417</v>
      </c>
      <c r="C133" s="777">
        <v>10310</v>
      </c>
      <c r="D133" s="777">
        <v>10280</v>
      </c>
      <c r="E133" s="777">
        <v>10530</v>
      </c>
      <c r="F133" s="795"/>
    </row>
    <row r="134" spans="1:6" s="771" customFormat="1" ht="14.25" customHeight="1" thickBot="1">
      <c r="A134" s="783" t="s">
        <v>56</v>
      </c>
      <c r="B134" s="777" t="s">
        <v>424</v>
      </c>
      <c r="C134" s="777">
        <v>10370</v>
      </c>
      <c r="D134" s="777">
        <v>10310</v>
      </c>
      <c r="E134" s="777">
        <v>10240</v>
      </c>
      <c r="F134" s="791">
        <v>2060</v>
      </c>
    </row>
    <row r="135" spans="1:6" s="771" customFormat="1" ht="14.25" customHeight="1" thickBot="1">
      <c r="A135" s="783" t="s">
        <v>56</v>
      </c>
      <c r="B135" s="777" t="s">
        <v>431</v>
      </c>
      <c r="C135" s="777">
        <v>9300</v>
      </c>
      <c r="D135" s="777">
        <v>9270</v>
      </c>
      <c r="E135" s="777">
        <v>9350</v>
      </c>
      <c r="F135" s="795"/>
    </row>
    <row r="136" spans="1:6" s="771" customFormat="1" ht="14.25" customHeight="1" thickBot="1">
      <c r="A136" s="783" t="s">
        <v>56</v>
      </c>
      <c r="B136" s="777" t="s">
        <v>438</v>
      </c>
      <c r="C136" s="777">
        <v>10160</v>
      </c>
      <c r="D136" s="777">
        <v>10110</v>
      </c>
      <c r="E136" s="777">
        <v>10080</v>
      </c>
      <c r="F136" s="795"/>
    </row>
    <row r="137" spans="1:6" s="771" customFormat="1" ht="14.25" customHeight="1" thickBot="1">
      <c r="A137" s="783" t="s">
        <v>56</v>
      </c>
      <c r="B137" s="777" t="s">
        <v>445</v>
      </c>
      <c r="C137" s="777">
        <v>9200</v>
      </c>
      <c r="D137" s="777">
        <v>9170</v>
      </c>
      <c r="E137" s="777">
        <v>9450</v>
      </c>
      <c r="F137" s="795"/>
    </row>
    <row r="138" spans="1:6" s="771" customFormat="1" ht="14.25" customHeight="1" thickBot="1">
      <c r="A138" s="783" t="s">
        <v>56</v>
      </c>
      <c r="B138" s="777" t="s">
        <v>450</v>
      </c>
      <c r="C138" s="777">
        <v>9690</v>
      </c>
      <c r="D138" s="777">
        <v>9660</v>
      </c>
      <c r="E138" s="777">
        <v>9840</v>
      </c>
      <c r="F138" s="795"/>
    </row>
    <row r="139" spans="1:6" s="771" customFormat="1" ht="14.25" customHeight="1" thickBot="1">
      <c r="A139" s="783" t="s">
        <v>56</v>
      </c>
      <c r="B139" s="777" t="s">
        <v>454</v>
      </c>
      <c r="C139" s="777">
        <v>10290</v>
      </c>
      <c r="D139" s="777">
        <v>10260</v>
      </c>
      <c r="E139" s="777">
        <v>10550</v>
      </c>
      <c r="F139" s="791">
        <v>1700</v>
      </c>
    </row>
    <row r="140" spans="1:6" s="771" customFormat="1" ht="14.25" customHeight="1" thickBot="1">
      <c r="A140" s="783" t="s">
        <v>56</v>
      </c>
      <c r="B140" s="777" t="s">
        <v>459</v>
      </c>
      <c r="C140" s="777">
        <v>9740</v>
      </c>
      <c r="D140" s="777">
        <v>9710</v>
      </c>
      <c r="E140" s="777">
        <v>10000</v>
      </c>
      <c r="F140" s="791">
        <v>2000</v>
      </c>
    </row>
    <row r="141" spans="1:6" s="771" customFormat="1" ht="14.25" customHeight="1" thickBot="1">
      <c r="A141" s="783" t="s">
        <v>56</v>
      </c>
      <c r="B141" s="777" t="s">
        <v>464</v>
      </c>
      <c r="C141" s="777">
        <v>9810</v>
      </c>
      <c r="D141" s="777">
        <v>9770</v>
      </c>
      <c r="E141" s="777">
        <v>10060</v>
      </c>
      <c r="F141" s="795"/>
    </row>
    <row r="142" spans="1:6" s="771" customFormat="1" ht="14.25" customHeight="1" thickBot="1">
      <c r="A142" s="783" t="s">
        <v>56</v>
      </c>
      <c r="B142" s="777" t="s">
        <v>469</v>
      </c>
      <c r="C142" s="777">
        <v>9300</v>
      </c>
      <c r="D142" s="777">
        <v>9270</v>
      </c>
      <c r="E142" s="777">
        <v>9530</v>
      </c>
      <c r="F142" s="795"/>
    </row>
    <row r="143" spans="1:6" s="771" customFormat="1" ht="14.25" customHeight="1" thickBot="1">
      <c r="A143" s="783" t="s">
        <v>56</v>
      </c>
      <c r="B143" s="777" t="s">
        <v>474</v>
      </c>
      <c r="C143" s="777">
        <v>10080</v>
      </c>
      <c r="D143" s="777">
        <v>10050</v>
      </c>
      <c r="E143" s="777">
        <v>10340</v>
      </c>
      <c r="F143" s="795"/>
    </row>
    <row r="144" spans="1:6" s="771" customFormat="1" ht="14.25" customHeight="1" thickBot="1">
      <c r="A144" s="783" t="s">
        <v>56</v>
      </c>
      <c r="B144" s="777" t="s">
        <v>478</v>
      </c>
      <c r="C144" s="777">
        <v>9820</v>
      </c>
      <c r="D144" s="777">
        <v>9750</v>
      </c>
      <c r="E144" s="777">
        <v>9900</v>
      </c>
      <c r="F144" s="795"/>
    </row>
    <row r="145" spans="1:6" s="771" customFormat="1" ht="14.25" customHeight="1" thickBot="1">
      <c r="A145" s="783" t="s">
        <v>56</v>
      </c>
      <c r="B145" s="777" t="s">
        <v>482</v>
      </c>
      <c r="C145" s="777"/>
      <c r="D145" s="777"/>
      <c r="E145" s="777"/>
      <c r="F145" s="791">
        <v>1740</v>
      </c>
    </row>
    <row r="146" spans="1:6" s="771" customFormat="1" ht="14.25" customHeight="1" thickBot="1">
      <c r="A146" s="783" t="s">
        <v>56</v>
      </c>
      <c r="B146" s="777" t="s">
        <v>486</v>
      </c>
      <c r="C146" s="777"/>
      <c r="D146" s="777"/>
      <c r="E146" s="777"/>
      <c r="F146" s="791">
        <v>1740</v>
      </c>
    </row>
    <row r="147" spans="1:6" s="771" customFormat="1" ht="14.25" customHeight="1" thickBot="1">
      <c r="A147" s="783" t="s">
        <v>56</v>
      </c>
      <c r="B147" s="777" t="s">
        <v>490</v>
      </c>
      <c r="C147" s="777"/>
      <c r="D147" s="777"/>
      <c r="E147" s="777"/>
      <c r="F147" s="791">
        <v>1740</v>
      </c>
    </row>
    <row r="148" spans="1:6" s="771" customFormat="1" ht="14.25" customHeight="1" thickBot="1">
      <c r="A148" s="783" t="s">
        <v>56</v>
      </c>
      <c r="B148" s="777" t="s">
        <v>494</v>
      </c>
      <c r="C148" s="777"/>
      <c r="D148" s="777"/>
      <c r="E148" s="777"/>
      <c r="F148" s="791">
        <v>1740</v>
      </c>
    </row>
    <row r="149" spans="1:6" s="771" customFormat="1" ht="14.25" customHeight="1" thickBot="1">
      <c r="A149" s="783" t="s">
        <v>56</v>
      </c>
      <c r="B149" s="777" t="s">
        <v>498</v>
      </c>
      <c r="C149" s="777"/>
      <c r="D149" s="777"/>
      <c r="E149" s="777"/>
      <c r="F149" s="791">
        <v>1740</v>
      </c>
    </row>
    <row r="150" spans="1:6" s="771" customFormat="1" ht="14.25" customHeight="1" thickBot="1">
      <c r="A150" s="783" t="s">
        <v>56</v>
      </c>
      <c r="B150" s="777" t="s">
        <v>501</v>
      </c>
      <c r="C150" s="777"/>
      <c r="D150" s="777"/>
      <c r="E150" s="777"/>
      <c r="F150" s="791">
        <v>1610</v>
      </c>
    </row>
    <row r="151" spans="1:6" s="771" customFormat="1" ht="14.25" customHeight="1" thickBot="1">
      <c r="A151" s="783" t="s">
        <v>56</v>
      </c>
      <c r="B151" s="777" t="s">
        <v>504</v>
      </c>
      <c r="C151" s="777"/>
      <c r="D151" s="777"/>
      <c r="E151" s="777"/>
      <c r="F151" s="791">
        <v>1610</v>
      </c>
    </row>
    <row r="152" spans="1:6" s="771" customFormat="1" ht="14.25" customHeight="1" thickBot="1">
      <c r="A152" s="783" t="s">
        <v>56</v>
      </c>
      <c r="B152" s="777" t="s">
        <v>507</v>
      </c>
      <c r="C152" s="777"/>
      <c r="D152" s="777"/>
      <c r="E152" s="777"/>
      <c r="F152" s="791">
        <v>1610</v>
      </c>
    </row>
    <row r="153" spans="1:6" s="771" customFormat="1" ht="14.25" customHeight="1" thickBot="1">
      <c r="A153" s="783" t="s">
        <v>56</v>
      </c>
      <c r="B153" s="777" t="s">
        <v>510</v>
      </c>
      <c r="C153" s="777"/>
      <c r="D153" s="777"/>
      <c r="E153" s="777"/>
      <c r="F153" s="791">
        <v>1610</v>
      </c>
    </row>
    <row r="154" spans="1:6" s="771" customFormat="1" ht="14.25" customHeight="1" thickBot="1">
      <c r="A154" s="783" t="s">
        <v>56</v>
      </c>
      <c r="B154" s="777" t="s">
        <v>513</v>
      </c>
      <c r="C154" s="777"/>
      <c r="D154" s="777"/>
      <c r="E154" s="777"/>
      <c r="F154" s="791">
        <v>1610</v>
      </c>
    </row>
    <row r="155" spans="1:6" s="771" customFormat="1" ht="14.25" customHeight="1" thickBot="1">
      <c r="A155" s="783" t="s">
        <v>56</v>
      </c>
      <c r="B155" s="777" t="s">
        <v>516</v>
      </c>
      <c r="C155" s="777"/>
      <c r="D155" s="777"/>
      <c r="E155" s="777"/>
      <c r="F155" s="791">
        <v>1800</v>
      </c>
    </row>
    <row r="156" spans="1:6" s="771" customFormat="1" ht="14.25" customHeight="1" thickBot="1">
      <c r="A156" s="783" t="s">
        <v>56</v>
      </c>
      <c r="B156" s="777" t="s">
        <v>518</v>
      </c>
      <c r="C156" s="777"/>
      <c r="D156" s="777"/>
      <c r="E156" s="777"/>
      <c r="F156" s="791">
        <v>1910</v>
      </c>
    </row>
    <row r="157" spans="1:6" s="771" customFormat="1" ht="14.25" customHeight="1" thickBot="1">
      <c r="A157" s="783" t="s">
        <v>56</v>
      </c>
      <c r="B157" s="789" t="s">
        <v>521</v>
      </c>
      <c r="C157" s="789"/>
      <c r="D157" s="789"/>
      <c r="E157" s="789"/>
      <c r="F157" s="794">
        <v>1500</v>
      </c>
    </row>
    <row r="158" spans="1:6" s="771" customFormat="1" ht="14.25" customHeight="1" thickBot="1">
      <c r="A158" s="783" t="s">
        <v>526</v>
      </c>
      <c r="B158" s="784" t="s">
        <v>527</v>
      </c>
      <c r="C158" s="784">
        <v>8170</v>
      </c>
      <c r="D158" s="784">
        <v>8140</v>
      </c>
      <c r="E158" s="784">
        <v>8590</v>
      </c>
      <c r="F158" s="785">
        <v>1450</v>
      </c>
    </row>
    <row r="159" spans="1:6" s="771" customFormat="1" ht="14.25" customHeight="1" thickBot="1">
      <c r="A159" s="783" t="s">
        <v>526</v>
      </c>
      <c r="B159" s="777" t="s">
        <v>193</v>
      </c>
      <c r="C159" s="777">
        <v>7410</v>
      </c>
      <c r="D159" s="777">
        <v>7370</v>
      </c>
      <c r="E159" s="777">
        <v>8030</v>
      </c>
      <c r="F159" s="791">
        <v>1510</v>
      </c>
    </row>
    <row r="160" spans="1:6" s="771" customFormat="1" ht="14.25" customHeight="1" thickBot="1">
      <c r="A160" s="783" t="s">
        <v>526</v>
      </c>
      <c r="B160" s="777" t="s">
        <v>206</v>
      </c>
      <c r="C160" s="777">
        <v>7240</v>
      </c>
      <c r="D160" s="777">
        <v>7210</v>
      </c>
      <c r="E160" s="777">
        <v>7860</v>
      </c>
      <c r="F160" s="791">
        <v>1370</v>
      </c>
    </row>
    <row r="161" spans="1:6" s="771" customFormat="1" ht="14.25" customHeight="1" thickBot="1">
      <c r="A161" s="783" t="s">
        <v>526</v>
      </c>
      <c r="B161" s="777" t="s">
        <v>219</v>
      </c>
      <c r="C161" s="777">
        <v>7720</v>
      </c>
      <c r="D161" s="777">
        <v>7690</v>
      </c>
      <c r="E161" s="777">
        <v>8200</v>
      </c>
      <c r="F161" s="791">
        <v>1190</v>
      </c>
    </row>
    <row r="162" spans="1:6" s="771" customFormat="1" ht="14.25" customHeight="1" thickBot="1">
      <c r="A162" s="783" t="s">
        <v>526</v>
      </c>
      <c r="B162" s="777" t="s">
        <v>231</v>
      </c>
      <c r="C162" s="777">
        <v>6900</v>
      </c>
      <c r="D162" s="777">
        <v>6870</v>
      </c>
      <c r="E162" s="777">
        <v>7500</v>
      </c>
      <c r="F162" s="791">
        <v>1390</v>
      </c>
    </row>
    <row r="163" spans="1:6" s="771" customFormat="1" ht="14.25" customHeight="1" thickBot="1">
      <c r="A163" s="783" t="s">
        <v>526</v>
      </c>
      <c r="B163" s="777" t="s">
        <v>242</v>
      </c>
      <c r="C163" s="777">
        <v>7120</v>
      </c>
      <c r="D163" s="777">
        <v>7090</v>
      </c>
      <c r="E163" s="777">
        <v>7690</v>
      </c>
      <c r="F163" s="791">
        <v>1230</v>
      </c>
    </row>
    <row r="164" spans="1:6" s="771" customFormat="1" ht="14.25" customHeight="1" thickBot="1">
      <c r="A164" s="783" t="s">
        <v>526</v>
      </c>
      <c r="B164" s="777" t="s">
        <v>253</v>
      </c>
      <c r="C164" s="777">
        <v>6560</v>
      </c>
      <c r="D164" s="777">
        <v>6530</v>
      </c>
      <c r="E164" s="777">
        <v>7110</v>
      </c>
      <c r="F164" s="791">
        <v>1340</v>
      </c>
    </row>
    <row r="165" spans="1:6" s="771" customFormat="1" ht="14.25" customHeight="1" thickBot="1">
      <c r="A165" s="783" t="s">
        <v>526</v>
      </c>
      <c r="B165" s="777" t="s">
        <v>264</v>
      </c>
      <c r="C165" s="777">
        <v>7450</v>
      </c>
      <c r="D165" s="777">
        <v>7430</v>
      </c>
      <c r="E165" s="777">
        <v>8110</v>
      </c>
      <c r="F165" s="791">
        <v>1290</v>
      </c>
    </row>
    <row r="166" spans="1:6" s="771" customFormat="1" ht="14.25" customHeight="1" thickBot="1">
      <c r="A166" s="783" t="s">
        <v>526</v>
      </c>
      <c r="B166" s="777" t="s">
        <v>276</v>
      </c>
      <c r="C166" s="777">
        <v>7490</v>
      </c>
      <c r="D166" s="777">
        <v>7460</v>
      </c>
      <c r="E166" s="777">
        <v>8150</v>
      </c>
      <c r="F166" s="791">
        <v>1350</v>
      </c>
    </row>
    <row r="167" spans="1:6" s="771" customFormat="1" ht="14.25" customHeight="1" thickBot="1">
      <c r="A167" s="783" t="s">
        <v>526</v>
      </c>
      <c r="B167" s="777" t="s">
        <v>286</v>
      </c>
      <c r="C167" s="777">
        <v>7540</v>
      </c>
      <c r="D167" s="777">
        <v>7510</v>
      </c>
      <c r="E167" s="777">
        <v>8030</v>
      </c>
      <c r="F167" s="795"/>
    </row>
    <row r="168" spans="1:6" s="771" customFormat="1" ht="14.25" customHeight="1" thickBot="1">
      <c r="A168" s="783" t="s">
        <v>526</v>
      </c>
      <c r="B168" s="777" t="s">
        <v>296</v>
      </c>
      <c r="C168" s="777">
        <v>7210</v>
      </c>
      <c r="D168" s="777">
        <v>7180</v>
      </c>
      <c r="E168" s="777">
        <v>7830</v>
      </c>
      <c r="F168" s="795"/>
    </row>
    <row r="169" spans="1:6" s="771" customFormat="1" ht="14.25" customHeight="1" thickBot="1">
      <c r="A169" s="783" t="s">
        <v>526</v>
      </c>
      <c r="B169" s="777" t="s">
        <v>306</v>
      </c>
      <c r="C169" s="777">
        <v>7040</v>
      </c>
      <c r="D169" s="777">
        <v>7020</v>
      </c>
      <c r="E169" s="777">
        <v>7670</v>
      </c>
      <c r="F169" s="795"/>
    </row>
    <row r="170" spans="1:6" s="771" customFormat="1" ht="14.25" customHeight="1" thickBot="1">
      <c r="A170" s="783" t="s">
        <v>526</v>
      </c>
      <c r="B170" s="777" t="s">
        <v>316</v>
      </c>
      <c r="C170" s="777">
        <v>8040</v>
      </c>
      <c r="D170" s="777">
        <v>7190</v>
      </c>
      <c r="E170" s="777">
        <v>7850</v>
      </c>
      <c r="F170" s="795"/>
    </row>
    <row r="171" spans="1:6" s="771" customFormat="1" ht="14.25" customHeight="1" thickBot="1">
      <c r="A171" s="783" t="s">
        <v>526</v>
      </c>
      <c r="B171" s="777" t="s">
        <v>327</v>
      </c>
      <c r="C171" s="777">
        <v>7860</v>
      </c>
      <c r="D171" s="777">
        <v>7720</v>
      </c>
      <c r="E171" s="777">
        <v>8150</v>
      </c>
      <c r="F171" s="791">
        <v>1110</v>
      </c>
    </row>
    <row r="172" spans="1:6" s="771" customFormat="1" ht="14.25" customHeight="1" thickBot="1">
      <c r="A172" s="783" t="s">
        <v>526</v>
      </c>
      <c r="B172" s="777" t="s">
        <v>338</v>
      </c>
      <c r="C172" s="777">
        <v>7210</v>
      </c>
      <c r="D172" s="777">
        <v>7170</v>
      </c>
      <c r="E172" s="777">
        <v>7320</v>
      </c>
      <c r="F172" s="795"/>
    </row>
    <row r="173" spans="1:6" s="771" customFormat="1" ht="14.25" customHeight="1" thickBot="1">
      <c r="A173" s="783" t="s">
        <v>526</v>
      </c>
      <c r="B173" s="777" t="s">
        <v>348</v>
      </c>
      <c r="C173" s="777">
        <v>6860</v>
      </c>
      <c r="D173" s="777">
        <v>6810</v>
      </c>
      <c r="E173" s="777">
        <v>7440</v>
      </c>
      <c r="F173" s="795"/>
    </row>
    <row r="174" spans="1:6" s="771" customFormat="1" ht="14.25" customHeight="1" thickBot="1">
      <c r="A174" s="783" t="s">
        <v>526</v>
      </c>
      <c r="B174" s="777" t="s">
        <v>358</v>
      </c>
      <c r="C174" s="777">
        <v>7120</v>
      </c>
      <c r="D174" s="777">
        <v>7090</v>
      </c>
      <c r="E174" s="777">
        <v>7500</v>
      </c>
      <c r="F174" s="791">
        <v>1490</v>
      </c>
    </row>
    <row r="175" spans="1:6" s="771" customFormat="1" ht="14.25" customHeight="1" thickBot="1">
      <c r="A175" s="783" t="s">
        <v>526</v>
      </c>
      <c r="B175" s="777" t="s">
        <v>368</v>
      </c>
      <c r="C175" s="777">
        <v>7850</v>
      </c>
      <c r="D175" s="777">
        <v>7820</v>
      </c>
      <c r="E175" s="777">
        <v>8120</v>
      </c>
      <c r="F175" s="791">
        <v>1530</v>
      </c>
    </row>
    <row r="176" spans="1:6" s="771" customFormat="1" ht="14.25" customHeight="1" thickBot="1">
      <c r="A176" s="783" t="s">
        <v>526</v>
      </c>
      <c r="B176" s="777" t="s">
        <v>378</v>
      </c>
      <c r="C176" s="777">
        <v>7620</v>
      </c>
      <c r="D176" s="777">
        <v>7570</v>
      </c>
      <c r="E176" s="777">
        <v>7990</v>
      </c>
      <c r="F176" s="791">
        <v>1480</v>
      </c>
    </row>
    <row r="177" spans="1:6" s="771" customFormat="1" ht="14.25" customHeight="1" thickBot="1">
      <c r="A177" s="783" t="s">
        <v>526</v>
      </c>
      <c r="B177" s="777" t="s">
        <v>387</v>
      </c>
      <c r="C177" s="777">
        <v>8590</v>
      </c>
      <c r="D177" s="777">
        <v>8570</v>
      </c>
      <c r="E177" s="777">
        <v>8740</v>
      </c>
      <c r="F177" s="791">
        <v>1540</v>
      </c>
    </row>
    <row r="178" spans="1:6" s="771" customFormat="1" ht="14.25" customHeight="1" thickBot="1">
      <c r="A178" s="783" t="s">
        <v>526</v>
      </c>
      <c r="B178" s="777" t="s">
        <v>396</v>
      </c>
      <c r="C178" s="777">
        <v>7510</v>
      </c>
      <c r="D178" s="777">
        <v>7470</v>
      </c>
      <c r="E178" s="777">
        <v>8090</v>
      </c>
      <c r="F178" s="791">
        <v>1320</v>
      </c>
    </row>
    <row r="179" spans="1:6" s="771" customFormat="1" ht="14.25" customHeight="1" thickBot="1">
      <c r="A179" s="783" t="s">
        <v>526</v>
      </c>
      <c r="B179" s="777" t="s">
        <v>404</v>
      </c>
      <c r="C179" s="777">
        <v>6380</v>
      </c>
      <c r="D179" s="777">
        <v>6340</v>
      </c>
      <c r="E179" s="777">
        <v>6810</v>
      </c>
      <c r="F179" s="795"/>
    </row>
    <row r="180" spans="1:6" s="771" customFormat="1" ht="14.25" customHeight="1" thickBot="1">
      <c r="A180" s="783" t="s">
        <v>526</v>
      </c>
      <c r="B180" s="777" t="s">
        <v>411</v>
      </c>
      <c r="C180" s="777">
        <v>7830</v>
      </c>
      <c r="D180" s="777">
        <v>7800</v>
      </c>
      <c r="E180" s="777">
        <v>7780</v>
      </c>
      <c r="F180" s="791">
        <v>1440</v>
      </c>
    </row>
    <row r="181" spans="1:6" s="771" customFormat="1" ht="14.25" customHeight="1" thickBot="1">
      <c r="A181" s="783" t="s">
        <v>526</v>
      </c>
      <c r="B181" s="777" t="s">
        <v>418</v>
      </c>
      <c r="C181" s="777">
        <v>7110</v>
      </c>
      <c r="D181" s="777">
        <v>7080</v>
      </c>
      <c r="E181" s="777">
        <v>7730</v>
      </c>
      <c r="F181" s="791">
        <v>1350</v>
      </c>
    </row>
    <row r="182" spans="1:6" s="771" customFormat="1" ht="14.25" customHeight="1" thickBot="1">
      <c r="A182" s="783" t="s">
        <v>526</v>
      </c>
      <c r="B182" s="777" t="s">
        <v>425</v>
      </c>
      <c r="C182" s="777">
        <v>7310</v>
      </c>
      <c r="D182" s="777">
        <v>7280</v>
      </c>
      <c r="E182" s="777">
        <v>7950</v>
      </c>
      <c r="F182" s="791">
        <v>1220</v>
      </c>
    </row>
    <row r="183" spans="1:6" s="771" customFormat="1" ht="14.25" customHeight="1" thickBot="1">
      <c r="A183" s="783" t="s">
        <v>526</v>
      </c>
      <c r="B183" s="777" t="s">
        <v>432</v>
      </c>
      <c r="C183" s="777">
        <v>7470</v>
      </c>
      <c r="D183" s="777">
        <v>7440</v>
      </c>
      <c r="E183" s="777">
        <v>7880</v>
      </c>
      <c r="F183" s="795"/>
    </row>
    <row r="184" spans="1:6" s="771" customFormat="1" ht="14.25" customHeight="1" thickBot="1">
      <c r="A184" s="783" t="s">
        <v>526</v>
      </c>
      <c r="B184" s="777" t="s">
        <v>439</v>
      </c>
      <c r="C184" s="777">
        <v>6960</v>
      </c>
      <c r="D184" s="777">
        <v>6930</v>
      </c>
      <c r="E184" s="777">
        <v>7570</v>
      </c>
      <c r="F184" s="795"/>
    </row>
    <row r="185" spans="1:6" s="771" customFormat="1" ht="14.25" customHeight="1" thickBot="1">
      <c r="A185" s="783" t="s">
        <v>526</v>
      </c>
      <c r="B185" s="777" t="s">
        <v>446</v>
      </c>
      <c r="C185" s="777">
        <v>7260</v>
      </c>
      <c r="D185" s="777">
        <v>7230</v>
      </c>
      <c r="E185" s="777">
        <v>7710</v>
      </c>
      <c r="F185" s="791">
        <v>1360</v>
      </c>
    </row>
    <row r="186" spans="1:6" s="771" customFormat="1" ht="14.25" customHeight="1" thickBot="1">
      <c r="A186" s="783" t="s">
        <v>526</v>
      </c>
      <c r="B186" s="777" t="s">
        <v>451</v>
      </c>
      <c r="C186" s="777"/>
      <c r="D186" s="777"/>
      <c r="E186" s="777"/>
      <c r="F186" s="791">
        <v>1560</v>
      </c>
    </row>
    <row r="187" spans="1:6" s="771" customFormat="1" ht="14.25" customHeight="1" thickBot="1">
      <c r="A187" s="783" t="s">
        <v>526</v>
      </c>
      <c r="B187" s="777" t="s">
        <v>455</v>
      </c>
      <c r="C187" s="777"/>
      <c r="D187" s="777"/>
      <c r="E187" s="777"/>
      <c r="F187" s="791">
        <v>1560</v>
      </c>
    </row>
    <row r="188" spans="1:6" s="771" customFormat="1" ht="14.25" customHeight="1" thickBot="1">
      <c r="A188" s="783" t="s">
        <v>526</v>
      </c>
      <c r="B188" s="777" t="s">
        <v>460</v>
      </c>
      <c r="C188" s="777"/>
      <c r="D188" s="777"/>
      <c r="E188" s="777"/>
      <c r="F188" s="791">
        <v>1560</v>
      </c>
    </row>
    <row r="189" spans="1:6" s="771" customFormat="1" ht="14.25" customHeight="1" thickBot="1">
      <c r="A189" s="783" t="s">
        <v>526</v>
      </c>
      <c r="B189" s="777" t="s">
        <v>465</v>
      </c>
      <c r="C189" s="777"/>
      <c r="D189" s="777"/>
      <c r="E189" s="777"/>
      <c r="F189" s="791">
        <v>1320</v>
      </c>
    </row>
    <row r="190" spans="1:6" s="771" customFormat="1" ht="14.25" customHeight="1" thickBot="1">
      <c r="A190" s="783" t="s">
        <v>526</v>
      </c>
      <c r="B190" s="777" t="s">
        <v>470</v>
      </c>
      <c r="C190" s="777"/>
      <c r="D190" s="777"/>
      <c r="E190" s="777"/>
      <c r="F190" s="791">
        <v>1320</v>
      </c>
    </row>
    <row r="191" spans="1:6" s="771" customFormat="1" ht="14.25" customHeight="1" thickBot="1">
      <c r="A191" s="783" t="s">
        <v>526</v>
      </c>
      <c r="B191" s="777" t="s">
        <v>475</v>
      </c>
      <c r="C191" s="777"/>
      <c r="D191" s="777"/>
      <c r="E191" s="777"/>
      <c r="F191" s="791">
        <v>1320</v>
      </c>
    </row>
    <row r="192" spans="1:6" s="771" customFormat="1" ht="14.25" customHeight="1" thickBot="1">
      <c r="A192" s="783" t="s">
        <v>526</v>
      </c>
      <c r="B192" s="777" t="s">
        <v>479</v>
      </c>
      <c r="C192" s="777"/>
      <c r="D192" s="777"/>
      <c r="E192" s="777"/>
      <c r="F192" s="791">
        <v>1100</v>
      </c>
    </row>
    <row r="193" spans="1:6" s="771" customFormat="1" ht="14.25" customHeight="1" thickBot="1">
      <c r="A193" s="783" t="s">
        <v>526</v>
      </c>
      <c r="B193" s="777" t="s">
        <v>483</v>
      </c>
      <c r="C193" s="777"/>
      <c r="D193" s="777"/>
      <c r="E193" s="777"/>
      <c r="F193" s="791">
        <v>1100</v>
      </c>
    </row>
    <row r="194" spans="1:6" s="771" customFormat="1" ht="14.25" customHeight="1" thickBot="1">
      <c r="A194" s="783" t="s">
        <v>526</v>
      </c>
      <c r="B194" s="777" t="s">
        <v>487</v>
      </c>
      <c r="C194" s="777"/>
      <c r="D194" s="777"/>
      <c r="E194" s="777"/>
      <c r="F194" s="791">
        <v>1080</v>
      </c>
    </row>
    <row r="195" spans="1:6" s="771" customFormat="1" ht="14.25" customHeight="1" thickBot="1">
      <c r="A195" s="783" t="s">
        <v>526</v>
      </c>
      <c r="B195" s="777" t="s">
        <v>491</v>
      </c>
      <c r="C195" s="777"/>
      <c r="D195" s="777"/>
      <c r="E195" s="777"/>
      <c r="F195" s="791">
        <v>1270</v>
      </c>
    </row>
    <row r="196" spans="1:6" s="771" customFormat="1" ht="14.25" customHeight="1" thickBot="1">
      <c r="A196" s="783" t="s">
        <v>526</v>
      </c>
      <c r="B196" s="777" t="s">
        <v>495</v>
      </c>
      <c r="C196" s="777"/>
      <c r="D196" s="777"/>
      <c r="E196" s="777"/>
      <c r="F196" s="791">
        <v>1150</v>
      </c>
    </row>
    <row r="197" spans="1:6" s="771" customFormat="1" ht="14.25" customHeight="1" thickBot="1">
      <c r="A197" s="783" t="s">
        <v>526</v>
      </c>
      <c r="B197" s="777" t="s">
        <v>499</v>
      </c>
      <c r="C197" s="777"/>
      <c r="D197" s="777"/>
      <c r="E197" s="777"/>
      <c r="F197" s="791">
        <v>1330</v>
      </c>
    </row>
    <row r="198" spans="1:6" s="771" customFormat="1" ht="14.25" customHeight="1" thickBot="1">
      <c r="A198" s="783" t="s">
        <v>526</v>
      </c>
      <c r="B198" s="777" t="s">
        <v>502</v>
      </c>
      <c r="C198" s="777"/>
      <c r="D198" s="777"/>
      <c r="E198" s="777"/>
      <c r="F198" s="791">
        <v>1170</v>
      </c>
    </row>
    <row r="199" spans="1:6" s="771" customFormat="1" ht="14.25" customHeight="1" thickBot="1">
      <c r="A199" s="783" t="s">
        <v>526</v>
      </c>
      <c r="B199" s="777" t="s">
        <v>505</v>
      </c>
      <c r="C199" s="777"/>
      <c r="D199" s="777"/>
      <c r="E199" s="777"/>
      <c r="F199" s="791">
        <v>1120</v>
      </c>
    </row>
    <row r="200" spans="1:6" s="771" customFormat="1" ht="14.25" customHeight="1" thickBot="1">
      <c r="A200" s="783" t="s">
        <v>526</v>
      </c>
      <c r="B200" s="777" t="s">
        <v>508</v>
      </c>
      <c r="C200" s="777"/>
      <c r="D200" s="777"/>
      <c r="E200" s="777"/>
      <c r="F200" s="791">
        <v>1120</v>
      </c>
    </row>
    <row r="201" spans="1:6" s="771" customFormat="1" ht="14.25" customHeight="1" thickBot="1">
      <c r="A201" s="783" t="s">
        <v>526</v>
      </c>
      <c r="B201" s="777" t="s">
        <v>511</v>
      </c>
      <c r="C201" s="777"/>
      <c r="D201" s="777"/>
      <c r="E201" s="777"/>
      <c r="F201" s="791">
        <v>1540</v>
      </c>
    </row>
    <row r="202" spans="1:6" s="771" customFormat="1" ht="14.25" customHeight="1" thickBot="1">
      <c r="A202" s="783" t="s">
        <v>526</v>
      </c>
      <c r="B202" s="777" t="s">
        <v>514</v>
      </c>
      <c r="C202" s="777"/>
      <c r="D202" s="777"/>
      <c r="E202" s="777"/>
      <c r="F202" s="791">
        <v>1310</v>
      </c>
    </row>
    <row r="203" spans="1:6" s="771" customFormat="1" ht="14.25" customHeight="1" thickBot="1">
      <c r="A203" s="783" t="s">
        <v>526</v>
      </c>
      <c r="B203" s="777" t="s">
        <v>517</v>
      </c>
      <c r="C203" s="777"/>
      <c r="D203" s="777"/>
      <c r="E203" s="777"/>
      <c r="F203" s="791">
        <v>1310</v>
      </c>
    </row>
    <row r="204" spans="1:6" s="771" customFormat="1" ht="14.25" customHeight="1" thickBot="1">
      <c r="A204" s="783" t="s">
        <v>526</v>
      </c>
      <c r="B204" s="777" t="s">
        <v>519</v>
      </c>
      <c r="C204" s="777"/>
      <c r="D204" s="777"/>
      <c r="E204" s="777"/>
      <c r="F204" s="791">
        <v>1080</v>
      </c>
    </row>
    <row r="205" spans="1:6" s="771" customFormat="1" ht="14.25" customHeight="1" thickBot="1">
      <c r="A205" s="783" t="s">
        <v>526</v>
      </c>
      <c r="B205" s="777" t="s">
        <v>522</v>
      </c>
      <c r="C205" s="777"/>
      <c r="D205" s="777"/>
      <c r="E205" s="777"/>
      <c r="F205" s="791">
        <v>1080</v>
      </c>
    </row>
    <row r="206" spans="1:6" s="771" customFormat="1" ht="14.25" customHeight="1" thickBot="1">
      <c r="A206" s="783" t="s">
        <v>528</v>
      </c>
      <c r="B206" s="784" t="s">
        <v>529</v>
      </c>
      <c r="C206" s="784">
        <v>5450</v>
      </c>
      <c r="D206" s="784">
        <v>5430</v>
      </c>
      <c r="E206" s="784">
        <v>5700</v>
      </c>
      <c r="F206" s="785">
        <v>1020</v>
      </c>
    </row>
    <row r="207" spans="1:6" s="771" customFormat="1" ht="14.25" customHeight="1" thickBot="1">
      <c r="A207" s="783" t="s">
        <v>528</v>
      </c>
      <c r="B207" s="777" t="s">
        <v>194</v>
      </c>
      <c r="C207" s="777">
        <v>5860</v>
      </c>
      <c r="D207" s="777">
        <v>5820</v>
      </c>
      <c r="E207" s="777">
        <v>6050</v>
      </c>
      <c r="F207" s="791">
        <v>1080</v>
      </c>
    </row>
    <row r="208" spans="1:6" s="771" customFormat="1" ht="14.25" customHeight="1" thickBot="1">
      <c r="A208" s="783" t="s">
        <v>528</v>
      </c>
      <c r="B208" s="777" t="s">
        <v>207</v>
      </c>
      <c r="C208" s="777">
        <v>4630</v>
      </c>
      <c r="D208" s="777">
        <v>4600</v>
      </c>
      <c r="E208" s="777">
        <v>4840</v>
      </c>
      <c r="F208" s="791">
        <v>900</v>
      </c>
    </row>
    <row r="209" spans="1:6" s="771" customFormat="1" ht="14.25" customHeight="1" thickBot="1">
      <c r="A209" s="783" t="s">
        <v>528</v>
      </c>
      <c r="B209" s="777" t="s">
        <v>220</v>
      </c>
      <c r="C209" s="777">
        <v>5320</v>
      </c>
      <c r="D209" s="777">
        <v>5270</v>
      </c>
      <c r="E209" s="777">
        <v>5540</v>
      </c>
      <c r="F209" s="791">
        <v>980</v>
      </c>
    </row>
    <row r="210" spans="1:6" s="771" customFormat="1" ht="14.25" customHeight="1" thickBot="1">
      <c r="A210" s="783" t="s">
        <v>528</v>
      </c>
      <c r="B210" s="777" t="s">
        <v>232</v>
      </c>
      <c r="C210" s="777">
        <v>5760</v>
      </c>
      <c r="D210" s="777">
        <v>5710</v>
      </c>
      <c r="E210" s="777">
        <v>6010</v>
      </c>
      <c r="F210" s="791">
        <v>870</v>
      </c>
    </row>
    <row r="211" spans="1:6" s="771" customFormat="1" ht="14.25" customHeight="1" thickBot="1">
      <c r="A211" s="783" t="s">
        <v>528</v>
      </c>
      <c r="B211" s="777" t="s">
        <v>243</v>
      </c>
      <c r="C211" s="777">
        <v>4160</v>
      </c>
      <c r="D211" s="777">
        <v>4100</v>
      </c>
      <c r="E211" s="777">
        <v>4270</v>
      </c>
      <c r="F211" s="791">
        <v>790</v>
      </c>
    </row>
    <row r="212" spans="1:6" s="771" customFormat="1" ht="14.25" customHeight="1" thickBot="1">
      <c r="A212" s="783" t="s">
        <v>528</v>
      </c>
      <c r="B212" s="777" t="s">
        <v>254</v>
      </c>
      <c r="C212" s="777">
        <v>4880</v>
      </c>
      <c r="D212" s="777">
        <v>4850</v>
      </c>
      <c r="E212" s="777">
        <v>5110</v>
      </c>
      <c r="F212" s="791">
        <v>940</v>
      </c>
    </row>
    <row r="213" spans="1:6" s="771" customFormat="1" ht="14.25" customHeight="1" thickBot="1">
      <c r="A213" s="783" t="s">
        <v>528</v>
      </c>
      <c r="B213" s="777" t="s">
        <v>265</v>
      </c>
      <c r="C213" s="777">
        <v>4640</v>
      </c>
      <c r="D213" s="777">
        <v>4590</v>
      </c>
      <c r="E213" s="777">
        <v>4700</v>
      </c>
      <c r="F213" s="791">
        <v>1030</v>
      </c>
    </row>
    <row r="214" spans="1:6" s="771" customFormat="1" ht="14.25" customHeight="1" thickBot="1">
      <c r="A214" s="783" t="s">
        <v>528</v>
      </c>
      <c r="B214" s="777" t="s">
        <v>277</v>
      </c>
      <c r="C214" s="777">
        <v>4540</v>
      </c>
      <c r="D214" s="777">
        <v>4490</v>
      </c>
      <c r="E214" s="777">
        <v>4610</v>
      </c>
      <c r="F214" s="795"/>
    </row>
    <row r="215" spans="1:6" s="771" customFormat="1" ht="14.25" customHeight="1" thickBot="1">
      <c r="A215" s="783" t="s">
        <v>528</v>
      </c>
      <c r="B215" s="777" t="s">
        <v>287</v>
      </c>
      <c r="C215" s="777">
        <v>5280</v>
      </c>
      <c r="D215" s="777">
        <v>5250</v>
      </c>
      <c r="E215" s="777">
        <v>5520</v>
      </c>
      <c r="F215" s="791">
        <v>1000</v>
      </c>
    </row>
    <row r="216" spans="1:6" s="771" customFormat="1" ht="14.25" customHeight="1" thickBot="1">
      <c r="A216" s="783" t="s">
        <v>528</v>
      </c>
      <c r="B216" s="777" t="s">
        <v>297</v>
      </c>
      <c r="C216" s="777">
        <v>5100</v>
      </c>
      <c r="D216" s="777">
        <v>5050</v>
      </c>
      <c r="E216" s="777">
        <v>5300</v>
      </c>
      <c r="F216" s="791">
        <v>950</v>
      </c>
    </row>
    <row r="217" spans="1:6" s="771" customFormat="1" ht="14.25" customHeight="1" thickBot="1">
      <c r="A217" s="783" t="s">
        <v>528</v>
      </c>
      <c r="B217" s="777" t="s">
        <v>307</v>
      </c>
      <c r="C217" s="777">
        <v>5370</v>
      </c>
      <c r="D217" s="777">
        <v>5320</v>
      </c>
      <c r="E217" s="777">
        <v>5410</v>
      </c>
      <c r="F217" s="791">
        <v>950</v>
      </c>
    </row>
    <row r="218" spans="1:6" s="771" customFormat="1" ht="14.25" customHeight="1" thickBot="1">
      <c r="A218" s="783" t="s">
        <v>528</v>
      </c>
      <c r="B218" s="777" t="s">
        <v>317</v>
      </c>
      <c r="C218" s="777">
        <v>5540</v>
      </c>
      <c r="D218" s="777">
        <v>5480</v>
      </c>
      <c r="E218" s="777">
        <v>5740</v>
      </c>
      <c r="F218" s="791">
        <v>1020</v>
      </c>
    </row>
    <row r="219" spans="1:6" s="771" customFormat="1" ht="14.25" customHeight="1" thickBot="1">
      <c r="A219" s="783" t="s">
        <v>528</v>
      </c>
      <c r="B219" s="777" t="s">
        <v>328</v>
      </c>
      <c r="C219" s="777">
        <v>5140</v>
      </c>
      <c r="D219" s="777">
        <v>5100</v>
      </c>
      <c r="E219" s="777">
        <v>5350</v>
      </c>
      <c r="F219" s="791">
        <v>1120</v>
      </c>
    </row>
    <row r="220" spans="1:6" s="771" customFormat="1" ht="14.25" customHeight="1" thickBot="1">
      <c r="A220" s="783" t="s">
        <v>528</v>
      </c>
      <c r="B220" s="777" t="s">
        <v>339</v>
      </c>
      <c r="C220" s="777">
        <v>5040</v>
      </c>
      <c r="D220" s="777">
        <v>5000</v>
      </c>
      <c r="E220" s="777">
        <v>5240</v>
      </c>
      <c r="F220" s="791">
        <v>980</v>
      </c>
    </row>
    <row r="221" spans="1:6" s="771" customFormat="1" ht="14.25" customHeight="1" thickBot="1">
      <c r="A221" s="783" t="s">
        <v>528</v>
      </c>
      <c r="B221" s="777" t="s">
        <v>349</v>
      </c>
      <c r="C221" s="796"/>
      <c r="D221" s="796"/>
      <c r="E221" s="796"/>
      <c r="F221" s="791">
        <v>1070</v>
      </c>
    </row>
    <row r="222" spans="1:6" s="771" customFormat="1" ht="14.25" customHeight="1" thickBot="1">
      <c r="A222" s="783" t="s">
        <v>528</v>
      </c>
      <c r="B222" s="777" t="s">
        <v>359</v>
      </c>
      <c r="C222" s="796"/>
      <c r="D222" s="796"/>
      <c r="E222" s="796"/>
      <c r="F222" s="791">
        <v>870</v>
      </c>
    </row>
    <row r="223" spans="1:6" s="771" customFormat="1" ht="14.25" customHeight="1" thickBot="1">
      <c r="A223" s="783" t="s">
        <v>528</v>
      </c>
      <c r="B223" s="777" t="s">
        <v>369</v>
      </c>
      <c r="C223" s="796"/>
      <c r="D223" s="796"/>
      <c r="E223" s="796"/>
      <c r="F223" s="791">
        <v>940</v>
      </c>
    </row>
    <row r="224" spans="1:6" s="771" customFormat="1" ht="14.25" customHeight="1" thickBot="1">
      <c r="A224" s="783" t="s">
        <v>528</v>
      </c>
      <c r="B224" s="777" t="s">
        <v>379</v>
      </c>
      <c r="C224" s="796"/>
      <c r="D224" s="796"/>
      <c r="E224" s="796"/>
      <c r="F224" s="791">
        <v>990</v>
      </c>
    </row>
    <row r="225" spans="1:6" s="771" customFormat="1" ht="14.25" customHeight="1" thickBot="1">
      <c r="A225" s="783" t="s">
        <v>528</v>
      </c>
      <c r="B225" s="777" t="s">
        <v>388</v>
      </c>
      <c r="C225" s="777">
        <v>5730</v>
      </c>
      <c r="D225" s="777">
        <v>5680</v>
      </c>
      <c r="E225" s="777">
        <v>6020</v>
      </c>
      <c r="F225" s="791">
        <v>1000</v>
      </c>
    </row>
    <row r="226" spans="1:6" s="771" customFormat="1" ht="14.25" customHeight="1" thickBot="1">
      <c r="A226" s="783" t="s">
        <v>528</v>
      </c>
      <c r="B226" s="777" t="s">
        <v>397</v>
      </c>
      <c r="C226" s="777">
        <v>4970</v>
      </c>
      <c r="D226" s="777">
        <v>4940</v>
      </c>
      <c r="E226" s="777">
        <v>5180</v>
      </c>
      <c r="F226" s="791">
        <v>960</v>
      </c>
    </row>
    <row r="227" spans="1:6" s="771" customFormat="1" ht="14.25" customHeight="1" thickBot="1">
      <c r="A227" s="783" t="s">
        <v>528</v>
      </c>
      <c r="B227" s="777" t="s">
        <v>405</v>
      </c>
      <c r="C227" s="777">
        <v>5550</v>
      </c>
      <c r="D227" s="777">
        <v>5500</v>
      </c>
      <c r="E227" s="777">
        <v>5780</v>
      </c>
      <c r="F227" s="791">
        <v>940</v>
      </c>
    </row>
    <row r="228" spans="1:6" s="771" customFormat="1" ht="14.25" customHeight="1" thickBot="1">
      <c r="A228" s="783" t="s">
        <v>528</v>
      </c>
      <c r="B228" s="777" t="s">
        <v>412</v>
      </c>
      <c r="C228" s="777">
        <v>5460</v>
      </c>
      <c r="D228" s="777">
        <v>5420</v>
      </c>
      <c r="E228" s="777">
        <v>5690</v>
      </c>
      <c r="F228" s="791">
        <v>910</v>
      </c>
    </row>
    <row r="229" spans="1:6" s="771" customFormat="1" ht="14.25" customHeight="1" thickBot="1">
      <c r="A229" s="783" t="s">
        <v>528</v>
      </c>
      <c r="B229" s="777" t="s">
        <v>419</v>
      </c>
      <c r="C229" s="777">
        <v>5310</v>
      </c>
      <c r="D229" s="777">
        <v>5270</v>
      </c>
      <c r="E229" s="777">
        <v>5510</v>
      </c>
      <c r="F229" s="795"/>
    </row>
    <row r="230" spans="1:6" s="771" customFormat="1" ht="14.25" customHeight="1" thickBot="1">
      <c r="A230" s="783" t="s">
        <v>528</v>
      </c>
      <c r="B230" s="777" t="s">
        <v>426</v>
      </c>
      <c r="C230" s="777">
        <v>4540</v>
      </c>
      <c r="D230" s="777">
        <v>4500</v>
      </c>
      <c r="E230" s="777">
        <v>4730</v>
      </c>
      <c r="F230" s="795"/>
    </row>
    <row r="231" spans="1:6" s="771" customFormat="1" ht="14.25" customHeight="1" thickBot="1">
      <c r="A231" s="783" t="s">
        <v>528</v>
      </c>
      <c r="B231" s="777" t="s">
        <v>433</v>
      </c>
      <c r="C231" s="777">
        <v>4480</v>
      </c>
      <c r="D231" s="777">
        <v>4410</v>
      </c>
      <c r="E231" s="777">
        <v>4640</v>
      </c>
      <c r="F231" s="795"/>
    </row>
    <row r="232" spans="1:6" s="771" customFormat="1" ht="14.25" customHeight="1" thickBot="1">
      <c r="A232" s="783" t="s">
        <v>528</v>
      </c>
      <c r="B232" s="777" t="s">
        <v>440</v>
      </c>
      <c r="C232" s="777">
        <v>5670</v>
      </c>
      <c r="D232" s="777">
        <v>5600</v>
      </c>
      <c r="E232" s="777">
        <v>5890</v>
      </c>
      <c r="F232" s="791">
        <v>1150</v>
      </c>
    </row>
    <row r="233" spans="1:6" s="771" customFormat="1" ht="14.25" customHeight="1" thickBot="1">
      <c r="A233" s="783" t="s">
        <v>528</v>
      </c>
      <c r="B233" s="777" t="s">
        <v>447</v>
      </c>
      <c r="C233" s="777">
        <v>4590</v>
      </c>
      <c r="D233" s="777">
        <v>4500</v>
      </c>
      <c r="E233" s="777">
        <v>4600</v>
      </c>
      <c r="F233" s="795"/>
    </row>
    <row r="234" spans="1:6" s="771" customFormat="1" ht="14.25" customHeight="1" thickBot="1">
      <c r="A234" s="783" t="s">
        <v>528</v>
      </c>
      <c r="B234" s="777" t="s">
        <v>1021</v>
      </c>
      <c r="C234" s="777">
        <v>3990</v>
      </c>
      <c r="D234" s="777">
        <v>3950</v>
      </c>
      <c r="E234" s="777">
        <v>4180</v>
      </c>
      <c r="F234" s="795"/>
    </row>
    <row r="235" spans="1:6" s="771" customFormat="1" ht="14.25" customHeight="1" thickBot="1">
      <c r="A235" s="783" t="s">
        <v>528</v>
      </c>
      <c r="B235" s="777" t="s">
        <v>456</v>
      </c>
      <c r="C235" s="777">
        <v>5590</v>
      </c>
      <c r="D235" s="777">
        <v>5540</v>
      </c>
      <c r="E235" s="777">
        <v>5810</v>
      </c>
      <c r="F235" s="791">
        <v>970</v>
      </c>
    </row>
    <row r="236" spans="1:6" s="771" customFormat="1" ht="14.25" customHeight="1" thickBot="1">
      <c r="A236" s="783" t="s">
        <v>528</v>
      </c>
      <c r="B236" s="777" t="s">
        <v>461</v>
      </c>
      <c r="C236" s="777"/>
      <c r="D236" s="777"/>
      <c r="E236" s="777"/>
      <c r="F236" s="791">
        <v>1020</v>
      </c>
    </row>
    <row r="237" spans="1:6" s="771" customFormat="1" ht="14.25" customHeight="1" thickBot="1">
      <c r="A237" s="783" t="s">
        <v>528</v>
      </c>
      <c r="B237" s="777" t="s">
        <v>466</v>
      </c>
      <c r="C237" s="777"/>
      <c r="D237" s="777"/>
      <c r="E237" s="777"/>
      <c r="F237" s="791">
        <v>960</v>
      </c>
    </row>
    <row r="238" spans="1:6" s="771" customFormat="1" ht="14.25" customHeight="1" thickBot="1">
      <c r="A238" s="783" t="s">
        <v>528</v>
      </c>
      <c r="B238" s="777" t="s">
        <v>471</v>
      </c>
      <c r="C238" s="777"/>
      <c r="D238" s="777"/>
      <c r="E238" s="777"/>
      <c r="F238" s="791">
        <v>960</v>
      </c>
    </row>
    <row r="239" spans="1:6" s="771" customFormat="1" ht="14.25" customHeight="1" thickBot="1">
      <c r="A239" s="783" t="s">
        <v>528</v>
      </c>
      <c r="B239" s="777" t="s">
        <v>476</v>
      </c>
      <c r="C239" s="777"/>
      <c r="D239" s="777"/>
      <c r="E239" s="777"/>
      <c r="F239" s="791">
        <v>960</v>
      </c>
    </row>
    <row r="240" spans="1:6" s="771" customFormat="1" ht="14.25" customHeight="1" thickBot="1">
      <c r="A240" s="783" t="s">
        <v>528</v>
      </c>
      <c r="B240" s="777" t="s">
        <v>480</v>
      </c>
      <c r="C240" s="777"/>
      <c r="D240" s="777"/>
      <c r="E240" s="777"/>
      <c r="F240" s="791">
        <v>990</v>
      </c>
    </row>
    <row r="241" spans="1:6" s="771" customFormat="1" ht="14.25" customHeight="1" thickBot="1">
      <c r="A241" s="783" t="s">
        <v>528</v>
      </c>
      <c r="B241" s="777" t="s">
        <v>484</v>
      </c>
      <c r="C241" s="777"/>
      <c r="D241" s="777"/>
      <c r="E241" s="777"/>
      <c r="F241" s="791">
        <v>1000</v>
      </c>
    </row>
    <row r="242" spans="1:6" s="771" customFormat="1" ht="14.25" customHeight="1" thickBot="1">
      <c r="A242" s="783" t="s">
        <v>528</v>
      </c>
      <c r="B242" s="777" t="s">
        <v>488</v>
      </c>
      <c r="C242" s="777"/>
      <c r="D242" s="777"/>
      <c r="E242" s="777"/>
      <c r="F242" s="791">
        <v>980</v>
      </c>
    </row>
    <row r="243" spans="1:6" s="771" customFormat="1" ht="14.25" customHeight="1" thickBot="1">
      <c r="A243" s="783" t="s">
        <v>528</v>
      </c>
      <c r="B243" s="777" t="s">
        <v>492</v>
      </c>
      <c r="C243" s="777"/>
      <c r="D243" s="777"/>
      <c r="E243" s="777"/>
      <c r="F243" s="791">
        <v>970</v>
      </c>
    </row>
    <row r="244" spans="1:6" s="771" customFormat="1" ht="14.25" customHeight="1" thickBot="1">
      <c r="A244" s="783" t="s">
        <v>528</v>
      </c>
      <c r="B244" s="789" t="s">
        <v>496</v>
      </c>
      <c r="C244" s="789"/>
      <c r="D244" s="789"/>
      <c r="E244" s="789"/>
      <c r="F244" s="794">
        <v>970</v>
      </c>
    </row>
    <row r="245" spans="1:6" s="771" customFormat="1" ht="14.25" customHeight="1" thickBot="1">
      <c r="A245" s="783" t="s">
        <v>530</v>
      </c>
      <c r="B245" s="784" t="s">
        <v>531</v>
      </c>
      <c r="C245" s="784">
        <v>4050</v>
      </c>
      <c r="D245" s="784">
        <v>4020</v>
      </c>
      <c r="E245" s="784">
        <v>4160</v>
      </c>
      <c r="F245" s="785">
        <v>840</v>
      </c>
    </row>
    <row r="246" spans="1:6" s="771" customFormat="1" ht="14.25" customHeight="1" thickBot="1">
      <c r="A246" s="783" t="s">
        <v>530</v>
      </c>
      <c r="B246" s="777" t="s">
        <v>195</v>
      </c>
      <c r="C246" s="777">
        <v>4010</v>
      </c>
      <c r="D246" s="777">
        <v>3960</v>
      </c>
      <c r="E246" s="777">
        <v>4130</v>
      </c>
      <c r="F246" s="791">
        <v>840</v>
      </c>
    </row>
    <row r="247" spans="1:6" s="771" customFormat="1" ht="14.25" customHeight="1" thickBot="1">
      <c r="A247" s="783" t="s">
        <v>530</v>
      </c>
      <c r="B247" s="777" t="s">
        <v>532</v>
      </c>
      <c r="C247" s="777">
        <v>3170</v>
      </c>
      <c r="D247" s="777">
        <v>3140</v>
      </c>
      <c r="E247" s="777">
        <v>3270</v>
      </c>
      <c r="F247" s="791">
        <v>640</v>
      </c>
    </row>
    <row r="248" spans="1:6" s="771" customFormat="1" ht="14.25" customHeight="1" thickBot="1">
      <c r="A248" s="783" t="s">
        <v>530</v>
      </c>
      <c r="B248" s="777" t="s">
        <v>533</v>
      </c>
      <c r="C248" s="777">
        <v>3140</v>
      </c>
      <c r="D248" s="777">
        <v>3120</v>
      </c>
      <c r="E248" s="777">
        <v>3240</v>
      </c>
      <c r="F248" s="791">
        <v>620</v>
      </c>
    </row>
    <row r="249" spans="1:6" s="771" customFormat="1" ht="14.25" customHeight="1" thickBot="1">
      <c r="A249" s="783" t="s">
        <v>530</v>
      </c>
      <c r="B249" s="777" t="s">
        <v>233</v>
      </c>
      <c r="C249" s="777">
        <v>3200</v>
      </c>
      <c r="D249" s="777">
        <v>3100</v>
      </c>
      <c r="E249" s="777">
        <v>3230</v>
      </c>
      <c r="F249" s="791">
        <v>750</v>
      </c>
    </row>
    <row r="250" spans="1:6" s="771" customFormat="1" ht="14.25" customHeight="1" thickBot="1">
      <c r="A250" s="783" t="s">
        <v>530</v>
      </c>
      <c r="B250" s="777" t="s">
        <v>244</v>
      </c>
      <c r="C250" s="777">
        <v>4060</v>
      </c>
      <c r="D250" s="777">
        <v>4000</v>
      </c>
      <c r="E250" s="777">
        <v>4140</v>
      </c>
      <c r="F250" s="791">
        <v>790</v>
      </c>
    </row>
    <row r="251" spans="1:6" s="771" customFormat="1" ht="14.25" customHeight="1" thickBot="1">
      <c r="A251" s="783" t="s">
        <v>530</v>
      </c>
      <c r="B251" s="777" t="s">
        <v>255</v>
      </c>
      <c r="C251" s="777">
        <v>3990</v>
      </c>
      <c r="D251" s="777">
        <v>3970</v>
      </c>
      <c r="E251" s="777">
        <v>4110</v>
      </c>
      <c r="F251" s="791">
        <v>730</v>
      </c>
    </row>
    <row r="252" spans="1:6" s="771" customFormat="1" ht="14.25" customHeight="1" thickBot="1">
      <c r="A252" s="783" t="s">
        <v>530</v>
      </c>
      <c r="B252" s="777" t="s">
        <v>266</v>
      </c>
      <c r="C252" s="777">
        <v>3560</v>
      </c>
      <c r="D252" s="777">
        <v>3530</v>
      </c>
      <c r="E252" s="777">
        <v>3650</v>
      </c>
      <c r="F252" s="791">
        <v>750</v>
      </c>
    </row>
    <row r="253" spans="1:6" s="771" customFormat="1" ht="14.25" customHeight="1" thickBot="1">
      <c r="A253" s="783" t="s">
        <v>530</v>
      </c>
      <c r="B253" s="777" t="s">
        <v>278</v>
      </c>
      <c r="C253" s="777">
        <v>3780</v>
      </c>
      <c r="D253" s="777">
        <v>3750</v>
      </c>
      <c r="E253" s="777">
        <v>3870</v>
      </c>
      <c r="F253" s="791">
        <v>770</v>
      </c>
    </row>
    <row r="254" spans="1:6" s="771" customFormat="1" ht="14.25" customHeight="1" thickBot="1">
      <c r="A254" s="783" t="s">
        <v>530</v>
      </c>
      <c r="B254" s="777" t="s">
        <v>288</v>
      </c>
      <c r="C254" s="796"/>
      <c r="D254" s="796"/>
      <c r="E254" s="796"/>
      <c r="F254" s="791">
        <v>740</v>
      </c>
    </row>
    <row r="255" spans="1:6" s="771" customFormat="1" ht="14.25" customHeight="1" thickBot="1">
      <c r="A255" s="783" t="s">
        <v>530</v>
      </c>
      <c r="B255" s="777" t="s">
        <v>298</v>
      </c>
      <c r="C255" s="796"/>
      <c r="D255" s="796"/>
      <c r="E255" s="796"/>
      <c r="F255" s="791">
        <v>760</v>
      </c>
    </row>
    <row r="256" spans="1:6" s="771" customFormat="1" ht="14.25" customHeight="1" thickBot="1">
      <c r="A256" s="783" t="s">
        <v>530</v>
      </c>
      <c r="B256" s="777" t="s">
        <v>308</v>
      </c>
      <c r="C256" s="777">
        <v>3760</v>
      </c>
      <c r="D256" s="777">
        <v>3730</v>
      </c>
      <c r="E256" s="777">
        <v>3870</v>
      </c>
      <c r="F256" s="791">
        <v>830</v>
      </c>
    </row>
    <row r="257" spans="1:6" s="771" customFormat="1" ht="14.25" customHeight="1" thickBot="1">
      <c r="A257" s="783" t="s">
        <v>530</v>
      </c>
      <c r="B257" s="777" t="s">
        <v>318</v>
      </c>
      <c r="C257" s="777">
        <v>3570</v>
      </c>
      <c r="D257" s="777">
        <v>3540</v>
      </c>
      <c r="E257" s="777">
        <v>3650</v>
      </c>
      <c r="F257" s="791">
        <v>790</v>
      </c>
    </row>
    <row r="258" spans="1:6" s="771" customFormat="1" ht="14.25" customHeight="1" thickBot="1">
      <c r="A258" s="783" t="s">
        <v>530</v>
      </c>
      <c r="B258" s="777" t="s">
        <v>329</v>
      </c>
      <c r="C258" s="777">
        <v>3410</v>
      </c>
      <c r="D258" s="777">
        <v>3380</v>
      </c>
      <c r="E258" s="777">
        <v>3500</v>
      </c>
      <c r="F258" s="791">
        <v>830</v>
      </c>
    </row>
    <row r="259" spans="1:6" s="771" customFormat="1" ht="14.25" customHeight="1" thickBot="1">
      <c r="A259" s="783" t="s">
        <v>530</v>
      </c>
      <c r="B259" s="777" t="s">
        <v>340</v>
      </c>
      <c r="C259" s="777">
        <v>3870</v>
      </c>
      <c r="D259" s="777">
        <v>3840</v>
      </c>
      <c r="E259" s="777">
        <v>3970</v>
      </c>
      <c r="F259" s="791">
        <v>830</v>
      </c>
    </row>
    <row r="260" spans="1:6" s="771" customFormat="1" ht="14.25" customHeight="1" thickBot="1">
      <c r="A260" s="783" t="s">
        <v>530</v>
      </c>
      <c r="B260" s="777" t="s">
        <v>350</v>
      </c>
      <c r="C260" s="777">
        <v>3700</v>
      </c>
      <c r="D260" s="777">
        <v>3660</v>
      </c>
      <c r="E260" s="777">
        <v>3810</v>
      </c>
      <c r="F260" s="791">
        <v>790</v>
      </c>
    </row>
    <row r="261" spans="1:6" s="771" customFormat="1" ht="14.25" customHeight="1" thickBot="1">
      <c r="A261" s="783" t="s">
        <v>530</v>
      </c>
      <c r="B261" s="777" t="s">
        <v>360</v>
      </c>
      <c r="C261" s="777">
        <v>3470</v>
      </c>
      <c r="D261" s="777">
        <v>3430</v>
      </c>
      <c r="E261" s="777">
        <v>3640</v>
      </c>
      <c r="F261" s="791">
        <v>760</v>
      </c>
    </row>
    <row r="262" spans="1:6" s="771" customFormat="1" ht="14.25" customHeight="1" thickBot="1">
      <c r="A262" s="783" t="s">
        <v>530</v>
      </c>
      <c r="B262" s="777" t="s">
        <v>370</v>
      </c>
      <c r="C262" s="777">
        <v>3510</v>
      </c>
      <c r="D262" s="777">
        <v>3470</v>
      </c>
      <c r="E262" s="777">
        <v>3680</v>
      </c>
      <c r="F262" s="795"/>
    </row>
    <row r="263" spans="1:6" s="771" customFormat="1" ht="14.25" customHeight="1" thickBot="1">
      <c r="A263" s="783" t="s">
        <v>530</v>
      </c>
      <c r="B263" s="777" t="s">
        <v>380</v>
      </c>
      <c r="C263" s="777">
        <v>3960</v>
      </c>
      <c r="D263" s="777">
        <v>3930</v>
      </c>
      <c r="E263" s="777">
        <v>4070</v>
      </c>
      <c r="F263" s="791">
        <v>830</v>
      </c>
    </row>
    <row r="264" spans="1:6" s="771" customFormat="1" ht="14.25" customHeight="1" thickBot="1">
      <c r="A264" s="783" t="s">
        <v>530</v>
      </c>
      <c r="B264" s="777" t="s">
        <v>389</v>
      </c>
      <c r="C264" s="777">
        <v>4010</v>
      </c>
      <c r="D264" s="777">
        <v>3980</v>
      </c>
      <c r="E264" s="777">
        <v>4150</v>
      </c>
      <c r="F264" s="791">
        <v>760</v>
      </c>
    </row>
    <row r="265" spans="1:6" s="771" customFormat="1" ht="14.25" customHeight="1" thickBot="1">
      <c r="A265" s="783" t="s">
        <v>530</v>
      </c>
      <c r="B265" s="777" t="s">
        <v>398</v>
      </c>
      <c r="C265" s="777">
        <v>3910</v>
      </c>
      <c r="D265" s="777">
        <v>3890</v>
      </c>
      <c r="E265" s="777">
        <v>4040</v>
      </c>
      <c r="F265" s="791">
        <v>780</v>
      </c>
    </row>
    <row r="266" spans="1:6" s="771" customFormat="1" ht="14.25" customHeight="1" thickBot="1">
      <c r="A266" s="783" t="s">
        <v>530</v>
      </c>
      <c r="B266" s="777" t="s">
        <v>406</v>
      </c>
      <c r="C266" s="777">
        <v>3930</v>
      </c>
      <c r="D266" s="777">
        <v>3900</v>
      </c>
      <c r="E266" s="777">
        <v>4080</v>
      </c>
      <c r="F266" s="791">
        <v>770</v>
      </c>
    </row>
    <row r="267" spans="1:6" s="771" customFormat="1" ht="14.25" customHeight="1" thickBot="1">
      <c r="A267" s="783" t="s">
        <v>530</v>
      </c>
      <c r="B267" s="777" t="s">
        <v>413</v>
      </c>
      <c r="C267" s="777">
        <v>3800</v>
      </c>
      <c r="D267" s="777">
        <v>3780</v>
      </c>
      <c r="E267" s="777">
        <v>3930</v>
      </c>
      <c r="F267" s="795"/>
    </row>
    <row r="268" spans="1:6" s="771" customFormat="1" ht="14.25" customHeight="1" thickBot="1">
      <c r="A268" s="783" t="s">
        <v>530</v>
      </c>
      <c r="B268" s="777" t="s">
        <v>420</v>
      </c>
      <c r="C268" s="777">
        <v>3460</v>
      </c>
      <c r="D268" s="777">
        <v>3430</v>
      </c>
      <c r="E268" s="777">
        <v>3560</v>
      </c>
      <c r="F268" s="791">
        <v>840</v>
      </c>
    </row>
    <row r="269" spans="1:6" s="771" customFormat="1" ht="14.25" customHeight="1" thickBot="1">
      <c r="A269" s="783" t="s">
        <v>530</v>
      </c>
      <c r="B269" s="777" t="s">
        <v>427</v>
      </c>
      <c r="C269" s="777">
        <v>3210</v>
      </c>
      <c r="D269" s="777">
        <v>3190</v>
      </c>
      <c r="E269" s="777">
        <v>3310</v>
      </c>
      <c r="F269" s="791">
        <v>730</v>
      </c>
    </row>
    <row r="270" spans="1:6" s="771" customFormat="1" ht="14.25" customHeight="1" thickBot="1">
      <c r="A270" s="783" t="s">
        <v>530</v>
      </c>
      <c r="B270" s="777" t="s">
        <v>434</v>
      </c>
      <c r="C270" s="777">
        <v>3240</v>
      </c>
      <c r="D270" s="777">
        <v>3210</v>
      </c>
      <c r="E270" s="777">
        <v>3390</v>
      </c>
      <c r="F270" s="791">
        <v>820</v>
      </c>
    </row>
    <row r="271" spans="1:6" s="771" customFormat="1" ht="14.25" customHeight="1" thickBot="1">
      <c r="A271" s="783" t="s">
        <v>530</v>
      </c>
      <c r="B271" s="777" t="s">
        <v>441</v>
      </c>
      <c r="C271" s="777">
        <v>3300</v>
      </c>
      <c r="D271" s="777">
        <v>3270</v>
      </c>
      <c r="E271" s="777">
        <v>3380</v>
      </c>
      <c r="F271" s="791">
        <v>750</v>
      </c>
    </row>
    <row r="272" spans="1:6" s="771" customFormat="1" ht="14.25" customHeight="1" thickBot="1">
      <c r="A272" s="783" t="s">
        <v>530</v>
      </c>
      <c r="B272" s="777" t="s">
        <v>448</v>
      </c>
      <c r="C272" s="796"/>
      <c r="D272" s="796"/>
      <c r="E272" s="796"/>
      <c r="F272" s="791">
        <v>740</v>
      </c>
    </row>
    <row r="273" spans="1:6" s="771" customFormat="1" ht="14.25" customHeight="1" thickBot="1">
      <c r="A273" s="783" t="s">
        <v>530</v>
      </c>
      <c r="B273" s="777" t="s">
        <v>452</v>
      </c>
      <c r="C273" s="777">
        <v>3130</v>
      </c>
      <c r="D273" s="777">
        <v>3100</v>
      </c>
      <c r="E273" s="777">
        <v>3230</v>
      </c>
      <c r="F273" s="791">
        <v>700</v>
      </c>
    </row>
    <row r="274" spans="1:6" s="771" customFormat="1" ht="14.25" customHeight="1" thickBot="1">
      <c r="A274" s="783" t="s">
        <v>530</v>
      </c>
      <c r="B274" s="777" t="s">
        <v>457</v>
      </c>
      <c r="C274" s="777">
        <v>3460</v>
      </c>
      <c r="D274" s="777">
        <v>3430</v>
      </c>
      <c r="E274" s="777">
        <v>3560</v>
      </c>
      <c r="F274" s="791">
        <v>690</v>
      </c>
    </row>
    <row r="275" spans="1:6" s="771" customFormat="1" ht="14.25" customHeight="1" thickBot="1">
      <c r="A275" s="783" t="s">
        <v>530</v>
      </c>
      <c r="B275" s="777" t="s">
        <v>462</v>
      </c>
      <c r="C275" s="777">
        <v>4040</v>
      </c>
      <c r="D275" s="777">
        <v>4020</v>
      </c>
      <c r="E275" s="777">
        <v>4160</v>
      </c>
      <c r="F275" s="791">
        <v>820</v>
      </c>
    </row>
    <row r="276" spans="1:6" s="771" customFormat="1" ht="14.25" customHeight="1" thickBot="1">
      <c r="A276" s="783" t="s">
        <v>530</v>
      </c>
      <c r="B276" s="777" t="s">
        <v>467</v>
      </c>
      <c r="C276" s="777">
        <v>3270</v>
      </c>
      <c r="D276" s="777">
        <v>3240</v>
      </c>
      <c r="E276" s="777">
        <v>3350</v>
      </c>
      <c r="F276" s="791">
        <v>680</v>
      </c>
    </row>
    <row r="277" spans="1:6" s="771" customFormat="1" ht="14.25" customHeight="1" thickBot="1">
      <c r="A277" s="783" t="s">
        <v>530</v>
      </c>
      <c r="B277" s="777" t="s">
        <v>472</v>
      </c>
      <c r="C277" s="777">
        <v>2930</v>
      </c>
      <c r="D277" s="777">
        <v>2900</v>
      </c>
      <c r="E277" s="777">
        <v>3000</v>
      </c>
      <c r="F277" s="791">
        <v>640</v>
      </c>
    </row>
    <row r="278" spans="1:6" s="771" customFormat="1" ht="14.25" customHeight="1" thickBot="1">
      <c r="A278" s="783" t="s">
        <v>530</v>
      </c>
      <c r="B278" s="777" t="s">
        <v>477</v>
      </c>
      <c r="C278" s="777">
        <v>4080</v>
      </c>
      <c r="D278" s="777">
        <v>4030</v>
      </c>
      <c r="E278" s="777">
        <v>4140</v>
      </c>
      <c r="F278" s="791">
        <v>850</v>
      </c>
    </row>
    <row r="279" spans="1:6" s="771" customFormat="1" ht="14.25" customHeight="1" thickBot="1">
      <c r="A279" s="783" t="s">
        <v>530</v>
      </c>
      <c r="B279" s="777" t="s">
        <v>481</v>
      </c>
      <c r="C279" s="777"/>
      <c r="D279" s="777"/>
      <c r="E279" s="777"/>
      <c r="F279" s="791">
        <v>760</v>
      </c>
    </row>
    <row r="280" spans="1:6" s="771" customFormat="1" ht="14.25" customHeight="1" thickBot="1">
      <c r="A280" s="783" t="s">
        <v>530</v>
      </c>
      <c r="B280" s="777" t="s">
        <v>485</v>
      </c>
      <c r="C280" s="777"/>
      <c r="D280" s="777"/>
      <c r="E280" s="777"/>
      <c r="F280" s="791">
        <v>760</v>
      </c>
    </row>
    <row r="281" spans="1:6" s="771" customFormat="1" ht="14.25" customHeight="1" thickBot="1">
      <c r="A281" s="783" t="s">
        <v>530</v>
      </c>
      <c r="B281" s="777" t="s">
        <v>489</v>
      </c>
      <c r="C281" s="777"/>
      <c r="D281" s="777"/>
      <c r="E281" s="777"/>
      <c r="F281" s="791">
        <v>780</v>
      </c>
    </row>
    <row r="282" spans="1:6" s="771" customFormat="1" ht="14.25" customHeight="1" thickBot="1">
      <c r="A282" s="783" t="s">
        <v>530</v>
      </c>
      <c r="B282" s="777" t="s">
        <v>493</v>
      </c>
      <c r="C282" s="777"/>
      <c r="D282" s="777"/>
      <c r="E282" s="777"/>
      <c r="F282" s="791">
        <v>730</v>
      </c>
    </row>
    <row r="283" spans="1:6" s="771" customFormat="1" ht="14.25" customHeight="1" thickBot="1">
      <c r="A283" s="783" t="s">
        <v>530</v>
      </c>
      <c r="B283" s="777" t="s">
        <v>497</v>
      </c>
      <c r="C283" s="777"/>
      <c r="D283" s="777"/>
      <c r="E283" s="777"/>
      <c r="F283" s="791">
        <v>770</v>
      </c>
    </row>
    <row r="284" spans="1:6" s="771" customFormat="1" ht="14.25" customHeight="1" thickBot="1">
      <c r="A284" s="783" t="s">
        <v>530</v>
      </c>
      <c r="B284" s="777" t="s">
        <v>500</v>
      </c>
      <c r="C284" s="777"/>
      <c r="D284" s="777"/>
      <c r="E284" s="777"/>
      <c r="F284" s="791">
        <v>640</v>
      </c>
    </row>
    <row r="285" spans="1:6" s="771" customFormat="1" ht="14.25" customHeight="1" thickBot="1">
      <c r="A285" s="783" t="s">
        <v>530</v>
      </c>
      <c r="B285" s="777" t="s">
        <v>503</v>
      </c>
      <c r="C285" s="777"/>
      <c r="D285" s="777"/>
      <c r="E285" s="777"/>
      <c r="F285" s="791">
        <v>640</v>
      </c>
    </row>
    <row r="286" spans="1:6" s="771" customFormat="1" ht="14.25" customHeight="1" thickBot="1">
      <c r="A286" s="783" t="s">
        <v>530</v>
      </c>
      <c r="B286" s="777" t="s">
        <v>506</v>
      </c>
      <c r="C286" s="777"/>
      <c r="D286" s="777"/>
      <c r="E286" s="777"/>
      <c r="F286" s="791">
        <v>850</v>
      </c>
    </row>
    <row r="287" spans="1:6" s="771" customFormat="1" ht="14.25" customHeight="1" thickBot="1">
      <c r="A287" s="783" t="s">
        <v>530</v>
      </c>
      <c r="B287" s="777" t="s">
        <v>509</v>
      </c>
      <c r="C287" s="777"/>
      <c r="D287" s="777"/>
      <c r="E287" s="777"/>
      <c r="F287" s="791">
        <v>760</v>
      </c>
    </row>
    <row r="288" spans="1:6" s="771" customFormat="1" ht="14.25" customHeight="1" thickBot="1">
      <c r="A288" s="783" t="s">
        <v>530</v>
      </c>
      <c r="B288" s="777" t="s">
        <v>512</v>
      </c>
      <c r="C288" s="777"/>
      <c r="D288" s="777"/>
      <c r="E288" s="777"/>
      <c r="F288" s="791">
        <v>830</v>
      </c>
    </row>
    <row r="289" spans="1:6" s="771" customFormat="1" ht="14.25" customHeight="1" thickBot="1">
      <c r="A289" s="783" t="s">
        <v>530</v>
      </c>
      <c r="B289" s="789" t="s">
        <v>515</v>
      </c>
      <c r="C289" s="789"/>
      <c r="D289" s="789"/>
      <c r="E289" s="789"/>
      <c r="F289" s="794">
        <v>680</v>
      </c>
    </row>
    <row r="290" spans="1:6" s="771" customFormat="1" ht="14.25" customHeight="1" thickBot="1">
      <c r="A290" s="783" t="s">
        <v>534</v>
      </c>
      <c r="B290" s="784" t="s">
        <v>535</v>
      </c>
      <c r="C290" s="784">
        <v>2770</v>
      </c>
      <c r="D290" s="784">
        <v>2740</v>
      </c>
      <c r="E290" s="784">
        <v>2720</v>
      </c>
      <c r="F290" s="797"/>
    </row>
    <row r="291" spans="1:6" s="771" customFormat="1" ht="14.25" customHeight="1" thickBot="1">
      <c r="A291" s="783" t="s">
        <v>534</v>
      </c>
      <c r="B291" s="777" t="s">
        <v>196</v>
      </c>
      <c r="C291" s="777">
        <v>2670</v>
      </c>
      <c r="D291" s="777">
        <v>2640</v>
      </c>
      <c r="E291" s="777">
        <v>2620</v>
      </c>
      <c r="F291" s="795"/>
    </row>
    <row r="292" spans="1:6" s="771" customFormat="1" ht="14.25" customHeight="1" thickBot="1">
      <c r="A292" s="783" t="s">
        <v>534</v>
      </c>
      <c r="B292" s="777" t="s">
        <v>536</v>
      </c>
      <c r="C292" s="777">
        <v>2180</v>
      </c>
      <c r="D292" s="777">
        <v>2140</v>
      </c>
      <c r="E292" s="777">
        <v>2120</v>
      </c>
      <c r="F292" s="791">
        <v>490</v>
      </c>
    </row>
    <row r="293" spans="1:6" s="771" customFormat="1" ht="14.25" customHeight="1" thickBot="1">
      <c r="A293" s="783" t="s">
        <v>534</v>
      </c>
      <c r="B293" s="777" t="s">
        <v>537</v>
      </c>
      <c r="C293" s="777"/>
      <c r="D293" s="777"/>
      <c r="E293" s="777"/>
      <c r="F293" s="791">
        <v>470</v>
      </c>
    </row>
    <row r="294" spans="1:6" s="771" customFormat="1" ht="14.25" customHeight="1" thickBot="1">
      <c r="A294" s="783" t="s">
        <v>534</v>
      </c>
      <c r="B294" s="777" t="s">
        <v>538</v>
      </c>
      <c r="C294" s="777">
        <v>2730</v>
      </c>
      <c r="D294" s="777">
        <v>2700</v>
      </c>
      <c r="E294" s="777">
        <v>2680</v>
      </c>
      <c r="F294" s="791">
        <v>490</v>
      </c>
    </row>
    <row r="295" spans="1:6" s="771" customFormat="1" ht="14.25" customHeight="1" thickBot="1">
      <c r="A295" s="783" t="s">
        <v>534</v>
      </c>
      <c r="B295" s="777" t="s">
        <v>234</v>
      </c>
      <c r="C295" s="777">
        <v>2380</v>
      </c>
      <c r="D295" s="777">
        <v>2350</v>
      </c>
      <c r="E295" s="777">
        <v>2330</v>
      </c>
      <c r="F295" s="791">
        <v>530</v>
      </c>
    </row>
    <row r="296" spans="1:6" s="771" customFormat="1" ht="14.25" customHeight="1" thickBot="1">
      <c r="A296" s="783" t="s">
        <v>534</v>
      </c>
      <c r="B296" s="777" t="s">
        <v>245</v>
      </c>
      <c r="C296" s="777">
        <v>2650</v>
      </c>
      <c r="D296" s="777">
        <v>2620</v>
      </c>
      <c r="E296" s="777">
        <v>2590</v>
      </c>
      <c r="F296" s="791">
        <v>590</v>
      </c>
    </row>
    <row r="297" spans="1:6" s="771" customFormat="1" ht="14.25" customHeight="1" thickBot="1">
      <c r="A297" s="783" t="s">
        <v>534</v>
      </c>
      <c r="B297" s="777" t="s">
        <v>256</v>
      </c>
      <c r="C297" s="777">
        <v>2700</v>
      </c>
      <c r="D297" s="777">
        <v>2670</v>
      </c>
      <c r="E297" s="777">
        <v>2650</v>
      </c>
      <c r="F297" s="791">
        <v>630</v>
      </c>
    </row>
    <row r="298" spans="1:6" s="771" customFormat="1" ht="14.25" customHeight="1" thickBot="1">
      <c r="A298" s="783" t="s">
        <v>534</v>
      </c>
      <c r="B298" s="777" t="s">
        <v>267</v>
      </c>
      <c r="C298" s="777">
        <v>2650</v>
      </c>
      <c r="D298" s="777">
        <v>2620</v>
      </c>
      <c r="E298" s="777">
        <v>2590</v>
      </c>
      <c r="F298" s="791">
        <v>640</v>
      </c>
    </row>
    <row r="299" spans="1:6" s="771" customFormat="1" ht="14.25" customHeight="1" thickBot="1">
      <c r="A299" s="783" t="s">
        <v>534</v>
      </c>
      <c r="B299" s="777" t="s">
        <v>279</v>
      </c>
      <c r="C299" s="777">
        <v>2500</v>
      </c>
      <c r="D299" s="777">
        <v>2480</v>
      </c>
      <c r="E299" s="777">
        <v>2460</v>
      </c>
      <c r="F299" s="795"/>
    </row>
    <row r="300" spans="1:6" s="771" customFormat="1" ht="14.25" customHeight="1" thickBot="1">
      <c r="A300" s="783" t="s">
        <v>534</v>
      </c>
      <c r="B300" s="777" t="s">
        <v>289</v>
      </c>
      <c r="C300" s="777">
        <v>2760</v>
      </c>
      <c r="D300" s="777">
        <v>2730</v>
      </c>
      <c r="E300" s="777">
        <v>2700</v>
      </c>
      <c r="F300" s="791">
        <v>630</v>
      </c>
    </row>
    <row r="301" spans="1:6" s="771" customFormat="1" ht="14.25" customHeight="1" thickBot="1">
      <c r="A301" s="783" t="s">
        <v>534</v>
      </c>
      <c r="B301" s="777" t="s">
        <v>299</v>
      </c>
      <c r="C301" s="777">
        <v>2510</v>
      </c>
      <c r="D301" s="777">
        <v>2480</v>
      </c>
      <c r="E301" s="777">
        <v>2460</v>
      </c>
      <c r="F301" s="795"/>
    </row>
    <row r="302" spans="1:6" s="771" customFormat="1" ht="14.25" customHeight="1" thickBot="1">
      <c r="A302" s="783" t="s">
        <v>534</v>
      </c>
      <c r="B302" s="777" t="s">
        <v>309</v>
      </c>
      <c r="C302" s="777">
        <v>2480</v>
      </c>
      <c r="D302" s="777">
        <v>2450</v>
      </c>
      <c r="E302" s="777">
        <v>2420</v>
      </c>
      <c r="F302" s="791">
        <v>600</v>
      </c>
    </row>
    <row r="303" spans="1:6" s="771" customFormat="1" ht="14.25" customHeight="1" thickBot="1">
      <c r="A303" s="783" t="s">
        <v>534</v>
      </c>
      <c r="B303" s="777" t="s">
        <v>319</v>
      </c>
      <c r="C303" s="777">
        <v>2270</v>
      </c>
      <c r="D303" s="777">
        <v>2240</v>
      </c>
      <c r="E303" s="777">
        <v>2210</v>
      </c>
      <c r="F303" s="791">
        <v>540</v>
      </c>
    </row>
    <row r="304" spans="1:6" s="771" customFormat="1" ht="14.25" customHeight="1" thickBot="1">
      <c r="A304" s="783" t="s">
        <v>534</v>
      </c>
      <c r="B304" s="777" t="s">
        <v>330</v>
      </c>
      <c r="C304" s="777">
        <v>2310</v>
      </c>
      <c r="D304" s="777">
        <v>2290</v>
      </c>
      <c r="E304" s="777">
        <v>2270</v>
      </c>
      <c r="F304" s="795"/>
    </row>
    <row r="305" spans="1:6" s="771" customFormat="1" ht="14.25" customHeight="1" thickBot="1">
      <c r="A305" s="783" t="s">
        <v>534</v>
      </c>
      <c r="B305" s="777" t="s">
        <v>341</v>
      </c>
      <c r="C305" s="777">
        <v>2490</v>
      </c>
      <c r="D305" s="777">
        <v>2470</v>
      </c>
      <c r="E305" s="777">
        <v>2440</v>
      </c>
      <c r="F305" s="791">
        <v>560</v>
      </c>
    </row>
    <row r="306" spans="1:6" s="771" customFormat="1" ht="14.25" customHeight="1" thickBot="1">
      <c r="A306" s="783" t="s">
        <v>534</v>
      </c>
      <c r="B306" s="777" t="s">
        <v>351</v>
      </c>
      <c r="C306" s="777">
        <v>2420</v>
      </c>
      <c r="D306" s="777">
        <v>2400</v>
      </c>
      <c r="E306" s="777">
        <v>2380</v>
      </c>
      <c r="F306" s="795"/>
    </row>
    <row r="307" spans="1:6" s="771" customFormat="1" ht="14.25" customHeight="1" thickBot="1">
      <c r="A307" s="783" t="s">
        <v>534</v>
      </c>
      <c r="B307" s="777" t="s">
        <v>361</v>
      </c>
      <c r="C307" s="777">
        <v>2770</v>
      </c>
      <c r="D307" s="777">
        <v>2740</v>
      </c>
      <c r="E307" s="777">
        <v>2710</v>
      </c>
      <c r="F307" s="791">
        <v>650</v>
      </c>
    </row>
    <row r="308" spans="1:6" s="771" customFormat="1" ht="14.25" customHeight="1" thickBot="1">
      <c r="A308" s="783" t="s">
        <v>534</v>
      </c>
      <c r="B308" s="777" t="s">
        <v>371</v>
      </c>
      <c r="C308" s="777">
        <v>2610</v>
      </c>
      <c r="D308" s="777">
        <v>2580</v>
      </c>
      <c r="E308" s="777">
        <v>2550</v>
      </c>
      <c r="F308" s="791">
        <v>580</v>
      </c>
    </row>
    <row r="309" spans="1:6" s="771" customFormat="1" ht="14.25" customHeight="1" thickBot="1">
      <c r="A309" s="783" t="s">
        <v>534</v>
      </c>
      <c r="B309" s="777" t="s">
        <v>381</v>
      </c>
      <c r="C309" s="777">
        <v>2690</v>
      </c>
      <c r="D309" s="777">
        <v>2670</v>
      </c>
      <c r="E309" s="777">
        <v>2650</v>
      </c>
      <c r="F309" s="795"/>
    </row>
    <row r="310" spans="1:6" s="771" customFormat="1" ht="14.25" customHeight="1" thickBot="1">
      <c r="A310" s="783" t="s">
        <v>534</v>
      </c>
      <c r="B310" s="777" t="s">
        <v>390</v>
      </c>
      <c r="C310" s="777">
        <v>2360</v>
      </c>
      <c r="D310" s="777">
        <v>2330</v>
      </c>
      <c r="E310" s="777">
        <v>2310</v>
      </c>
      <c r="F310" s="791">
        <v>560</v>
      </c>
    </row>
    <row r="311" spans="1:6" s="771" customFormat="1" ht="14.25" customHeight="1" thickBot="1">
      <c r="A311" s="783" t="s">
        <v>534</v>
      </c>
      <c r="B311" s="777" t="s">
        <v>399</v>
      </c>
      <c r="C311" s="777">
        <v>1970</v>
      </c>
      <c r="D311" s="777">
        <v>1950</v>
      </c>
      <c r="E311" s="777">
        <v>1920</v>
      </c>
      <c r="F311" s="791">
        <v>470</v>
      </c>
    </row>
    <row r="312" spans="1:6" s="771" customFormat="1" ht="14.25" customHeight="1" thickBot="1">
      <c r="A312" s="783" t="s">
        <v>534</v>
      </c>
      <c r="B312" s="777" t="s">
        <v>407</v>
      </c>
      <c r="C312" s="777">
        <v>2230</v>
      </c>
      <c r="D312" s="777">
        <v>2200</v>
      </c>
      <c r="E312" s="777">
        <v>2170</v>
      </c>
      <c r="F312" s="791">
        <v>460</v>
      </c>
    </row>
    <row r="313" spans="1:6" s="771" customFormat="1" ht="14.25" customHeight="1" thickBot="1">
      <c r="A313" s="783" t="s">
        <v>534</v>
      </c>
      <c r="B313" s="777" t="s">
        <v>414</v>
      </c>
      <c r="C313" s="777">
        <v>2770</v>
      </c>
      <c r="D313" s="777">
        <v>2740</v>
      </c>
      <c r="E313" s="777">
        <v>2710</v>
      </c>
      <c r="F313" s="791">
        <v>610</v>
      </c>
    </row>
    <row r="314" spans="1:6" s="771" customFormat="1" ht="14.25" customHeight="1" thickBot="1">
      <c r="A314" s="783" t="s">
        <v>534</v>
      </c>
      <c r="B314" s="777" t="s">
        <v>421</v>
      </c>
      <c r="C314" s="777"/>
      <c r="D314" s="777"/>
      <c r="E314" s="777"/>
      <c r="F314" s="791">
        <v>490</v>
      </c>
    </row>
    <row r="315" spans="1:6" s="771" customFormat="1" ht="14.25" customHeight="1" thickBot="1">
      <c r="A315" s="783" t="s">
        <v>534</v>
      </c>
      <c r="B315" s="777" t="s">
        <v>428</v>
      </c>
      <c r="C315" s="777"/>
      <c r="D315" s="777"/>
      <c r="E315" s="777"/>
      <c r="F315" s="791">
        <v>520</v>
      </c>
    </row>
    <row r="316" spans="1:6" s="771" customFormat="1" ht="14.25" customHeight="1" thickBot="1">
      <c r="A316" s="783" t="s">
        <v>534</v>
      </c>
      <c r="B316" s="789" t="s">
        <v>435</v>
      </c>
      <c r="C316" s="789"/>
      <c r="D316" s="789"/>
      <c r="E316" s="789"/>
      <c r="F316" s="794">
        <v>460</v>
      </c>
    </row>
    <row r="317" spans="1:6" s="771" customFormat="1" ht="14.25" customHeight="1" thickBot="1">
      <c r="A317" s="783" t="s">
        <v>321</v>
      </c>
      <c r="B317" s="784" t="s">
        <v>539</v>
      </c>
      <c r="C317" s="784">
        <v>1200</v>
      </c>
      <c r="D317" s="784">
        <v>1180</v>
      </c>
      <c r="E317" s="784">
        <v>1160</v>
      </c>
      <c r="F317" s="785">
        <v>370</v>
      </c>
    </row>
    <row r="318" spans="1:6" s="771" customFormat="1" ht="14.25" customHeight="1" thickBot="1">
      <c r="A318" s="783" t="s">
        <v>321</v>
      </c>
      <c r="B318" s="777" t="s">
        <v>540</v>
      </c>
      <c r="C318" s="777">
        <v>1090</v>
      </c>
      <c r="D318" s="777">
        <v>1060</v>
      </c>
      <c r="E318" s="777">
        <v>1040</v>
      </c>
      <c r="F318" s="795"/>
    </row>
    <row r="319" spans="1:6" s="771" customFormat="1" ht="14.25" customHeight="1" thickBot="1">
      <c r="A319" s="783" t="s">
        <v>321</v>
      </c>
      <c r="B319" s="777" t="s">
        <v>541</v>
      </c>
      <c r="C319" s="777">
        <v>1520</v>
      </c>
      <c r="D319" s="777">
        <v>1470</v>
      </c>
      <c r="E319" s="777">
        <v>1440</v>
      </c>
      <c r="F319" s="791">
        <v>370</v>
      </c>
    </row>
    <row r="320" spans="1:6" s="771" customFormat="1" ht="14.25" customHeight="1" thickBot="1">
      <c r="A320" s="783" t="s">
        <v>321</v>
      </c>
      <c r="B320" s="777" t="s">
        <v>223</v>
      </c>
      <c r="C320" s="777">
        <v>1360</v>
      </c>
      <c r="D320" s="777">
        <v>1300</v>
      </c>
      <c r="E320" s="777">
        <v>1270</v>
      </c>
      <c r="F320" s="795"/>
    </row>
    <row r="321" spans="1:6" s="771" customFormat="1" ht="14.25" customHeight="1" thickBot="1">
      <c r="A321" s="783" t="s">
        <v>321</v>
      </c>
      <c r="B321" s="777" t="s">
        <v>235</v>
      </c>
      <c r="C321" s="777">
        <v>1750</v>
      </c>
      <c r="D321" s="777">
        <v>1690</v>
      </c>
      <c r="E321" s="777">
        <v>1660</v>
      </c>
      <c r="F321" s="795"/>
    </row>
    <row r="322" spans="1:6" s="771" customFormat="1" ht="14.25" customHeight="1" thickBot="1">
      <c r="A322" s="783" t="s">
        <v>321</v>
      </c>
      <c r="B322" s="777" t="s">
        <v>246</v>
      </c>
      <c r="C322" s="777">
        <v>1650</v>
      </c>
      <c r="D322" s="777">
        <v>1610</v>
      </c>
      <c r="E322" s="777">
        <v>1580</v>
      </c>
      <c r="F322" s="791">
        <v>500</v>
      </c>
    </row>
    <row r="323" spans="1:6" s="771" customFormat="1" ht="14.25" customHeight="1" thickBot="1">
      <c r="A323" s="783" t="s">
        <v>321</v>
      </c>
      <c r="B323" s="777" t="s">
        <v>257</v>
      </c>
      <c r="C323" s="777">
        <v>1780</v>
      </c>
      <c r="D323" s="777">
        <v>1740</v>
      </c>
      <c r="E323" s="777">
        <v>1720</v>
      </c>
      <c r="F323" s="795"/>
    </row>
    <row r="324" spans="1:6" s="771" customFormat="1" ht="14.25" customHeight="1" thickBot="1">
      <c r="A324" s="783" t="s">
        <v>321</v>
      </c>
      <c r="B324" s="777" t="s">
        <v>268</v>
      </c>
      <c r="C324" s="777">
        <v>1650</v>
      </c>
      <c r="D324" s="777">
        <v>1610</v>
      </c>
      <c r="E324" s="777">
        <v>1580</v>
      </c>
      <c r="F324" s="795"/>
    </row>
    <row r="325" spans="1:6" s="771" customFormat="1" ht="14.25" customHeight="1" thickBot="1">
      <c r="A325" s="783" t="s">
        <v>321</v>
      </c>
      <c r="B325" s="777" t="s">
        <v>280</v>
      </c>
      <c r="C325" s="777">
        <v>1330</v>
      </c>
      <c r="D325" s="777">
        <v>1270</v>
      </c>
      <c r="E325" s="777">
        <v>1240</v>
      </c>
      <c r="F325" s="791">
        <v>430</v>
      </c>
    </row>
    <row r="326" spans="1:6" s="771" customFormat="1" ht="14.25" customHeight="1" thickBot="1">
      <c r="A326" s="783" t="s">
        <v>321</v>
      </c>
      <c r="B326" s="777" t="s">
        <v>290</v>
      </c>
      <c r="C326" s="777">
        <v>1470</v>
      </c>
      <c r="D326" s="777">
        <v>1430</v>
      </c>
      <c r="E326" s="777">
        <v>1400</v>
      </c>
      <c r="F326" s="795"/>
    </row>
    <row r="327" spans="1:6" s="771" customFormat="1" ht="14.25" customHeight="1" thickBot="1">
      <c r="A327" s="783" t="s">
        <v>321</v>
      </c>
      <c r="B327" s="777" t="s">
        <v>300</v>
      </c>
      <c r="C327" s="777">
        <v>1420</v>
      </c>
      <c r="D327" s="777">
        <v>1380</v>
      </c>
      <c r="E327" s="777">
        <v>1360</v>
      </c>
      <c r="F327" s="791">
        <v>420</v>
      </c>
    </row>
    <row r="328" spans="1:6" s="771" customFormat="1" ht="14.25" customHeight="1" thickBot="1">
      <c r="A328" s="783" t="s">
        <v>321</v>
      </c>
      <c r="B328" s="777" t="s">
        <v>310</v>
      </c>
      <c r="C328" s="777">
        <v>1400</v>
      </c>
      <c r="D328" s="777">
        <v>1360</v>
      </c>
      <c r="E328" s="777">
        <v>1330</v>
      </c>
      <c r="F328" s="791">
        <v>460</v>
      </c>
    </row>
    <row r="329" spans="1:6" s="771" customFormat="1" ht="14.25" customHeight="1" thickBot="1">
      <c r="A329" s="783" t="s">
        <v>321</v>
      </c>
      <c r="B329" s="777" t="s">
        <v>320</v>
      </c>
      <c r="C329" s="777">
        <v>1640</v>
      </c>
      <c r="D329" s="777">
        <v>1610</v>
      </c>
      <c r="E329" s="777">
        <v>1580</v>
      </c>
      <c r="F329" s="791">
        <v>410</v>
      </c>
    </row>
    <row r="330" spans="1:6" s="771" customFormat="1" ht="14.25" customHeight="1" thickBot="1">
      <c r="A330" s="783" t="s">
        <v>321</v>
      </c>
      <c r="B330" s="777" t="s">
        <v>331</v>
      </c>
      <c r="C330" s="777">
        <v>1260</v>
      </c>
      <c r="D330" s="777">
        <v>1220</v>
      </c>
      <c r="E330" s="777">
        <v>1200</v>
      </c>
      <c r="F330" s="795"/>
    </row>
    <row r="331" spans="1:6" s="771" customFormat="1" ht="14.25" customHeight="1" thickBot="1">
      <c r="A331" s="783" t="s">
        <v>321</v>
      </c>
      <c r="B331" s="777" t="s">
        <v>342</v>
      </c>
      <c r="C331" s="777">
        <v>1620</v>
      </c>
      <c r="D331" s="777">
        <v>1560</v>
      </c>
      <c r="E331" s="777">
        <v>1530</v>
      </c>
      <c r="F331" s="791">
        <v>490</v>
      </c>
    </row>
    <row r="332" spans="1:6" s="771" customFormat="1" ht="14.25" customHeight="1" thickBot="1">
      <c r="A332" s="783" t="s">
        <v>321</v>
      </c>
      <c r="B332" s="777" t="s">
        <v>352</v>
      </c>
      <c r="C332" s="777">
        <v>1520</v>
      </c>
      <c r="D332" s="777">
        <v>1470</v>
      </c>
      <c r="E332" s="777">
        <v>1440</v>
      </c>
      <c r="F332" s="791">
        <v>440</v>
      </c>
    </row>
    <row r="333" spans="1:6" s="771" customFormat="1" ht="14.25" customHeight="1" thickBot="1">
      <c r="A333" s="783" t="s">
        <v>321</v>
      </c>
      <c r="B333" s="777" t="s">
        <v>362</v>
      </c>
      <c r="C333" s="777">
        <v>1370</v>
      </c>
      <c r="D333" s="777">
        <v>1320</v>
      </c>
      <c r="E333" s="777">
        <v>1300</v>
      </c>
      <c r="F333" s="791">
        <v>460</v>
      </c>
    </row>
    <row r="334" spans="1:6" s="771" customFormat="1" ht="14.25" customHeight="1" thickBot="1">
      <c r="A334" s="783" t="s">
        <v>321</v>
      </c>
      <c r="B334" s="777" t="s">
        <v>372</v>
      </c>
      <c r="C334" s="777">
        <v>1410</v>
      </c>
      <c r="D334" s="777">
        <v>1340</v>
      </c>
      <c r="E334" s="777">
        <v>1310</v>
      </c>
      <c r="F334" s="791">
        <v>410</v>
      </c>
    </row>
    <row r="335" spans="1:6" s="771" customFormat="1" ht="14.25" customHeight="1" thickBot="1">
      <c r="A335" s="783" t="s">
        <v>321</v>
      </c>
      <c r="B335" s="777" t="s">
        <v>382</v>
      </c>
      <c r="C335" s="777">
        <v>1260</v>
      </c>
      <c r="D335" s="777">
        <v>1220</v>
      </c>
      <c r="E335" s="777">
        <v>1200</v>
      </c>
      <c r="F335" s="795"/>
    </row>
    <row r="336" spans="1:6" s="771" customFormat="1" ht="14.25" customHeight="1" thickBot="1">
      <c r="A336" s="783" t="s">
        <v>321</v>
      </c>
      <c r="B336" s="777" t="s">
        <v>391</v>
      </c>
      <c r="C336" s="777">
        <v>1160</v>
      </c>
      <c r="D336" s="777">
        <v>1140</v>
      </c>
      <c r="E336" s="777">
        <v>1120</v>
      </c>
      <c r="F336" s="791">
        <v>430</v>
      </c>
    </row>
    <row r="337" spans="1:6" s="771" customFormat="1" ht="14.25" customHeight="1" thickBot="1">
      <c r="A337" s="783" t="s">
        <v>321</v>
      </c>
      <c r="B337" s="789" t="s">
        <v>400</v>
      </c>
      <c r="C337" s="789"/>
      <c r="D337" s="789"/>
      <c r="E337" s="789"/>
      <c r="F337" s="794">
        <v>380</v>
      </c>
    </row>
    <row r="338" spans="1:6" s="771" customFormat="1" ht="14.25" customHeight="1" thickBot="1">
      <c r="A338" s="783" t="s">
        <v>332</v>
      </c>
      <c r="B338" s="784" t="s">
        <v>542</v>
      </c>
      <c r="C338" s="784">
        <v>880</v>
      </c>
      <c r="D338" s="784">
        <v>850</v>
      </c>
      <c r="E338" s="784">
        <v>830</v>
      </c>
      <c r="F338" s="797"/>
    </row>
    <row r="339" spans="1:6" s="771" customFormat="1" ht="14.25" customHeight="1" thickBot="1">
      <c r="A339" s="783" t="s">
        <v>332</v>
      </c>
      <c r="B339" s="777" t="s">
        <v>543</v>
      </c>
      <c r="C339" s="777">
        <v>830</v>
      </c>
      <c r="D339" s="777">
        <v>800</v>
      </c>
      <c r="E339" s="777">
        <v>780</v>
      </c>
      <c r="F339" s="795"/>
    </row>
    <row r="340" spans="1:6" s="771" customFormat="1" ht="14.25" customHeight="1" thickBot="1">
      <c r="A340" s="783" t="s">
        <v>332</v>
      </c>
      <c r="B340" s="777" t="s">
        <v>544</v>
      </c>
      <c r="C340" s="777">
        <v>980</v>
      </c>
      <c r="D340" s="777">
        <v>950</v>
      </c>
      <c r="E340" s="777">
        <v>920</v>
      </c>
      <c r="F340" s="795"/>
    </row>
    <row r="341" spans="1:6" s="771" customFormat="1" ht="14.25" customHeight="1" thickBot="1">
      <c r="A341" s="783" t="s">
        <v>332</v>
      </c>
      <c r="B341" s="777" t="s">
        <v>545</v>
      </c>
      <c r="C341" s="777">
        <v>760</v>
      </c>
      <c r="D341" s="777">
        <v>720</v>
      </c>
      <c r="E341" s="777">
        <v>690</v>
      </c>
      <c r="F341" s="791">
        <v>350</v>
      </c>
    </row>
    <row r="342" spans="1:6" s="771" customFormat="1" ht="14.25" customHeight="1" thickBot="1">
      <c r="A342" s="783" t="s">
        <v>332</v>
      </c>
      <c r="B342" s="777" t="s">
        <v>236</v>
      </c>
      <c r="C342" s="777">
        <v>910</v>
      </c>
      <c r="D342" s="777">
        <v>870</v>
      </c>
      <c r="E342" s="777">
        <v>850</v>
      </c>
      <c r="F342" s="791">
        <v>370</v>
      </c>
    </row>
    <row r="343" spans="1:6" s="771" customFormat="1" ht="14.25" customHeight="1" thickBot="1">
      <c r="A343" s="783" t="s">
        <v>332</v>
      </c>
      <c r="B343" s="777" t="s">
        <v>247</v>
      </c>
      <c r="C343" s="777">
        <v>800</v>
      </c>
      <c r="D343" s="777">
        <v>760</v>
      </c>
      <c r="E343" s="777">
        <v>730</v>
      </c>
      <c r="F343" s="791">
        <v>340</v>
      </c>
    </row>
    <row r="344" spans="1:6" s="771" customFormat="1" ht="14.25" customHeight="1" thickBot="1">
      <c r="A344" s="783" t="s">
        <v>332</v>
      </c>
      <c r="B344" s="789" t="s">
        <v>258</v>
      </c>
      <c r="C344" s="789">
        <v>720</v>
      </c>
      <c r="D344" s="789">
        <v>690</v>
      </c>
      <c r="E344" s="789">
        <v>660</v>
      </c>
      <c r="F344" s="79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8" customWidth="1"/>
    <col min="2" max="2" width="10.21875" style="756" customWidth="1"/>
  </cols>
  <sheetData>
    <row r="1" spans="1:6">
      <c r="A1" s="3447" t="s">
        <v>839</v>
      </c>
      <c r="B1" s="3447"/>
    </row>
    <row r="2" spans="1:6" ht="15" thickBot="1">
      <c r="A2" s="976"/>
      <c r="B2" s="976"/>
    </row>
    <row r="3" spans="1:6" ht="15" thickBot="1">
      <c r="A3" s="976"/>
      <c r="B3" s="976"/>
      <c r="C3" s="979" t="s">
        <v>842</v>
      </c>
      <c r="D3" s="979" t="s">
        <v>843</v>
      </c>
      <c r="E3" s="979" t="s">
        <v>844</v>
      </c>
      <c r="F3" s="979" t="s">
        <v>845</v>
      </c>
    </row>
    <row r="4" spans="1:6" ht="15" thickBot="1">
      <c r="A4" s="977" t="s">
        <v>840</v>
      </c>
      <c r="B4" s="978" t="s">
        <v>841</v>
      </c>
      <c r="C4" s="979"/>
      <c r="D4" s="979"/>
      <c r="E4" s="979"/>
      <c r="F4" s="979"/>
    </row>
    <row r="5" spans="1:6" ht="15" thickBot="1">
      <c r="A5" s="783" t="s">
        <v>846</v>
      </c>
      <c r="B5" s="784" t="s">
        <v>847</v>
      </c>
      <c r="C5" s="980">
        <v>8.8999999999999996E-2</v>
      </c>
      <c r="D5" s="980">
        <v>7.3999999999999996E-2</v>
      </c>
      <c r="E5" s="980">
        <v>7.4999999999999997E-2</v>
      </c>
      <c r="F5" s="981">
        <v>0.1</v>
      </c>
    </row>
    <row r="6" spans="1:6" ht="15" thickBot="1">
      <c r="A6" s="783" t="s">
        <v>212</v>
      </c>
      <c r="B6" s="777" t="s">
        <v>848</v>
      </c>
      <c r="C6" s="982">
        <v>0.1</v>
      </c>
      <c r="D6" s="982">
        <v>9.0999999999999998E-2</v>
      </c>
      <c r="E6" s="982">
        <v>9.0999999999999998E-2</v>
      </c>
      <c r="F6" s="983">
        <v>0.1</v>
      </c>
    </row>
    <row r="7" spans="1:6" ht="15" thickBot="1">
      <c r="A7" s="783" t="s">
        <v>212</v>
      </c>
      <c r="B7" s="787" t="s">
        <v>201</v>
      </c>
      <c r="C7" s="982">
        <v>8.5999999999999993E-2</v>
      </c>
      <c r="D7" s="982">
        <v>9.6000000000000002E-2</v>
      </c>
      <c r="E7" s="982">
        <v>7.5999999999999998E-2</v>
      </c>
      <c r="F7" s="983">
        <v>0.1</v>
      </c>
    </row>
    <row r="8" spans="1:6" ht="15" thickBot="1">
      <c r="A8" s="783" t="s">
        <v>212</v>
      </c>
      <c r="B8" s="777" t="s">
        <v>213</v>
      </c>
      <c r="C8" s="982">
        <v>9.9000000000000005E-2</v>
      </c>
      <c r="D8" s="982">
        <v>9.8000000000000004E-2</v>
      </c>
      <c r="E8" s="982">
        <v>9.8000000000000004E-2</v>
      </c>
      <c r="F8" s="983">
        <v>0.1</v>
      </c>
    </row>
    <row r="9" spans="1:6" ht="15" thickBot="1">
      <c r="A9" s="793" t="s">
        <v>212</v>
      </c>
      <c r="B9" s="788" t="s">
        <v>225</v>
      </c>
      <c r="C9" s="984">
        <v>0.05</v>
      </c>
      <c r="D9" s="992"/>
      <c r="E9" s="992"/>
      <c r="F9" s="993"/>
    </row>
    <row r="10" spans="1:6" ht="15" thickBot="1">
      <c r="A10" s="783" t="s">
        <v>269</v>
      </c>
      <c r="B10" s="784" t="s">
        <v>849</v>
      </c>
      <c r="C10" s="980">
        <v>8.8999999999999996E-2</v>
      </c>
      <c r="D10" s="980">
        <v>7.2999999999999995E-2</v>
      </c>
      <c r="E10" s="980">
        <v>8.2000000000000003E-2</v>
      </c>
      <c r="F10" s="981">
        <v>0.1</v>
      </c>
    </row>
    <row r="11" spans="1:6" ht="15" thickBot="1">
      <c r="A11" s="783" t="s">
        <v>269</v>
      </c>
      <c r="B11" s="787" t="s">
        <v>188</v>
      </c>
      <c r="C11" s="982">
        <v>8.8999999999999996E-2</v>
      </c>
      <c r="D11" s="982">
        <v>7.2999999999999995E-2</v>
      </c>
      <c r="E11" s="982">
        <v>8.2000000000000003E-2</v>
      </c>
      <c r="F11" s="983">
        <v>0.1</v>
      </c>
    </row>
    <row r="12" spans="1:6" ht="15" thickBot="1">
      <c r="A12" s="783" t="s">
        <v>269</v>
      </c>
      <c r="B12" s="787" t="s">
        <v>138</v>
      </c>
      <c r="C12" s="982">
        <v>6.0999999999999999E-2</v>
      </c>
      <c r="D12" s="982">
        <v>7.0999999999999994E-2</v>
      </c>
      <c r="E12" s="982">
        <v>9.6000000000000002E-2</v>
      </c>
      <c r="F12" s="983">
        <v>0.1</v>
      </c>
    </row>
    <row r="13" spans="1:6" ht="15" thickBot="1">
      <c r="A13" s="783" t="s">
        <v>269</v>
      </c>
      <c r="B13" s="787" t="s">
        <v>214</v>
      </c>
      <c r="C13" s="982">
        <v>6.9000000000000006E-2</v>
      </c>
      <c r="D13" s="982">
        <v>6.5000000000000002E-2</v>
      </c>
      <c r="E13" s="982">
        <v>6.6000000000000003E-2</v>
      </c>
      <c r="F13" s="983">
        <v>0.1</v>
      </c>
    </row>
    <row r="14" spans="1:6" ht="15" thickBot="1">
      <c r="A14" s="783" t="s">
        <v>269</v>
      </c>
      <c r="B14" s="787" t="s">
        <v>226</v>
      </c>
      <c r="C14" s="982">
        <v>0.1</v>
      </c>
      <c r="D14" s="982">
        <v>6.5000000000000002E-2</v>
      </c>
      <c r="E14" s="982">
        <v>7.0000000000000007E-2</v>
      </c>
      <c r="F14" s="983">
        <v>0.1</v>
      </c>
    </row>
    <row r="15" spans="1:6" ht="15" thickBot="1">
      <c r="A15" s="783" t="s">
        <v>269</v>
      </c>
      <c r="B15" s="787" t="s">
        <v>237</v>
      </c>
      <c r="C15" s="982">
        <v>9.8000000000000004E-2</v>
      </c>
      <c r="D15" s="982">
        <v>8.8999999999999996E-2</v>
      </c>
      <c r="E15" s="982">
        <v>8.8999999999999996E-2</v>
      </c>
      <c r="F15" s="983">
        <v>0.1</v>
      </c>
    </row>
    <row r="16" spans="1:6" ht="15" thickBot="1">
      <c r="A16" s="783" t="s">
        <v>269</v>
      </c>
      <c r="B16" s="787" t="s">
        <v>248</v>
      </c>
      <c r="C16" s="982">
        <v>7.0000000000000007E-2</v>
      </c>
      <c r="D16" s="982">
        <v>9.2999999999999999E-2</v>
      </c>
      <c r="E16" s="982">
        <v>9.6000000000000002E-2</v>
      </c>
      <c r="F16" s="983">
        <v>0.1</v>
      </c>
    </row>
    <row r="17" spans="1:6" ht="15" thickBot="1">
      <c r="A17" s="783" t="s">
        <v>269</v>
      </c>
      <c r="B17" s="787" t="s">
        <v>259</v>
      </c>
      <c r="C17" s="982">
        <v>9.5000000000000001E-2</v>
      </c>
      <c r="D17" s="982">
        <v>0.1</v>
      </c>
      <c r="E17" s="982">
        <v>0.1</v>
      </c>
      <c r="F17" s="994"/>
    </row>
    <row r="18" spans="1:6" ht="15" thickBot="1">
      <c r="A18" s="783" t="s">
        <v>269</v>
      </c>
      <c r="B18" s="787" t="s">
        <v>271</v>
      </c>
      <c r="C18" s="982">
        <v>7.3999999999999996E-2</v>
      </c>
      <c r="D18" s="982">
        <v>9.9000000000000005E-2</v>
      </c>
      <c r="E18" s="982">
        <v>0.1</v>
      </c>
      <c r="F18" s="994"/>
    </row>
    <row r="19" spans="1:6" ht="15" thickBot="1">
      <c r="A19" s="783" t="s">
        <v>269</v>
      </c>
      <c r="B19" s="787" t="s">
        <v>281</v>
      </c>
      <c r="C19" s="982">
        <v>9.9000000000000005E-2</v>
      </c>
      <c r="D19" s="982">
        <v>7.5999999999999998E-2</v>
      </c>
      <c r="E19" s="982">
        <v>8.6999999999999994E-2</v>
      </c>
      <c r="F19" s="994"/>
    </row>
    <row r="20" spans="1:6" ht="15" thickBot="1">
      <c r="A20" s="783" t="s">
        <v>269</v>
      </c>
      <c r="B20" s="787" t="s">
        <v>291</v>
      </c>
      <c r="C20" s="982">
        <v>9.8000000000000004E-2</v>
      </c>
      <c r="D20" s="982">
        <v>8.5000000000000006E-2</v>
      </c>
      <c r="E20" s="982">
        <v>8.2000000000000003E-2</v>
      </c>
      <c r="F20" s="994"/>
    </row>
    <row r="21" spans="1:6" ht="15" thickBot="1">
      <c r="A21" s="783" t="s">
        <v>269</v>
      </c>
      <c r="B21" s="787" t="s">
        <v>301</v>
      </c>
      <c r="C21" s="982">
        <v>6.6000000000000003E-2</v>
      </c>
      <c r="D21" s="982">
        <v>6.4000000000000001E-2</v>
      </c>
      <c r="E21" s="982">
        <v>6.5000000000000002E-2</v>
      </c>
      <c r="F21" s="994"/>
    </row>
    <row r="22" spans="1:6" ht="15" thickBot="1">
      <c r="A22" s="783" t="s">
        <v>269</v>
      </c>
      <c r="B22" s="787" t="s">
        <v>850</v>
      </c>
      <c r="C22" s="982">
        <v>0.08</v>
      </c>
      <c r="D22" s="982">
        <v>9.8000000000000004E-2</v>
      </c>
      <c r="E22" s="982">
        <v>9.8000000000000004E-2</v>
      </c>
      <c r="F22" s="994"/>
    </row>
    <row r="23" spans="1:6" ht="15" thickBot="1">
      <c r="A23" s="783" t="s">
        <v>269</v>
      </c>
      <c r="B23" s="787" t="s">
        <v>322</v>
      </c>
      <c r="C23" s="982">
        <v>9.9000000000000005E-2</v>
      </c>
      <c r="D23" s="982">
        <v>9.8000000000000004E-2</v>
      </c>
      <c r="E23" s="982">
        <v>9.0999999999999998E-2</v>
      </c>
      <c r="F23" s="994"/>
    </row>
    <row r="24" spans="1:6" ht="15" thickBot="1">
      <c r="A24" s="783" t="s">
        <v>269</v>
      </c>
      <c r="B24" s="787" t="s">
        <v>333</v>
      </c>
      <c r="C24" s="982">
        <v>8.8999999999999996E-2</v>
      </c>
      <c r="D24" s="982">
        <v>9.7000000000000003E-2</v>
      </c>
      <c r="E24" s="982">
        <v>7.0000000000000007E-2</v>
      </c>
      <c r="F24" s="994"/>
    </row>
    <row r="25" spans="1:6" ht="15" thickBot="1">
      <c r="A25" s="783" t="s">
        <v>269</v>
      </c>
      <c r="B25" s="787" t="s">
        <v>343</v>
      </c>
      <c r="C25" s="982">
        <v>8.8999999999999996E-2</v>
      </c>
      <c r="D25" s="982">
        <v>0.1</v>
      </c>
      <c r="E25" s="982">
        <v>8.1000000000000003E-2</v>
      </c>
      <c r="F25" s="994"/>
    </row>
    <row r="26" spans="1:6" ht="15" thickBot="1">
      <c r="A26" s="783" t="s">
        <v>269</v>
      </c>
      <c r="B26" s="787" t="s">
        <v>353</v>
      </c>
      <c r="C26" s="995"/>
      <c r="D26" s="982">
        <v>9.6000000000000002E-2</v>
      </c>
      <c r="E26" s="982">
        <v>9.2999999999999999E-2</v>
      </c>
      <c r="F26" s="994"/>
    </row>
    <row r="27" spans="1:6" ht="15" thickBot="1">
      <c r="A27" s="783" t="s">
        <v>269</v>
      </c>
      <c r="B27" s="787" t="s">
        <v>363</v>
      </c>
      <c r="C27" s="995"/>
      <c r="D27" s="982">
        <v>7.5999999999999998E-2</v>
      </c>
      <c r="E27" s="982">
        <v>9.1999999999999998E-2</v>
      </c>
      <c r="F27" s="994"/>
    </row>
    <row r="28" spans="1:6" ht="15" thickBot="1">
      <c r="A28" s="793" t="s">
        <v>269</v>
      </c>
      <c r="B28" s="788" t="s">
        <v>373</v>
      </c>
      <c r="C28" s="992"/>
      <c r="D28" s="984">
        <v>7.5999999999999998E-2</v>
      </c>
      <c r="E28" s="984">
        <v>9.1999999999999998E-2</v>
      </c>
      <c r="F28" s="993"/>
    </row>
    <row r="29" spans="1:6" ht="15" thickBot="1">
      <c r="A29" s="783" t="s">
        <v>442</v>
      </c>
      <c r="B29" s="784" t="s">
        <v>851</v>
      </c>
      <c r="C29" s="980">
        <v>6.4000000000000001E-2</v>
      </c>
      <c r="D29" s="980">
        <v>6.5000000000000002E-2</v>
      </c>
      <c r="E29" s="980">
        <v>6.9000000000000006E-2</v>
      </c>
      <c r="F29" s="981">
        <v>0.1</v>
      </c>
    </row>
    <row r="30" spans="1:6" ht="15" thickBot="1">
      <c r="A30" s="783" t="s">
        <v>442</v>
      </c>
      <c r="B30" s="787" t="s">
        <v>189</v>
      </c>
      <c r="C30" s="982">
        <v>6.4000000000000001E-2</v>
      </c>
      <c r="D30" s="982">
        <v>9.9000000000000005E-2</v>
      </c>
      <c r="E30" s="982">
        <v>0.1</v>
      </c>
      <c r="F30" s="983">
        <v>0.1</v>
      </c>
    </row>
    <row r="31" spans="1:6" ht="15" thickBot="1">
      <c r="A31" s="783" t="s">
        <v>442</v>
      </c>
      <c r="B31" s="787" t="s">
        <v>202</v>
      </c>
      <c r="C31" s="982">
        <v>0.1</v>
      </c>
      <c r="D31" s="982">
        <v>9.5000000000000001E-2</v>
      </c>
      <c r="E31" s="982">
        <v>8.8999999999999996E-2</v>
      </c>
      <c r="F31" s="983">
        <v>0.1</v>
      </c>
    </row>
    <row r="32" spans="1:6" ht="15" thickBot="1">
      <c r="A32" s="783" t="s">
        <v>442</v>
      </c>
      <c r="B32" s="787" t="s">
        <v>215</v>
      </c>
      <c r="C32" s="982">
        <v>0.05</v>
      </c>
      <c r="D32" s="982">
        <v>0.05</v>
      </c>
      <c r="E32" s="982">
        <v>8.7999999999999995E-2</v>
      </c>
      <c r="F32" s="983">
        <v>0.1</v>
      </c>
    </row>
    <row r="33" spans="1:6" ht="15" thickBot="1">
      <c r="A33" s="783" t="s">
        <v>442</v>
      </c>
      <c r="B33" s="787" t="s">
        <v>227</v>
      </c>
      <c r="C33" s="982">
        <v>7.4999999999999997E-2</v>
      </c>
      <c r="D33" s="982">
        <v>9.4E-2</v>
      </c>
      <c r="E33" s="982">
        <v>9.7000000000000003E-2</v>
      </c>
      <c r="F33" s="983">
        <v>0.1</v>
      </c>
    </row>
    <row r="34" spans="1:6" ht="15" thickBot="1">
      <c r="A34" s="783" t="s">
        <v>442</v>
      </c>
      <c r="B34" s="787" t="s">
        <v>238</v>
      </c>
      <c r="C34" s="982">
        <v>9.8000000000000004E-2</v>
      </c>
      <c r="D34" s="982">
        <v>8.5999999999999993E-2</v>
      </c>
      <c r="E34" s="982">
        <v>9.7000000000000003E-2</v>
      </c>
      <c r="F34" s="983">
        <v>0.1</v>
      </c>
    </row>
    <row r="35" spans="1:6" ht="15" thickBot="1">
      <c r="A35" s="783" t="s">
        <v>442</v>
      </c>
      <c r="B35" s="787" t="s">
        <v>249</v>
      </c>
      <c r="C35" s="982">
        <v>5.8999999999999997E-2</v>
      </c>
      <c r="D35" s="982">
        <v>6.5000000000000002E-2</v>
      </c>
      <c r="E35" s="982">
        <v>7.0000000000000007E-2</v>
      </c>
      <c r="F35" s="983">
        <v>0.1</v>
      </c>
    </row>
    <row r="36" spans="1:6" ht="15" thickBot="1">
      <c r="A36" s="783" t="s">
        <v>442</v>
      </c>
      <c r="B36" s="787" t="s">
        <v>260</v>
      </c>
      <c r="C36" s="982">
        <v>6.3E-2</v>
      </c>
      <c r="D36" s="982">
        <v>0.1</v>
      </c>
      <c r="E36" s="982">
        <v>0.1</v>
      </c>
      <c r="F36" s="983">
        <v>0.1</v>
      </c>
    </row>
    <row r="37" spans="1:6" ht="15" thickBot="1">
      <c r="A37" s="783" t="s">
        <v>442</v>
      </c>
      <c r="B37" s="787" t="s">
        <v>272</v>
      </c>
      <c r="C37" s="982">
        <v>7.3999999999999996E-2</v>
      </c>
      <c r="D37" s="982">
        <v>0.1</v>
      </c>
      <c r="E37" s="982">
        <v>0.1</v>
      </c>
      <c r="F37" s="983">
        <v>0.1</v>
      </c>
    </row>
    <row r="38" spans="1:6" ht="15" thickBot="1">
      <c r="A38" s="783" t="s">
        <v>442</v>
      </c>
      <c r="B38" s="787" t="s">
        <v>282</v>
      </c>
      <c r="C38" s="982">
        <v>0.1</v>
      </c>
      <c r="D38" s="982">
        <v>9.6000000000000002E-2</v>
      </c>
      <c r="E38" s="982">
        <v>9.6000000000000002E-2</v>
      </c>
      <c r="F38" s="994"/>
    </row>
    <row r="39" spans="1:6" ht="15" thickBot="1">
      <c r="A39" s="783" t="s">
        <v>442</v>
      </c>
      <c r="B39" s="787" t="s">
        <v>292</v>
      </c>
      <c r="C39" s="982">
        <v>0.1</v>
      </c>
      <c r="D39" s="982">
        <v>9.6000000000000002E-2</v>
      </c>
      <c r="E39" s="982">
        <v>9.6000000000000002E-2</v>
      </c>
      <c r="F39" s="994"/>
    </row>
    <row r="40" spans="1:6" ht="15" thickBot="1">
      <c r="A40" s="783" t="s">
        <v>442</v>
      </c>
      <c r="B40" s="787" t="s">
        <v>302</v>
      </c>
      <c r="C40" s="982">
        <v>9.6000000000000002E-2</v>
      </c>
      <c r="D40" s="982">
        <v>0.1</v>
      </c>
      <c r="E40" s="982">
        <v>9.9000000000000005E-2</v>
      </c>
      <c r="F40" s="994"/>
    </row>
    <row r="41" spans="1:6" ht="15" thickBot="1">
      <c r="A41" s="783" t="s">
        <v>442</v>
      </c>
      <c r="B41" s="787" t="s">
        <v>312</v>
      </c>
      <c r="C41" s="982">
        <v>9.6000000000000002E-2</v>
      </c>
      <c r="D41" s="982">
        <v>9.8000000000000004E-2</v>
      </c>
      <c r="E41" s="982">
        <v>9.8000000000000004E-2</v>
      </c>
      <c r="F41" s="994"/>
    </row>
    <row r="42" spans="1:6" ht="15" thickBot="1">
      <c r="A42" s="783" t="s">
        <v>442</v>
      </c>
      <c r="B42" s="787" t="s">
        <v>323</v>
      </c>
      <c r="C42" s="982">
        <v>0.1</v>
      </c>
      <c r="D42" s="982">
        <v>8.7999999999999995E-2</v>
      </c>
      <c r="E42" s="982">
        <v>0.1</v>
      </c>
      <c r="F42" s="994"/>
    </row>
    <row r="43" spans="1:6" ht="15" thickBot="1">
      <c r="A43" s="783" t="s">
        <v>442</v>
      </c>
      <c r="B43" s="787" t="s">
        <v>334</v>
      </c>
      <c r="C43" s="982">
        <v>9.8000000000000004E-2</v>
      </c>
      <c r="D43" s="982">
        <v>9.7000000000000003E-2</v>
      </c>
      <c r="E43" s="982">
        <v>9.6000000000000002E-2</v>
      </c>
      <c r="F43" s="994"/>
    </row>
    <row r="44" spans="1:6" ht="15" thickBot="1">
      <c r="A44" s="783" t="s">
        <v>442</v>
      </c>
      <c r="B44" s="787" t="s">
        <v>344</v>
      </c>
      <c r="C44" s="982">
        <v>8.5999999999999993E-2</v>
      </c>
      <c r="D44" s="982">
        <v>7.9000000000000001E-2</v>
      </c>
      <c r="E44" s="982">
        <v>7.0999999999999994E-2</v>
      </c>
      <c r="F44" s="994"/>
    </row>
    <row r="45" spans="1:6" ht="15" thickBot="1">
      <c r="A45" s="783" t="s">
        <v>442</v>
      </c>
      <c r="B45" s="787" t="s">
        <v>354</v>
      </c>
      <c r="C45" s="982">
        <v>9.8000000000000004E-2</v>
      </c>
      <c r="D45" s="982">
        <v>9.6000000000000002E-2</v>
      </c>
      <c r="E45" s="982">
        <v>9.6000000000000002E-2</v>
      </c>
      <c r="F45" s="994"/>
    </row>
    <row r="46" spans="1:6" ht="15" thickBot="1">
      <c r="A46" s="783" t="s">
        <v>442</v>
      </c>
      <c r="B46" s="787" t="s">
        <v>364</v>
      </c>
      <c r="C46" s="982">
        <v>8.5999999999999993E-2</v>
      </c>
      <c r="D46" s="982">
        <v>9.8000000000000004E-2</v>
      </c>
      <c r="E46" s="982">
        <v>8.7999999999999995E-2</v>
      </c>
      <c r="F46" s="994"/>
    </row>
    <row r="47" spans="1:6" ht="15" thickBot="1">
      <c r="A47" s="783" t="s">
        <v>442</v>
      </c>
      <c r="B47" s="787" t="s">
        <v>374</v>
      </c>
      <c r="C47" s="982">
        <v>9.6000000000000002E-2</v>
      </c>
      <c r="D47" s="995"/>
      <c r="E47" s="982">
        <v>6.9000000000000006E-2</v>
      </c>
      <c r="F47" s="994"/>
    </row>
    <row r="48" spans="1:6" ht="15" thickBot="1">
      <c r="A48" s="793" t="s">
        <v>442</v>
      </c>
      <c r="B48" s="788" t="s">
        <v>383</v>
      </c>
      <c r="C48" s="984">
        <v>9.8000000000000004E-2</v>
      </c>
      <c r="D48" s="992"/>
      <c r="E48" s="984">
        <v>9.5000000000000001E-2</v>
      </c>
      <c r="F48" s="993"/>
    </row>
    <row r="49" spans="1:6" ht="15" thickBot="1">
      <c r="A49" s="783" t="s">
        <v>137</v>
      </c>
      <c r="B49" s="784" t="s">
        <v>852</v>
      </c>
      <c r="C49" s="980">
        <v>9.7000000000000003E-2</v>
      </c>
      <c r="D49" s="980">
        <v>9.5000000000000001E-2</v>
      </c>
      <c r="E49" s="980">
        <v>9.7000000000000003E-2</v>
      </c>
      <c r="F49" s="981">
        <v>0.1</v>
      </c>
    </row>
    <row r="50" spans="1:6" ht="15" thickBot="1">
      <c r="A50" s="783" t="s">
        <v>137</v>
      </c>
      <c r="B50" s="777" t="s">
        <v>190</v>
      </c>
      <c r="C50" s="982">
        <v>7.4999999999999997E-2</v>
      </c>
      <c r="D50" s="982">
        <v>9.5000000000000001E-2</v>
      </c>
      <c r="E50" s="982">
        <v>0.1</v>
      </c>
      <c r="F50" s="983">
        <v>0.1</v>
      </c>
    </row>
    <row r="51" spans="1:6" ht="15" thickBot="1">
      <c r="A51" s="783" t="s">
        <v>137</v>
      </c>
      <c r="B51" s="777" t="s">
        <v>203</v>
      </c>
      <c r="C51" s="982">
        <v>9.8000000000000004E-2</v>
      </c>
      <c r="D51" s="982">
        <v>8.8999999999999996E-2</v>
      </c>
      <c r="E51" s="982">
        <v>0.1</v>
      </c>
      <c r="F51" s="983">
        <v>0.1</v>
      </c>
    </row>
    <row r="52" spans="1:6" ht="15" thickBot="1">
      <c r="A52" s="783" t="s">
        <v>137</v>
      </c>
      <c r="B52" s="777" t="s">
        <v>216</v>
      </c>
      <c r="C52" s="982">
        <v>9.8000000000000004E-2</v>
      </c>
      <c r="D52" s="982">
        <v>9.7000000000000003E-2</v>
      </c>
      <c r="E52" s="982">
        <v>8.1000000000000003E-2</v>
      </c>
      <c r="F52" s="983">
        <v>0.1</v>
      </c>
    </row>
    <row r="53" spans="1:6" ht="15" thickBot="1">
      <c r="A53" s="783" t="s">
        <v>137</v>
      </c>
      <c r="B53" s="777" t="s">
        <v>228</v>
      </c>
      <c r="C53" s="982">
        <v>9.7000000000000003E-2</v>
      </c>
      <c r="D53" s="982">
        <v>7.5999999999999998E-2</v>
      </c>
      <c r="E53" s="982">
        <v>7.0999999999999994E-2</v>
      </c>
      <c r="F53" s="983">
        <v>0.1</v>
      </c>
    </row>
    <row r="54" spans="1:6" ht="15" thickBot="1">
      <c r="A54" s="783" t="s">
        <v>137</v>
      </c>
      <c r="B54" s="777" t="s">
        <v>239</v>
      </c>
      <c r="C54" s="982">
        <v>7.5999999999999998E-2</v>
      </c>
      <c r="D54" s="982">
        <v>0.1</v>
      </c>
      <c r="E54" s="982">
        <v>9.9000000000000005E-2</v>
      </c>
      <c r="F54" s="983">
        <v>0.1</v>
      </c>
    </row>
    <row r="55" spans="1:6" ht="15" thickBot="1">
      <c r="A55" s="783" t="s">
        <v>137</v>
      </c>
      <c r="B55" s="777" t="s">
        <v>250</v>
      </c>
      <c r="C55" s="982">
        <v>0.1</v>
      </c>
      <c r="D55" s="982">
        <v>0.1</v>
      </c>
      <c r="E55" s="982">
        <v>9.6000000000000002E-2</v>
      </c>
      <c r="F55" s="983">
        <v>0.1</v>
      </c>
    </row>
    <row r="56" spans="1:6" ht="15" thickBot="1">
      <c r="A56" s="783" t="s">
        <v>137</v>
      </c>
      <c r="B56" s="777" t="s">
        <v>261</v>
      </c>
      <c r="C56" s="982">
        <v>0.1</v>
      </c>
      <c r="D56" s="982">
        <v>9.6000000000000002E-2</v>
      </c>
      <c r="E56" s="982">
        <v>5.1999999999999998E-2</v>
      </c>
      <c r="F56" s="983">
        <v>0.1</v>
      </c>
    </row>
    <row r="57" spans="1:6" ht="15" thickBot="1">
      <c r="A57" s="783" t="s">
        <v>137</v>
      </c>
      <c r="B57" s="777" t="s">
        <v>273</v>
      </c>
      <c r="C57" s="982">
        <v>9.7000000000000003E-2</v>
      </c>
      <c r="D57" s="982">
        <v>9.6000000000000002E-2</v>
      </c>
      <c r="E57" s="982">
        <v>9.6000000000000002E-2</v>
      </c>
      <c r="F57" s="983">
        <v>0.1</v>
      </c>
    </row>
    <row r="58" spans="1:6" ht="15" thickBot="1">
      <c r="A58" s="783" t="s">
        <v>137</v>
      </c>
      <c r="B58" s="777" t="s">
        <v>283</v>
      </c>
      <c r="C58" s="982">
        <v>9.6000000000000002E-2</v>
      </c>
      <c r="D58" s="982">
        <v>9.9000000000000005E-2</v>
      </c>
      <c r="E58" s="982">
        <v>9.6000000000000002E-2</v>
      </c>
      <c r="F58" s="983">
        <v>0.1</v>
      </c>
    </row>
    <row r="59" spans="1:6" ht="15" thickBot="1">
      <c r="A59" s="783" t="s">
        <v>137</v>
      </c>
      <c r="B59" s="777" t="s">
        <v>293</v>
      </c>
      <c r="C59" s="982">
        <v>7.1999999999999995E-2</v>
      </c>
      <c r="D59" s="982">
        <v>9.6000000000000002E-2</v>
      </c>
      <c r="E59" s="982">
        <v>7.0999999999999994E-2</v>
      </c>
      <c r="F59" s="983">
        <v>0.1</v>
      </c>
    </row>
    <row r="60" spans="1:6" ht="15" thickBot="1">
      <c r="A60" s="783" t="s">
        <v>137</v>
      </c>
      <c r="B60" s="777" t="s">
        <v>303</v>
      </c>
      <c r="C60" s="982">
        <v>9.6000000000000002E-2</v>
      </c>
      <c r="D60" s="982">
        <v>8.8999999999999996E-2</v>
      </c>
      <c r="E60" s="982">
        <v>9.6000000000000002E-2</v>
      </c>
      <c r="F60" s="983">
        <v>0.1</v>
      </c>
    </row>
    <row r="61" spans="1:6" ht="15" thickBot="1">
      <c r="A61" s="783" t="s">
        <v>137</v>
      </c>
      <c r="B61" s="777" t="s">
        <v>313</v>
      </c>
      <c r="C61" s="982">
        <v>8.8999999999999996E-2</v>
      </c>
      <c r="D61" s="982">
        <v>9.8000000000000004E-2</v>
      </c>
      <c r="E61" s="982">
        <v>8.7999999999999995E-2</v>
      </c>
      <c r="F61" s="994"/>
    </row>
    <row r="62" spans="1:6" ht="15" thickBot="1">
      <c r="A62" s="783" t="s">
        <v>137</v>
      </c>
      <c r="B62" s="777" t="s">
        <v>324</v>
      </c>
      <c r="C62" s="982">
        <v>9.8000000000000004E-2</v>
      </c>
      <c r="D62" s="982">
        <v>9.2999999999999999E-2</v>
      </c>
      <c r="E62" s="982">
        <v>9.7000000000000003E-2</v>
      </c>
      <c r="F62" s="994"/>
    </row>
    <row r="63" spans="1:6" ht="15" thickBot="1">
      <c r="A63" s="783" t="s">
        <v>137</v>
      </c>
      <c r="B63" s="777" t="s">
        <v>335</v>
      </c>
      <c r="C63" s="982">
        <v>9.6000000000000002E-2</v>
      </c>
      <c r="D63" s="982">
        <v>9.8000000000000004E-2</v>
      </c>
      <c r="E63" s="982">
        <v>0.09</v>
      </c>
      <c r="F63" s="994"/>
    </row>
    <row r="64" spans="1:6" ht="15" thickBot="1">
      <c r="A64" s="783" t="s">
        <v>137</v>
      </c>
      <c r="B64" s="777" t="s">
        <v>345</v>
      </c>
      <c r="C64" s="982">
        <v>9.9000000000000005E-2</v>
      </c>
      <c r="D64" s="982">
        <v>9.7000000000000003E-2</v>
      </c>
      <c r="E64" s="982">
        <v>9.9000000000000005E-2</v>
      </c>
      <c r="F64" s="994"/>
    </row>
    <row r="65" spans="1:6" ht="15" thickBot="1">
      <c r="A65" s="783" t="s">
        <v>137</v>
      </c>
      <c r="B65" s="777" t="s">
        <v>355</v>
      </c>
      <c r="C65" s="982">
        <v>9.8000000000000004E-2</v>
      </c>
      <c r="D65" s="982">
        <v>9.6000000000000002E-2</v>
      </c>
      <c r="E65" s="982">
        <v>9.6000000000000002E-2</v>
      </c>
      <c r="F65" s="994"/>
    </row>
    <row r="66" spans="1:6" ht="15" thickBot="1">
      <c r="A66" s="783" t="s">
        <v>137</v>
      </c>
      <c r="B66" s="777" t="s">
        <v>365</v>
      </c>
      <c r="C66" s="982">
        <v>9.6000000000000002E-2</v>
      </c>
      <c r="D66" s="982">
        <v>9.1999999999999998E-2</v>
      </c>
      <c r="E66" s="982">
        <v>9.6000000000000002E-2</v>
      </c>
      <c r="F66" s="994"/>
    </row>
    <row r="67" spans="1:6" ht="15" thickBot="1">
      <c r="A67" s="783" t="s">
        <v>137</v>
      </c>
      <c r="B67" s="777" t="s">
        <v>375</v>
      </c>
      <c r="C67" s="982">
        <v>9.4E-2</v>
      </c>
      <c r="D67" s="982">
        <v>0.1</v>
      </c>
      <c r="E67" s="982">
        <v>8.7999999999999995E-2</v>
      </c>
      <c r="F67" s="994"/>
    </row>
    <row r="68" spans="1:6" ht="15" thickBot="1">
      <c r="A68" s="783" t="s">
        <v>137</v>
      </c>
      <c r="B68" s="777" t="s">
        <v>384</v>
      </c>
      <c r="C68" s="982">
        <v>0.1</v>
      </c>
      <c r="D68" s="982">
        <v>8.7999999999999995E-2</v>
      </c>
      <c r="E68" s="982">
        <v>9.7000000000000003E-2</v>
      </c>
      <c r="F68" s="994"/>
    </row>
    <row r="69" spans="1:6" ht="15" thickBot="1">
      <c r="A69" s="783" t="s">
        <v>137</v>
      </c>
      <c r="B69" s="777" t="s">
        <v>393</v>
      </c>
      <c r="C69" s="982">
        <v>6.4000000000000001E-2</v>
      </c>
      <c r="D69" s="982">
        <v>0.1</v>
      </c>
      <c r="E69" s="982">
        <v>0.1</v>
      </c>
      <c r="F69" s="994"/>
    </row>
    <row r="70" spans="1:6" ht="15" thickBot="1">
      <c r="A70" s="783" t="s">
        <v>137</v>
      </c>
      <c r="B70" s="777" t="s">
        <v>401</v>
      </c>
      <c r="C70" s="982">
        <v>9.0999999999999998E-2</v>
      </c>
      <c r="D70" s="995"/>
      <c r="E70" s="995"/>
      <c r="F70" s="994"/>
    </row>
    <row r="71" spans="1:6" ht="15" thickBot="1">
      <c r="A71" s="783" t="s">
        <v>137</v>
      </c>
      <c r="B71" s="777" t="s">
        <v>408</v>
      </c>
      <c r="C71" s="982">
        <v>0.1</v>
      </c>
      <c r="D71" s="995"/>
      <c r="E71" s="995"/>
      <c r="F71" s="994"/>
    </row>
    <row r="72" spans="1:6" ht="24.6" thickBot="1">
      <c r="A72" s="783" t="s">
        <v>137</v>
      </c>
      <c r="B72" s="777" t="s">
        <v>853</v>
      </c>
      <c r="C72" s="995"/>
      <c r="D72" s="995"/>
      <c r="E72" s="995"/>
      <c r="F72" s="983">
        <v>0.05</v>
      </c>
    </row>
    <row r="73" spans="1:6" ht="24.6" thickBot="1">
      <c r="A73" s="783" t="s">
        <v>137</v>
      </c>
      <c r="B73" s="777" t="s">
        <v>854</v>
      </c>
      <c r="C73" s="995"/>
      <c r="D73" s="995"/>
      <c r="E73" s="995"/>
      <c r="F73" s="983">
        <v>0.05</v>
      </c>
    </row>
    <row r="74" spans="1:6" ht="24.6" thickBot="1">
      <c r="A74" s="783" t="s">
        <v>137</v>
      </c>
      <c r="B74" s="777" t="s">
        <v>855</v>
      </c>
      <c r="C74" s="995"/>
      <c r="D74" s="995"/>
      <c r="E74" s="995"/>
      <c r="F74" s="983">
        <v>0.05</v>
      </c>
    </row>
    <row r="75" spans="1:6" ht="24.6" thickBot="1">
      <c r="A75" s="793" t="s">
        <v>137</v>
      </c>
      <c r="B75" s="789" t="s">
        <v>856</v>
      </c>
      <c r="C75" s="992"/>
      <c r="D75" s="992"/>
      <c r="E75" s="992"/>
      <c r="F75" s="985">
        <v>0.05</v>
      </c>
    </row>
    <row r="76" spans="1:6" ht="15" thickBot="1">
      <c r="A76" s="783" t="s">
        <v>523</v>
      </c>
      <c r="B76" s="784" t="s">
        <v>857</v>
      </c>
      <c r="C76" s="980">
        <v>0.1</v>
      </c>
      <c r="D76" s="980">
        <v>0.1</v>
      </c>
      <c r="E76" s="980">
        <v>0.1</v>
      </c>
      <c r="F76" s="981">
        <v>0.1</v>
      </c>
    </row>
    <row r="77" spans="1:6" ht="15" thickBot="1">
      <c r="A77" s="783" t="s">
        <v>523</v>
      </c>
      <c r="B77" s="777" t="s">
        <v>191</v>
      </c>
      <c r="C77" s="982">
        <v>8.7999999999999995E-2</v>
      </c>
      <c r="D77" s="982">
        <v>8.6999999999999994E-2</v>
      </c>
      <c r="E77" s="982">
        <v>7.9000000000000001E-2</v>
      </c>
      <c r="F77" s="983">
        <v>0.1</v>
      </c>
    </row>
    <row r="78" spans="1:6" ht="15" thickBot="1">
      <c r="A78" s="783" t="s">
        <v>523</v>
      </c>
      <c r="B78" s="777" t="s">
        <v>204</v>
      </c>
      <c r="C78" s="982">
        <v>8.6999999999999994E-2</v>
      </c>
      <c r="D78" s="982">
        <v>8.4000000000000005E-2</v>
      </c>
      <c r="E78" s="982">
        <v>9.6000000000000002E-2</v>
      </c>
      <c r="F78" s="983">
        <v>0.1</v>
      </c>
    </row>
    <row r="79" spans="1:6" ht="15" thickBot="1">
      <c r="A79" s="783" t="s">
        <v>523</v>
      </c>
      <c r="B79" s="777" t="s">
        <v>217</v>
      </c>
      <c r="C79" s="982">
        <v>9.8000000000000004E-2</v>
      </c>
      <c r="D79" s="982">
        <v>9.8000000000000004E-2</v>
      </c>
      <c r="E79" s="982">
        <v>9.0999999999999998E-2</v>
      </c>
      <c r="F79" s="983">
        <v>0.1</v>
      </c>
    </row>
    <row r="80" spans="1:6" ht="15" thickBot="1">
      <c r="A80" s="783" t="s">
        <v>523</v>
      </c>
      <c r="B80" s="777" t="s">
        <v>229</v>
      </c>
      <c r="C80" s="982">
        <v>9.6000000000000002E-2</v>
      </c>
      <c r="D80" s="982">
        <v>9.6000000000000002E-2</v>
      </c>
      <c r="E80" s="982">
        <v>0.1</v>
      </c>
      <c r="F80" s="983">
        <v>0.1</v>
      </c>
    </row>
    <row r="81" spans="1:6" ht="15" thickBot="1">
      <c r="A81" s="783" t="s">
        <v>523</v>
      </c>
      <c r="B81" s="777" t="s">
        <v>240</v>
      </c>
      <c r="C81" s="982">
        <v>9.9000000000000005E-2</v>
      </c>
      <c r="D81" s="982">
        <v>9.9000000000000005E-2</v>
      </c>
      <c r="E81" s="982">
        <v>9.8000000000000004E-2</v>
      </c>
      <c r="F81" s="983">
        <v>0.1</v>
      </c>
    </row>
    <row r="82" spans="1:6" ht="15" thickBot="1">
      <c r="A82" s="783" t="s">
        <v>523</v>
      </c>
      <c r="B82" s="777" t="s">
        <v>251</v>
      </c>
      <c r="C82" s="982">
        <v>9.9000000000000005E-2</v>
      </c>
      <c r="D82" s="982">
        <v>9.9000000000000005E-2</v>
      </c>
      <c r="E82" s="982">
        <v>9.7000000000000003E-2</v>
      </c>
      <c r="F82" s="983">
        <v>0.1</v>
      </c>
    </row>
    <row r="83" spans="1:6" ht="15" thickBot="1">
      <c r="A83" s="783" t="s">
        <v>523</v>
      </c>
      <c r="B83" s="777" t="s">
        <v>262</v>
      </c>
      <c r="C83" s="982">
        <v>9.8000000000000004E-2</v>
      </c>
      <c r="D83" s="982">
        <v>9.8000000000000004E-2</v>
      </c>
      <c r="E83" s="982">
        <v>9.8000000000000004E-2</v>
      </c>
      <c r="F83" s="983">
        <v>0.1</v>
      </c>
    </row>
    <row r="84" spans="1:6" ht="15" thickBot="1">
      <c r="A84" s="783" t="s">
        <v>523</v>
      </c>
      <c r="B84" s="777" t="s">
        <v>274</v>
      </c>
      <c r="C84" s="982">
        <v>9.9000000000000005E-2</v>
      </c>
      <c r="D84" s="982">
        <v>9.9000000000000005E-2</v>
      </c>
      <c r="E84" s="982">
        <v>9.9000000000000005E-2</v>
      </c>
      <c r="F84" s="983">
        <v>0.1</v>
      </c>
    </row>
    <row r="85" spans="1:6" ht="15" thickBot="1">
      <c r="A85" s="783" t="s">
        <v>523</v>
      </c>
      <c r="B85" s="777" t="s">
        <v>284</v>
      </c>
      <c r="C85" s="982">
        <v>9.9000000000000005E-2</v>
      </c>
      <c r="D85" s="982">
        <v>9.9000000000000005E-2</v>
      </c>
      <c r="E85" s="982">
        <v>9.9000000000000005E-2</v>
      </c>
      <c r="F85" s="983">
        <v>0.1</v>
      </c>
    </row>
    <row r="86" spans="1:6" ht="15" thickBot="1">
      <c r="A86" s="783" t="s">
        <v>523</v>
      </c>
      <c r="B86" s="777" t="s">
        <v>294</v>
      </c>
      <c r="C86" s="982">
        <v>0.1</v>
      </c>
      <c r="D86" s="982">
        <v>0.1</v>
      </c>
      <c r="E86" s="982">
        <v>7.6999999999999999E-2</v>
      </c>
      <c r="F86" s="983">
        <v>0.1</v>
      </c>
    </row>
    <row r="87" spans="1:6" ht="15" thickBot="1">
      <c r="A87" s="783" t="s">
        <v>523</v>
      </c>
      <c r="B87" s="777" t="s">
        <v>304</v>
      </c>
      <c r="C87" s="982">
        <v>0.1</v>
      </c>
      <c r="D87" s="982">
        <v>0.1</v>
      </c>
      <c r="E87" s="982">
        <v>9.8000000000000004E-2</v>
      </c>
      <c r="F87" s="994"/>
    </row>
    <row r="88" spans="1:6" ht="15" thickBot="1">
      <c r="A88" s="783" t="s">
        <v>523</v>
      </c>
      <c r="B88" s="777" t="s">
        <v>314</v>
      </c>
      <c r="C88" s="982">
        <v>9.1999999999999998E-2</v>
      </c>
      <c r="D88" s="982">
        <v>8.5000000000000006E-2</v>
      </c>
      <c r="E88" s="982">
        <v>9.6000000000000002E-2</v>
      </c>
      <c r="F88" s="994"/>
    </row>
    <row r="89" spans="1:6" ht="15" thickBot="1">
      <c r="A89" s="783" t="s">
        <v>523</v>
      </c>
      <c r="B89" s="777" t="s">
        <v>325</v>
      </c>
      <c r="C89" s="982">
        <v>0.1</v>
      </c>
      <c r="D89" s="982">
        <v>0.1</v>
      </c>
      <c r="E89" s="982">
        <v>9.7000000000000003E-2</v>
      </c>
      <c r="F89" s="994"/>
    </row>
    <row r="90" spans="1:6" ht="15" thickBot="1">
      <c r="A90" s="783" t="s">
        <v>523</v>
      </c>
      <c r="B90" s="777" t="s">
        <v>336</v>
      </c>
      <c r="C90" s="982">
        <v>9.8000000000000004E-2</v>
      </c>
      <c r="D90" s="982">
        <v>9.8000000000000004E-2</v>
      </c>
      <c r="E90" s="982">
        <v>8.7999999999999995E-2</v>
      </c>
      <c r="F90" s="994"/>
    </row>
    <row r="91" spans="1:6" ht="15" thickBot="1">
      <c r="A91" s="783" t="s">
        <v>523</v>
      </c>
      <c r="B91" s="777" t="s">
        <v>346</v>
      </c>
      <c r="C91" s="982">
        <v>9.9000000000000005E-2</v>
      </c>
      <c r="D91" s="982">
        <v>9.9000000000000005E-2</v>
      </c>
      <c r="E91" s="982">
        <v>9.0999999999999998E-2</v>
      </c>
      <c r="F91" s="994"/>
    </row>
    <row r="92" spans="1:6" ht="15" thickBot="1">
      <c r="A92" s="783" t="s">
        <v>523</v>
      </c>
      <c r="B92" s="777" t="s">
        <v>356</v>
      </c>
      <c r="C92" s="982">
        <v>9.6000000000000002E-2</v>
      </c>
      <c r="D92" s="982">
        <v>9.6000000000000002E-2</v>
      </c>
      <c r="E92" s="982">
        <v>7.2999999999999995E-2</v>
      </c>
      <c r="F92" s="994"/>
    </row>
    <row r="93" spans="1:6" ht="15" thickBot="1">
      <c r="A93" s="783" t="s">
        <v>523</v>
      </c>
      <c r="B93" s="777" t="s">
        <v>366</v>
      </c>
      <c r="C93" s="982">
        <v>9.6000000000000002E-2</v>
      </c>
      <c r="D93" s="982">
        <v>9.6000000000000002E-2</v>
      </c>
      <c r="E93" s="982">
        <v>9.9000000000000005E-2</v>
      </c>
      <c r="F93" s="994"/>
    </row>
    <row r="94" spans="1:6" ht="15" thickBot="1">
      <c r="A94" s="783" t="s">
        <v>523</v>
      </c>
      <c r="B94" s="777" t="s">
        <v>376</v>
      </c>
      <c r="C94" s="982">
        <v>7.5999999999999998E-2</v>
      </c>
      <c r="D94" s="982">
        <v>7.3999999999999996E-2</v>
      </c>
      <c r="E94" s="982">
        <v>9.7000000000000003E-2</v>
      </c>
      <c r="F94" s="994"/>
    </row>
    <row r="95" spans="1:6" ht="15" thickBot="1">
      <c r="A95" s="783" t="s">
        <v>523</v>
      </c>
      <c r="B95" s="777" t="s">
        <v>385</v>
      </c>
      <c r="C95" s="982">
        <v>9.9000000000000005E-2</v>
      </c>
      <c r="D95" s="982">
        <v>9.4E-2</v>
      </c>
      <c r="E95" s="982">
        <v>9.6000000000000002E-2</v>
      </c>
      <c r="F95" s="994"/>
    </row>
    <row r="96" spans="1:6" ht="15" thickBot="1">
      <c r="A96" s="783" t="s">
        <v>523</v>
      </c>
      <c r="B96" s="777" t="s">
        <v>394</v>
      </c>
      <c r="C96" s="982">
        <v>9.9000000000000005E-2</v>
      </c>
      <c r="D96" s="982">
        <v>9.9000000000000005E-2</v>
      </c>
      <c r="E96" s="982">
        <v>9.9000000000000005E-2</v>
      </c>
      <c r="F96" s="994"/>
    </row>
    <row r="97" spans="1:6" ht="15" thickBot="1">
      <c r="A97" s="783" t="s">
        <v>523</v>
      </c>
      <c r="B97" s="777" t="s">
        <v>402</v>
      </c>
      <c r="C97" s="982">
        <v>9.8000000000000004E-2</v>
      </c>
      <c r="D97" s="982">
        <v>9.8000000000000004E-2</v>
      </c>
      <c r="E97" s="982">
        <v>9.7000000000000003E-2</v>
      </c>
      <c r="F97" s="994"/>
    </row>
    <row r="98" spans="1:6" ht="15" thickBot="1">
      <c r="A98" s="783" t="s">
        <v>523</v>
      </c>
      <c r="B98" s="777" t="s">
        <v>409</v>
      </c>
      <c r="C98" s="982">
        <v>0.1</v>
      </c>
      <c r="D98" s="982">
        <v>0.1</v>
      </c>
      <c r="E98" s="982">
        <v>9.7000000000000003E-2</v>
      </c>
      <c r="F98" s="994"/>
    </row>
    <row r="99" spans="1:6" ht="15" thickBot="1">
      <c r="A99" s="783" t="s">
        <v>523</v>
      </c>
      <c r="B99" s="777" t="s">
        <v>416</v>
      </c>
      <c r="C99" s="982">
        <v>0.1</v>
      </c>
      <c r="D99" s="982">
        <v>0.1</v>
      </c>
      <c r="E99" s="995"/>
      <c r="F99" s="994"/>
    </row>
    <row r="100" spans="1:6" ht="15" thickBot="1">
      <c r="A100" s="783" t="s">
        <v>523</v>
      </c>
      <c r="B100" s="777" t="s">
        <v>423</v>
      </c>
      <c r="C100" s="982">
        <v>0.09</v>
      </c>
      <c r="D100" s="982">
        <v>8.8999999999999996E-2</v>
      </c>
      <c r="E100" s="995"/>
      <c r="F100" s="994"/>
    </row>
    <row r="101" spans="1:6" ht="15" thickBot="1">
      <c r="A101" s="783" t="s">
        <v>523</v>
      </c>
      <c r="B101" s="777" t="s">
        <v>430</v>
      </c>
      <c r="C101" s="982">
        <v>9.8000000000000004E-2</v>
      </c>
      <c r="D101" s="982">
        <v>9.7000000000000003E-2</v>
      </c>
      <c r="E101" s="995"/>
      <c r="F101" s="994"/>
    </row>
    <row r="102" spans="1:6" ht="24.6" thickBot="1">
      <c r="A102" s="783" t="s">
        <v>523</v>
      </c>
      <c r="B102" s="777" t="s">
        <v>858</v>
      </c>
      <c r="C102" s="995"/>
      <c r="D102" s="995"/>
      <c r="E102" s="995"/>
      <c r="F102" s="983">
        <v>0.05</v>
      </c>
    </row>
    <row r="103" spans="1:6" ht="24.6" thickBot="1">
      <c r="A103" s="783" t="s">
        <v>523</v>
      </c>
      <c r="B103" s="777" t="s">
        <v>859</v>
      </c>
      <c r="C103" s="995"/>
      <c r="D103" s="995"/>
      <c r="E103" s="995"/>
      <c r="F103" s="983">
        <v>0.05</v>
      </c>
    </row>
    <row r="104" spans="1:6" ht="15" thickBot="1">
      <c r="A104" s="783" t="s">
        <v>523</v>
      </c>
      <c r="B104" s="777" t="s">
        <v>860</v>
      </c>
      <c r="C104" s="995"/>
      <c r="D104" s="995"/>
      <c r="E104" s="995"/>
      <c r="F104" s="983">
        <v>0.05</v>
      </c>
    </row>
    <row r="105" spans="1:6" ht="24.6" thickBot="1">
      <c r="A105" s="783" t="s">
        <v>523</v>
      </c>
      <c r="B105" s="777" t="s">
        <v>861</v>
      </c>
      <c r="C105" s="995"/>
      <c r="D105" s="995"/>
      <c r="E105" s="995"/>
      <c r="F105" s="983">
        <v>0.05</v>
      </c>
    </row>
    <row r="106" spans="1:6" ht="24.6" thickBot="1">
      <c r="A106" s="783" t="s">
        <v>523</v>
      </c>
      <c r="B106" s="777" t="s">
        <v>862</v>
      </c>
      <c r="C106" s="995"/>
      <c r="D106" s="995"/>
      <c r="E106" s="995"/>
      <c r="F106" s="983">
        <v>0.05</v>
      </c>
    </row>
    <row r="107" spans="1:6" ht="24.6" thickBot="1">
      <c r="A107" s="783" t="s">
        <v>523</v>
      </c>
      <c r="B107" s="777" t="s">
        <v>863</v>
      </c>
      <c r="C107" s="995"/>
      <c r="D107" s="995"/>
      <c r="E107" s="995"/>
      <c r="F107" s="983">
        <v>0.05</v>
      </c>
    </row>
    <row r="108" spans="1:6" ht="24.6" thickBot="1">
      <c r="A108" s="783" t="s">
        <v>523</v>
      </c>
      <c r="B108" s="777" t="s">
        <v>864</v>
      </c>
      <c r="C108" s="995"/>
      <c r="D108" s="995"/>
      <c r="E108" s="995"/>
      <c r="F108" s="983">
        <v>0.05</v>
      </c>
    </row>
    <row r="109" spans="1:6" ht="24.6" thickBot="1">
      <c r="A109" s="793" t="s">
        <v>523</v>
      </c>
      <c r="B109" s="789" t="s">
        <v>865</v>
      </c>
      <c r="C109" s="992"/>
      <c r="D109" s="992"/>
      <c r="E109" s="992"/>
      <c r="F109" s="985">
        <v>0.05</v>
      </c>
    </row>
    <row r="110" spans="1:6" ht="15" thickBot="1">
      <c r="A110" s="783" t="s">
        <v>56</v>
      </c>
      <c r="B110" s="784" t="s">
        <v>866</v>
      </c>
      <c r="C110" s="980">
        <v>0.129</v>
      </c>
      <c r="D110" s="980">
        <v>0.129</v>
      </c>
      <c r="E110" s="980">
        <v>0.126</v>
      </c>
      <c r="F110" s="981">
        <v>0.13</v>
      </c>
    </row>
    <row r="111" spans="1:6" ht="15" thickBot="1">
      <c r="A111" s="783" t="s">
        <v>56</v>
      </c>
      <c r="B111" s="777" t="s">
        <v>192</v>
      </c>
      <c r="C111" s="982">
        <v>0.11</v>
      </c>
      <c r="D111" s="982">
        <v>0.11</v>
      </c>
      <c r="E111" s="982">
        <v>9.9000000000000005E-2</v>
      </c>
      <c r="F111" s="983">
        <v>0.128</v>
      </c>
    </row>
    <row r="112" spans="1:6" ht="15" thickBot="1">
      <c r="A112" s="783" t="s">
        <v>56</v>
      </c>
      <c r="B112" s="777" t="s">
        <v>205</v>
      </c>
      <c r="C112" s="982">
        <v>0.125</v>
      </c>
      <c r="D112" s="982">
        <v>0.125</v>
      </c>
      <c r="E112" s="982">
        <v>0.12</v>
      </c>
      <c r="F112" s="983">
        <v>0.125</v>
      </c>
    </row>
    <row r="113" spans="1:6" ht="15" thickBot="1">
      <c r="A113" s="783" t="s">
        <v>56</v>
      </c>
      <c r="B113" s="777" t="s">
        <v>218</v>
      </c>
      <c r="C113" s="982">
        <v>0.13</v>
      </c>
      <c r="D113" s="982">
        <v>0.13</v>
      </c>
      <c r="E113" s="982">
        <v>0.13</v>
      </c>
      <c r="F113" s="983">
        <v>0.13</v>
      </c>
    </row>
    <row r="114" spans="1:6" ht="15" thickBot="1">
      <c r="A114" s="783" t="s">
        <v>56</v>
      </c>
      <c r="B114" s="777" t="s">
        <v>230</v>
      </c>
      <c r="C114" s="982">
        <v>0.123</v>
      </c>
      <c r="D114" s="982">
        <v>0.123</v>
      </c>
      <c r="E114" s="982">
        <v>0.12</v>
      </c>
      <c r="F114" s="983">
        <v>0.13</v>
      </c>
    </row>
    <row r="115" spans="1:6" ht="15" thickBot="1">
      <c r="A115" s="783" t="s">
        <v>56</v>
      </c>
      <c r="B115" s="777" t="s">
        <v>241</v>
      </c>
      <c r="C115" s="982">
        <v>0.125</v>
      </c>
      <c r="D115" s="982">
        <v>0.125</v>
      </c>
      <c r="E115" s="982">
        <v>0.11700000000000001</v>
      </c>
      <c r="F115" s="983">
        <v>0.13</v>
      </c>
    </row>
    <row r="116" spans="1:6" ht="15" thickBot="1">
      <c r="A116" s="783" t="s">
        <v>56</v>
      </c>
      <c r="B116" s="777" t="s">
        <v>252</v>
      </c>
      <c r="C116" s="982">
        <v>0.11700000000000001</v>
      </c>
      <c r="D116" s="982">
        <v>0.11700000000000001</v>
      </c>
      <c r="E116" s="982">
        <v>8.7999999999999995E-2</v>
      </c>
      <c r="F116" s="983">
        <v>0.13</v>
      </c>
    </row>
    <row r="117" spans="1:6" ht="15" thickBot="1">
      <c r="A117" s="783" t="s">
        <v>56</v>
      </c>
      <c r="B117" s="777" t="s">
        <v>263</v>
      </c>
      <c r="C117" s="982">
        <v>0.13</v>
      </c>
      <c r="D117" s="982">
        <v>0.13</v>
      </c>
      <c r="E117" s="982">
        <v>0.129</v>
      </c>
      <c r="F117" s="983">
        <v>0.13</v>
      </c>
    </row>
    <row r="118" spans="1:6" ht="15" thickBot="1">
      <c r="A118" s="783" t="s">
        <v>56</v>
      </c>
      <c r="B118" s="777" t="s">
        <v>275</v>
      </c>
      <c r="C118" s="982">
        <v>0.123</v>
      </c>
      <c r="D118" s="982">
        <v>0.123</v>
      </c>
      <c r="E118" s="982">
        <v>0.11600000000000001</v>
      </c>
      <c r="F118" s="983">
        <v>0.13</v>
      </c>
    </row>
    <row r="119" spans="1:6" ht="15" thickBot="1">
      <c r="A119" s="783" t="s">
        <v>56</v>
      </c>
      <c r="B119" s="777" t="s">
        <v>285</v>
      </c>
      <c r="C119" s="982">
        <v>0.127</v>
      </c>
      <c r="D119" s="982">
        <v>0.127</v>
      </c>
      <c r="E119" s="982">
        <v>0.124</v>
      </c>
      <c r="F119" s="983">
        <v>0.13</v>
      </c>
    </row>
    <row r="120" spans="1:6" ht="15" thickBot="1">
      <c r="A120" s="783" t="s">
        <v>56</v>
      </c>
      <c r="B120" s="777" t="s">
        <v>295</v>
      </c>
      <c r="C120" s="982">
        <v>0.125</v>
      </c>
      <c r="D120" s="982">
        <v>0.125</v>
      </c>
      <c r="E120" s="982">
        <v>0.122</v>
      </c>
      <c r="F120" s="983">
        <v>0.13</v>
      </c>
    </row>
    <row r="121" spans="1:6" ht="15" thickBot="1">
      <c r="A121" s="783" t="s">
        <v>56</v>
      </c>
      <c r="B121" s="777" t="s">
        <v>305</v>
      </c>
      <c r="C121" s="982">
        <v>0.13</v>
      </c>
      <c r="D121" s="982">
        <v>0.13</v>
      </c>
      <c r="E121" s="982">
        <v>0.13</v>
      </c>
      <c r="F121" s="983">
        <v>0.13</v>
      </c>
    </row>
    <row r="122" spans="1:6" ht="15" thickBot="1">
      <c r="A122" s="783" t="s">
        <v>56</v>
      </c>
      <c r="B122" s="777" t="s">
        <v>315</v>
      </c>
      <c r="C122" s="982">
        <v>0.13</v>
      </c>
      <c r="D122" s="982">
        <v>0.13</v>
      </c>
      <c r="E122" s="982">
        <v>0.125</v>
      </c>
      <c r="F122" s="983">
        <v>0.13</v>
      </c>
    </row>
    <row r="123" spans="1:6" ht="15" thickBot="1">
      <c r="A123" s="783" t="s">
        <v>56</v>
      </c>
      <c r="B123" s="777" t="s">
        <v>326</v>
      </c>
      <c r="C123" s="982">
        <v>0.129</v>
      </c>
      <c r="D123" s="982">
        <v>0.129</v>
      </c>
      <c r="E123" s="982">
        <v>0.123</v>
      </c>
      <c r="F123" s="983">
        <v>0.13</v>
      </c>
    </row>
    <row r="124" spans="1:6" ht="15" thickBot="1">
      <c r="A124" s="783" t="s">
        <v>56</v>
      </c>
      <c r="B124" s="777" t="s">
        <v>337</v>
      </c>
      <c r="C124" s="982">
        <v>0.10199999999999999</v>
      </c>
      <c r="D124" s="982">
        <v>0.10100000000000001</v>
      </c>
      <c r="E124" s="982">
        <v>0.08</v>
      </c>
      <c r="F124" s="994"/>
    </row>
    <row r="125" spans="1:6" ht="15" thickBot="1">
      <c r="A125" s="783" t="s">
        <v>56</v>
      </c>
      <c r="B125" s="777" t="s">
        <v>347</v>
      </c>
      <c r="C125" s="982">
        <v>0.13</v>
      </c>
      <c r="D125" s="982">
        <v>0.13</v>
      </c>
      <c r="E125" s="982">
        <v>0.129</v>
      </c>
      <c r="F125" s="994"/>
    </row>
    <row r="126" spans="1:6" ht="15" thickBot="1">
      <c r="A126" s="783" t="s">
        <v>56</v>
      </c>
      <c r="B126" s="777" t="s">
        <v>357</v>
      </c>
      <c r="C126" s="982">
        <v>0.13</v>
      </c>
      <c r="D126" s="982">
        <v>0.13</v>
      </c>
      <c r="E126" s="982">
        <v>0.126</v>
      </c>
      <c r="F126" s="994"/>
    </row>
    <row r="127" spans="1:6" ht="15" thickBot="1">
      <c r="A127" s="783" t="s">
        <v>56</v>
      </c>
      <c r="B127" s="777" t="s">
        <v>367</v>
      </c>
      <c r="C127" s="982">
        <v>0.125</v>
      </c>
      <c r="D127" s="982">
        <v>0.125</v>
      </c>
      <c r="E127" s="982">
        <v>0.121</v>
      </c>
      <c r="F127" s="994"/>
    </row>
    <row r="128" spans="1:6" ht="15" thickBot="1">
      <c r="A128" s="783" t="s">
        <v>56</v>
      </c>
      <c r="B128" s="777" t="s">
        <v>377</v>
      </c>
      <c r="C128" s="982">
        <v>0.12</v>
      </c>
      <c r="D128" s="982">
        <v>0.12</v>
      </c>
      <c r="E128" s="982">
        <v>0.105</v>
      </c>
      <c r="F128" s="994"/>
    </row>
    <row r="129" spans="1:6" ht="15" thickBot="1">
      <c r="A129" s="783" t="s">
        <v>56</v>
      </c>
      <c r="B129" s="777" t="s">
        <v>386</v>
      </c>
      <c r="C129" s="982">
        <v>0.13</v>
      </c>
      <c r="D129" s="982">
        <v>0.13</v>
      </c>
      <c r="E129" s="982">
        <v>0.126</v>
      </c>
      <c r="F129" s="994"/>
    </row>
    <row r="130" spans="1:6" ht="15" thickBot="1">
      <c r="A130" s="783" t="s">
        <v>56</v>
      </c>
      <c r="B130" s="777" t="s">
        <v>395</v>
      </c>
      <c r="C130" s="982">
        <v>0.125</v>
      </c>
      <c r="D130" s="982">
        <v>0.125</v>
      </c>
      <c r="E130" s="982">
        <v>0.122</v>
      </c>
      <c r="F130" s="994"/>
    </row>
    <row r="131" spans="1:6" ht="15" thickBot="1">
      <c r="A131" s="783" t="s">
        <v>56</v>
      </c>
      <c r="B131" s="777" t="s">
        <v>403</v>
      </c>
      <c r="C131" s="982">
        <v>0.127</v>
      </c>
      <c r="D131" s="982">
        <v>0.126</v>
      </c>
      <c r="E131" s="982">
        <v>0.123</v>
      </c>
      <c r="F131" s="994"/>
    </row>
    <row r="132" spans="1:6" ht="15" thickBot="1">
      <c r="A132" s="783" t="s">
        <v>56</v>
      </c>
      <c r="B132" s="777" t="s">
        <v>410</v>
      </c>
      <c r="C132" s="982">
        <v>9.0999999999999998E-2</v>
      </c>
      <c r="D132" s="982">
        <v>0.121</v>
      </c>
      <c r="E132" s="982">
        <v>9.9000000000000005E-2</v>
      </c>
      <c r="F132" s="994"/>
    </row>
    <row r="133" spans="1:6" ht="15" thickBot="1">
      <c r="A133" s="783" t="s">
        <v>56</v>
      </c>
      <c r="B133" s="777" t="s">
        <v>417</v>
      </c>
      <c r="C133" s="982">
        <v>0.13</v>
      </c>
      <c r="D133" s="982">
        <v>0.13</v>
      </c>
      <c r="E133" s="982">
        <v>0.129</v>
      </c>
      <c r="F133" s="994"/>
    </row>
    <row r="134" spans="1:6" ht="15" thickBot="1">
      <c r="A134" s="783" t="s">
        <v>56</v>
      </c>
      <c r="B134" s="777" t="s">
        <v>867</v>
      </c>
      <c r="C134" s="982">
        <v>6.8000000000000005E-2</v>
      </c>
      <c r="D134" s="982">
        <v>6.5000000000000002E-2</v>
      </c>
      <c r="E134" s="982">
        <v>6.5000000000000002E-2</v>
      </c>
      <c r="F134" s="983">
        <v>0.13</v>
      </c>
    </row>
    <row r="135" spans="1:6" ht="15" thickBot="1">
      <c r="A135" s="783" t="s">
        <v>56</v>
      </c>
      <c r="B135" s="777" t="s">
        <v>431</v>
      </c>
      <c r="C135" s="982">
        <v>0.123</v>
      </c>
      <c r="D135" s="982">
        <v>0.123</v>
      </c>
      <c r="E135" s="982">
        <v>0.11</v>
      </c>
      <c r="F135" s="994"/>
    </row>
    <row r="136" spans="1:6" ht="15" thickBot="1">
      <c r="A136" s="783" t="s">
        <v>56</v>
      </c>
      <c r="B136" s="777" t="s">
        <v>438</v>
      </c>
      <c r="C136" s="982">
        <v>0.13</v>
      </c>
      <c r="D136" s="982">
        <v>0.13</v>
      </c>
      <c r="E136" s="982">
        <v>0.125</v>
      </c>
      <c r="F136" s="994"/>
    </row>
    <row r="137" spans="1:6" ht="15" thickBot="1">
      <c r="A137" s="783" t="s">
        <v>56</v>
      </c>
      <c r="B137" s="777" t="s">
        <v>445</v>
      </c>
      <c r="C137" s="982">
        <v>0.121</v>
      </c>
      <c r="D137" s="982">
        <v>0.122</v>
      </c>
      <c r="E137" s="982">
        <v>0.115</v>
      </c>
      <c r="F137" s="994"/>
    </row>
    <row r="138" spans="1:6" ht="15" thickBot="1">
      <c r="A138" s="783" t="s">
        <v>56</v>
      </c>
      <c r="B138" s="777" t="s">
        <v>868</v>
      </c>
      <c r="C138" s="982">
        <v>0.105</v>
      </c>
      <c r="D138" s="982">
        <v>0.125</v>
      </c>
      <c r="E138" s="982">
        <v>0.112</v>
      </c>
      <c r="F138" s="994"/>
    </row>
    <row r="139" spans="1:6" ht="15" thickBot="1">
      <c r="A139" s="783" t="s">
        <v>56</v>
      </c>
      <c r="B139" s="777" t="s">
        <v>869</v>
      </c>
      <c r="C139" s="982">
        <v>0.127</v>
      </c>
      <c r="D139" s="982">
        <v>0.127</v>
      </c>
      <c r="E139" s="982">
        <v>0.122</v>
      </c>
      <c r="F139" s="983">
        <v>0.13</v>
      </c>
    </row>
    <row r="140" spans="1:6" ht="15" thickBot="1">
      <c r="A140" s="783" t="s">
        <v>56</v>
      </c>
      <c r="B140" s="777" t="s">
        <v>870</v>
      </c>
      <c r="C140" s="982">
        <v>0.125</v>
      </c>
      <c r="D140" s="982">
        <v>0.125</v>
      </c>
      <c r="E140" s="982">
        <v>0.11899999999999999</v>
      </c>
      <c r="F140" s="983">
        <v>0.13</v>
      </c>
    </row>
    <row r="141" spans="1:6" ht="15" thickBot="1">
      <c r="A141" s="783" t="s">
        <v>56</v>
      </c>
      <c r="B141" s="777" t="s">
        <v>464</v>
      </c>
      <c r="C141" s="982">
        <v>0.125</v>
      </c>
      <c r="D141" s="982">
        <v>0.125</v>
      </c>
      <c r="E141" s="982">
        <v>0.11700000000000001</v>
      </c>
      <c r="F141" s="994"/>
    </row>
    <row r="142" spans="1:6" ht="15" thickBot="1">
      <c r="A142" s="783" t="s">
        <v>56</v>
      </c>
      <c r="B142" s="777" t="s">
        <v>469</v>
      </c>
      <c r="C142" s="982">
        <v>0.125</v>
      </c>
      <c r="D142" s="982">
        <v>0.125</v>
      </c>
      <c r="E142" s="982">
        <v>0.115</v>
      </c>
      <c r="F142" s="994"/>
    </row>
    <row r="143" spans="1:6" ht="15" thickBot="1">
      <c r="A143" s="783" t="s">
        <v>56</v>
      </c>
      <c r="B143" s="777" t="s">
        <v>474</v>
      </c>
      <c r="C143" s="982">
        <v>0.121</v>
      </c>
      <c r="D143" s="982">
        <v>0.121</v>
      </c>
      <c r="E143" s="982">
        <v>0.108</v>
      </c>
      <c r="F143" s="994"/>
    </row>
    <row r="144" spans="1:6" ht="15" thickBot="1">
      <c r="A144" s="783" t="s">
        <v>56</v>
      </c>
      <c r="B144" s="986" t="s">
        <v>871</v>
      </c>
      <c r="C144" s="987">
        <v>0.126</v>
      </c>
      <c r="D144" s="987">
        <v>0.126</v>
      </c>
      <c r="E144" s="987">
        <v>0.121</v>
      </c>
      <c r="F144" s="994"/>
    </row>
    <row r="145" spans="1:6" ht="15" thickBot="1">
      <c r="A145" s="793" t="s">
        <v>56</v>
      </c>
      <c r="B145" s="988" t="s">
        <v>872</v>
      </c>
      <c r="C145" s="996"/>
      <c r="D145" s="996"/>
      <c r="E145" s="996"/>
      <c r="F145" s="989">
        <v>0.05</v>
      </c>
    </row>
    <row r="146" spans="1:6" ht="24.6" thickBot="1">
      <c r="A146" s="990" t="s">
        <v>56</v>
      </c>
      <c r="B146" s="787" t="s">
        <v>873</v>
      </c>
      <c r="C146" s="995"/>
      <c r="D146" s="995"/>
      <c r="E146" s="995"/>
      <c r="F146" s="991">
        <v>0.05</v>
      </c>
    </row>
    <row r="147" spans="1:6" ht="24.6" thickBot="1">
      <c r="A147" s="783" t="s">
        <v>56</v>
      </c>
      <c r="B147" s="777" t="s">
        <v>874</v>
      </c>
      <c r="C147" s="995"/>
      <c r="D147" s="995"/>
      <c r="E147" s="995"/>
      <c r="F147" s="983">
        <v>0.05</v>
      </c>
    </row>
    <row r="148" spans="1:6" ht="24.6" thickBot="1">
      <c r="A148" s="783" t="s">
        <v>56</v>
      </c>
      <c r="B148" s="777" t="s">
        <v>875</v>
      </c>
      <c r="C148" s="995"/>
      <c r="D148" s="995"/>
      <c r="E148" s="995"/>
      <c r="F148" s="983">
        <v>0.05</v>
      </c>
    </row>
    <row r="149" spans="1:6" ht="24.6" thickBot="1">
      <c r="A149" s="783" t="s">
        <v>56</v>
      </c>
      <c r="B149" s="777" t="s">
        <v>876</v>
      </c>
      <c r="C149" s="995"/>
      <c r="D149" s="995"/>
      <c r="E149" s="995"/>
      <c r="F149" s="983">
        <v>0.05</v>
      </c>
    </row>
    <row r="150" spans="1:6" ht="24.6" thickBot="1">
      <c r="A150" s="783" t="s">
        <v>56</v>
      </c>
      <c r="B150" s="777" t="s">
        <v>877</v>
      </c>
      <c r="C150" s="995"/>
      <c r="D150" s="995"/>
      <c r="E150" s="995"/>
      <c r="F150" s="983">
        <v>0.05</v>
      </c>
    </row>
    <row r="151" spans="1:6" ht="24.6" thickBot="1">
      <c r="A151" s="783" t="s">
        <v>56</v>
      </c>
      <c r="B151" s="777" t="s">
        <v>878</v>
      </c>
      <c r="C151" s="995"/>
      <c r="D151" s="995"/>
      <c r="E151" s="995"/>
      <c r="F151" s="983">
        <v>0.05</v>
      </c>
    </row>
    <row r="152" spans="1:6" ht="24.6" thickBot="1">
      <c r="A152" s="783" t="s">
        <v>56</v>
      </c>
      <c r="B152" s="777" t="s">
        <v>507</v>
      </c>
      <c r="C152" s="995"/>
      <c r="D152" s="995"/>
      <c r="E152" s="995"/>
      <c r="F152" s="983">
        <v>0.05</v>
      </c>
    </row>
    <row r="153" spans="1:6" ht="15" thickBot="1">
      <c r="A153" s="783" t="s">
        <v>56</v>
      </c>
      <c r="B153" s="777" t="s">
        <v>879</v>
      </c>
      <c r="C153" s="995"/>
      <c r="D153" s="995"/>
      <c r="E153" s="995"/>
      <c r="F153" s="983">
        <v>0.05</v>
      </c>
    </row>
    <row r="154" spans="1:6" ht="15" thickBot="1">
      <c r="A154" s="783" t="s">
        <v>56</v>
      </c>
      <c r="B154" s="777" t="s">
        <v>880</v>
      </c>
      <c r="C154" s="995"/>
      <c r="D154" s="995"/>
      <c r="E154" s="995"/>
      <c r="F154" s="983">
        <v>0.05</v>
      </c>
    </row>
    <row r="155" spans="1:6" ht="24.6" thickBot="1">
      <c r="A155" s="783" t="s">
        <v>56</v>
      </c>
      <c r="B155" s="777" t="s">
        <v>881</v>
      </c>
      <c r="C155" s="995"/>
      <c r="D155" s="995"/>
      <c r="E155" s="995"/>
      <c r="F155" s="983">
        <v>0.05</v>
      </c>
    </row>
    <row r="156" spans="1:6" ht="24.6" thickBot="1">
      <c r="A156" s="783" t="s">
        <v>56</v>
      </c>
      <c r="B156" s="777" t="s">
        <v>882</v>
      </c>
      <c r="C156" s="995"/>
      <c r="D156" s="995"/>
      <c r="E156" s="995"/>
      <c r="F156" s="983">
        <v>0.05</v>
      </c>
    </row>
    <row r="157" spans="1:6" ht="24.6" thickBot="1">
      <c r="A157" s="793" t="s">
        <v>56</v>
      </c>
      <c r="B157" s="789" t="s">
        <v>883</v>
      </c>
      <c r="C157" s="992"/>
      <c r="D157" s="992"/>
      <c r="E157" s="992"/>
      <c r="F157" s="985">
        <v>0.05</v>
      </c>
    </row>
    <row r="158" spans="1:6" ht="15" thickBot="1">
      <c r="A158" s="783" t="s">
        <v>526</v>
      </c>
      <c r="B158" s="784" t="s">
        <v>884</v>
      </c>
      <c r="C158" s="980">
        <v>0.13</v>
      </c>
      <c r="D158" s="980">
        <v>0.13</v>
      </c>
      <c r="E158" s="980">
        <v>0.13</v>
      </c>
      <c r="F158" s="981">
        <v>0.13</v>
      </c>
    </row>
    <row r="159" spans="1:6" ht="15" thickBot="1">
      <c r="A159" s="783" t="s">
        <v>526</v>
      </c>
      <c r="B159" s="777" t="s">
        <v>193</v>
      </c>
      <c r="C159" s="982">
        <v>0.13</v>
      </c>
      <c r="D159" s="982">
        <v>0.13</v>
      </c>
      <c r="E159" s="982">
        <v>0.13</v>
      </c>
      <c r="F159" s="983">
        <v>0.13</v>
      </c>
    </row>
    <row r="160" spans="1:6" ht="15" thickBot="1">
      <c r="A160" s="783" t="s">
        <v>526</v>
      </c>
      <c r="B160" s="777" t="s">
        <v>206</v>
      </c>
      <c r="C160" s="982">
        <v>0.13</v>
      </c>
      <c r="D160" s="982">
        <v>0.13</v>
      </c>
      <c r="E160" s="982">
        <v>0.129</v>
      </c>
      <c r="F160" s="983">
        <v>0.13</v>
      </c>
    </row>
    <row r="161" spans="1:6" ht="15" thickBot="1">
      <c r="A161" s="783" t="s">
        <v>526</v>
      </c>
      <c r="B161" s="777" t="s">
        <v>219</v>
      </c>
      <c r="C161" s="982">
        <v>0.128</v>
      </c>
      <c r="D161" s="982">
        <v>0.128</v>
      </c>
      <c r="E161" s="982">
        <v>0.125</v>
      </c>
      <c r="F161" s="983">
        <v>0.13</v>
      </c>
    </row>
    <row r="162" spans="1:6" ht="15" thickBot="1">
      <c r="A162" s="783" t="s">
        <v>526</v>
      </c>
      <c r="B162" s="777" t="s">
        <v>231</v>
      </c>
      <c r="C162" s="982">
        <v>0.122</v>
      </c>
      <c r="D162" s="982">
        <v>0.122</v>
      </c>
      <c r="E162" s="982">
        <v>0.126</v>
      </c>
      <c r="F162" s="983">
        <v>0.122</v>
      </c>
    </row>
    <row r="163" spans="1:6" ht="15" thickBot="1">
      <c r="A163" s="783" t="s">
        <v>526</v>
      </c>
      <c r="B163" s="777" t="s">
        <v>242</v>
      </c>
      <c r="C163" s="982">
        <v>0.13</v>
      </c>
      <c r="D163" s="982">
        <v>0.13</v>
      </c>
      <c r="E163" s="982">
        <v>0.125</v>
      </c>
      <c r="F163" s="983">
        <v>0.13</v>
      </c>
    </row>
    <row r="164" spans="1:6" ht="15" thickBot="1">
      <c r="A164" s="783" t="s">
        <v>526</v>
      </c>
      <c r="B164" s="777" t="s">
        <v>253</v>
      </c>
      <c r="C164" s="982">
        <v>0.13</v>
      </c>
      <c r="D164" s="982">
        <v>0.13</v>
      </c>
      <c r="E164" s="982">
        <v>0.13</v>
      </c>
      <c r="F164" s="983">
        <v>0.13</v>
      </c>
    </row>
    <row r="165" spans="1:6" ht="15" thickBot="1">
      <c r="A165" s="783" t="s">
        <v>526</v>
      </c>
      <c r="B165" s="777" t="s">
        <v>264</v>
      </c>
      <c r="C165" s="982">
        <v>0.13</v>
      </c>
      <c r="D165" s="982">
        <v>0.13</v>
      </c>
      <c r="E165" s="982">
        <v>0.124</v>
      </c>
      <c r="F165" s="983">
        <v>0.13</v>
      </c>
    </row>
    <row r="166" spans="1:6" ht="15" thickBot="1">
      <c r="A166" s="783" t="s">
        <v>526</v>
      </c>
      <c r="B166" s="777" t="s">
        <v>276</v>
      </c>
      <c r="C166" s="982">
        <v>0.13</v>
      </c>
      <c r="D166" s="982">
        <v>0.13</v>
      </c>
      <c r="E166" s="982">
        <v>0.13</v>
      </c>
      <c r="F166" s="983">
        <v>0.13</v>
      </c>
    </row>
    <row r="167" spans="1:6" ht="15" thickBot="1">
      <c r="A167" s="783" t="s">
        <v>526</v>
      </c>
      <c r="B167" s="777" t="s">
        <v>286</v>
      </c>
      <c r="C167" s="982">
        <v>0.125</v>
      </c>
      <c r="D167" s="982">
        <v>0.125</v>
      </c>
      <c r="E167" s="982">
        <v>0.121</v>
      </c>
      <c r="F167" s="994"/>
    </row>
    <row r="168" spans="1:6" ht="15" thickBot="1">
      <c r="A168" s="783" t="s">
        <v>526</v>
      </c>
      <c r="B168" s="777" t="s">
        <v>296</v>
      </c>
      <c r="C168" s="982">
        <v>0.13</v>
      </c>
      <c r="D168" s="982">
        <v>0.13</v>
      </c>
      <c r="E168" s="982">
        <v>0.126</v>
      </c>
      <c r="F168" s="994"/>
    </row>
    <row r="169" spans="1:6" ht="15" thickBot="1">
      <c r="A169" s="783" t="s">
        <v>526</v>
      </c>
      <c r="B169" s="777" t="s">
        <v>306</v>
      </c>
      <c r="C169" s="982">
        <v>0.128</v>
      </c>
      <c r="D169" s="982">
        <v>0.129</v>
      </c>
      <c r="E169" s="982">
        <v>0.13</v>
      </c>
      <c r="F169" s="994"/>
    </row>
    <row r="170" spans="1:6" ht="15" thickBot="1">
      <c r="A170" s="783" t="s">
        <v>526</v>
      </c>
      <c r="B170" s="777" t="s">
        <v>316</v>
      </c>
      <c r="C170" s="982">
        <v>0.14099999999999999</v>
      </c>
      <c r="D170" s="982">
        <v>0.13</v>
      </c>
      <c r="E170" s="982">
        <v>0.125</v>
      </c>
      <c r="F170" s="994"/>
    </row>
    <row r="171" spans="1:6" ht="15" thickBot="1">
      <c r="A171" s="783" t="s">
        <v>526</v>
      </c>
      <c r="B171" s="777" t="s">
        <v>885</v>
      </c>
      <c r="C171" s="982">
        <v>0.127</v>
      </c>
      <c r="D171" s="982">
        <v>0.126</v>
      </c>
      <c r="E171" s="982">
        <v>0.126</v>
      </c>
      <c r="F171" s="983">
        <v>0.11799999999999999</v>
      </c>
    </row>
    <row r="172" spans="1:6" ht="15" thickBot="1">
      <c r="A172" s="783" t="s">
        <v>526</v>
      </c>
      <c r="B172" s="777" t="s">
        <v>886</v>
      </c>
      <c r="C172" s="982">
        <v>0.13</v>
      </c>
      <c r="D172" s="982">
        <v>0.13</v>
      </c>
      <c r="E172" s="982">
        <v>0.13</v>
      </c>
      <c r="F172" s="994"/>
    </row>
    <row r="173" spans="1:6" ht="15" thickBot="1">
      <c r="A173" s="783" t="s">
        <v>526</v>
      </c>
      <c r="B173" s="777" t="s">
        <v>348</v>
      </c>
      <c r="C173" s="982">
        <v>0.13</v>
      </c>
      <c r="D173" s="982">
        <v>0.13</v>
      </c>
      <c r="E173" s="982">
        <v>0.13</v>
      </c>
      <c r="F173" s="994"/>
    </row>
    <row r="174" spans="1:6" ht="15" thickBot="1">
      <c r="A174" s="783" t="s">
        <v>526</v>
      </c>
      <c r="B174" s="777" t="s">
        <v>887</v>
      </c>
      <c r="C174" s="982">
        <v>0.13</v>
      </c>
      <c r="D174" s="982">
        <v>0.13</v>
      </c>
      <c r="E174" s="982">
        <v>0.13</v>
      </c>
      <c r="F174" s="983">
        <v>0.13</v>
      </c>
    </row>
    <row r="175" spans="1:6" ht="15" thickBot="1">
      <c r="A175" s="783" t="s">
        <v>526</v>
      </c>
      <c r="B175" s="777" t="s">
        <v>888</v>
      </c>
      <c r="C175" s="982">
        <v>0.13</v>
      </c>
      <c r="D175" s="982">
        <v>0.13</v>
      </c>
      <c r="E175" s="982">
        <v>0.13</v>
      </c>
      <c r="F175" s="983">
        <v>0.13</v>
      </c>
    </row>
    <row r="176" spans="1:6" ht="15" thickBot="1">
      <c r="A176" s="783" t="s">
        <v>526</v>
      </c>
      <c r="B176" s="777" t="s">
        <v>378</v>
      </c>
      <c r="C176" s="982">
        <v>0.13</v>
      </c>
      <c r="D176" s="982">
        <v>0.13</v>
      </c>
      <c r="E176" s="982">
        <v>0.13</v>
      </c>
      <c r="F176" s="983">
        <v>0.13</v>
      </c>
    </row>
    <row r="177" spans="1:6" ht="15" thickBot="1">
      <c r="A177" s="783" t="s">
        <v>526</v>
      </c>
      <c r="B177" s="777" t="s">
        <v>889</v>
      </c>
      <c r="C177" s="982">
        <v>0.13</v>
      </c>
      <c r="D177" s="982">
        <v>0.13</v>
      </c>
      <c r="E177" s="982">
        <v>0.13</v>
      </c>
      <c r="F177" s="983">
        <v>0.13</v>
      </c>
    </row>
    <row r="178" spans="1:6" ht="15" thickBot="1">
      <c r="A178" s="783" t="s">
        <v>526</v>
      </c>
      <c r="B178" s="777" t="s">
        <v>396</v>
      </c>
      <c r="C178" s="982">
        <v>0.13</v>
      </c>
      <c r="D178" s="982">
        <v>0.13</v>
      </c>
      <c r="E178" s="982">
        <v>0.13</v>
      </c>
      <c r="F178" s="983">
        <v>0.127</v>
      </c>
    </row>
    <row r="179" spans="1:6" ht="15" thickBot="1">
      <c r="A179" s="783" t="s">
        <v>526</v>
      </c>
      <c r="B179" s="777" t="s">
        <v>404</v>
      </c>
      <c r="C179" s="982">
        <v>0.13</v>
      </c>
      <c r="D179" s="982">
        <v>0.13</v>
      </c>
      <c r="E179" s="982">
        <v>0.13</v>
      </c>
      <c r="F179" s="994"/>
    </row>
    <row r="180" spans="1:6" ht="15" thickBot="1">
      <c r="A180" s="783" t="s">
        <v>526</v>
      </c>
      <c r="B180" s="777" t="s">
        <v>890</v>
      </c>
      <c r="C180" s="982">
        <v>0.13</v>
      </c>
      <c r="D180" s="982">
        <v>0.13</v>
      </c>
      <c r="E180" s="982">
        <v>0.125</v>
      </c>
      <c r="F180" s="983">
        <v>0.13</v>
      </c>
    </row>
    <row r="181" spans="1:6" ht="15" thickBot="1">
      <c r="A181" s="783" t="s">
        <v>526</v>
      </c>
      <c r="B181" s="777" t="s">
        <v>418</v>
      </c>
      <c r="C181" s="982">
        <v>0.122</v>
      </c>
      <c r="D181" s="982">
        <v>0.123</v>
      </c>
      <c r="E181" s="982">
        <v>0.126</v>
      </c>
      <c r="F181" s="983">
        <v>0.121</v>
      </c>
    </row>
    <row r="182" spans="1:6" ht="15" thickBot="1">
      <c r="A182" s="783" t="s">
        <v>526</v>
      </c>
      <c r="B182" s="777" t="s">
        <v>425</v>
      </c>
      <c r="C182" s="982">
        <v>0.125</v>
      </c>
      <c r="D182" s="982">
        <v>0.125</v>
      </c>
      <c r="E182" s="982">
        <v>0.11700000000000001</v>
      </c>
      <c r="F182" s="983">
        <v>0.13</v>
      </c>
    </row>
    <row r="183" spans="1:6" ht="15" thickBot="1">
      <c r="A183" s="783" t="s">
        <v>526</v>
      </c>
      <c r="B183" s="777" t="s">
        <v>432</v>
      </c>
      <c r="C183" s="982">
        <v>0.127</v>
      </c>
      <c r="D183" s="982">
        <v>0.127</v>
      </c>
      <c r="E183" s="982">
        <v>0.128</v>
      </c>
      <c r="F183" s="994"/>
    </row>
    <row r="184" spans="1:6" ht="15" thickBot="1">
      <c r="A184" s="783" t="s">
        <v>526</v>
      </c>
      <c r="B184" s="777" t="s">
        <v>439</v>
      </c>
      <c r="C184" s="982">
        <v>0.125</v>
      </c>
      <c r="D184" s="982">
        <v>0.125</v>
      </c>
      <c r="E184" s="982">
        <v>0.127</v>
      </c>
      <c r="F184" s="994"/>
    </row>
    <row r="185" spans="1:6" ht="15" thickBot="1">
      <c r="A185" s="783" t="s">
        <v>526</v>
      </c>
      <c r="B185" s="777" t="s">
        <v>891</v>
      </c>
      <c r="C185" s="982">
        <v>0.127</v>
      </c>
      <c r="D185" s="982">
        <v>0.127</v>
      </c>
      <c r="E185" s="982">
        <v>0.128</v>
      </c>
      <c r="F185" s="983">
        <v>0.13</v>
      </c>
    </row>
    <row r="186" spans="1:6" ht="24.6" thickBot="1">
      <c r="A186" s="783" t="s">
        <v>526</v>
      </c>
      <c r="B186" s="777" t="s">
        <v>892</v>
      </c>
      <c r="C186" s="995"/>
      <c r="D186" s="995"/>
      <c r="E186" s="995"/>
      <c r="F186" s="983">
        <v>0.05</v>
      </c>
    </row>
    <row r="187" spans="1:6" ht="15" thickBot="1">
      <c r="A187" s="783" t="s">
        <v>526</v>
      </c>
      <c r="B187" s="777" t="s">
        <v>893</v>
      </c>
      <c r="C187" s="995"/>
      <c r="D187" s="995"/>
      <c r="E187" s="995"/>
      <c r="F187" s="983">
        <v>0.05</v>
      </c>
    </row>
    <row r="188" spans="1:6" ht="24.6" thickBot="1">
      <c r="A188" s="783" t="s">
        <v>526</v>
      </c>
      <c r="B188" s="777" t="s">
        <v>894</v>
      </c>
      <c r="C188" s="995"/>
      <c r="D188" s="995"/>
      <c r="E188" s="995"/>
      <c r="F188" s="983">
        <v>0.05</v>
      </c>
    </row>
    <row r="189" spans="1:6" ht="24.6" thickBot="1">
      <c r="A189" s="783" t="s">
        <v>526</v>
      </c>
      <c r="B189" s="777" t="s">
        <v>895</v>
      </c>
      <c r="C189" s="995"/>
      <c r="D189" s="995"/>
      <c r="E189" s="995"/>
      <c r="F189" s="983">
        <v>0.05</v>
      </c>
    </row>
    <row r="190" spans="1:6" ht="24.6" thickBot="1">
      <c r="A190" s="783" t="s">
        <v>526</v>
      </c>
      <c r="B190" s="777" t="s">
        <v>896</v>
      </c>
      <c r="C190" s="995"/>
      <c r="D190" s="995"/>
      <c r="E190" s="995"/>
      <c r="F190" s="983">
        <v>0.05</v>
      </c>
    </row>
    <row r="191" spans="1:6" ht="24.6" thickBot="1">
      <c r="A191" s="783" t="s">
        <v>526</v>
      </c>
      <c r="B191" s="777" t="s">
        <v>897</v>
      </c>
      <c r="C191" s="995"/>
      <c r="D191" s="995"/>
      <c r="E191" s="995"/>
      <c r="F191" s="983">
        <v>0.05</v>
      </c>
    </row>
    <row r="192" spans="1:6" ht="24.6" thickBot="1">
      <c r="A192" s="783" t="s">
        <v>526</v>
      </c>
      <c r="B192" s="777" t="s">
        <v>898</v>
      </c>
      <c r="C192" s="995"/>
      <c r="D192" s="995"/>
      <c r="E192" s="995"/>
      <c r="F192" s="983">
        <v>0.05</v>
      </c>
    </row>
    <row r="193" spans="1:6" ht="24.6" thickBot="1">
      <c r="A193" s="783" t="s">
        <v>526</v>
      </c>
      <c r="B193" s="777" t="s">
        <v>899</v>
      </c>
      <c r="C193" s="995"/>
      <c r="D193" s="995"/>
      <c r="E193" s="995"/>
      <c r="F193" s="983">
        <v>0.05</v>
      </c>
    </row>
    <row r="194" spans="1:6" ht="24.6" thickBot="1">
      <c r="A194" s="783" t="s">
        <v>526</v>
      </c>
      <c r="B194" s="777" t="s">
        <v>900</v>
      </c>
      <c r="C194" s="995"/>
      <c r="D194" s="995"/>
      <c r="E194" s="995"/>
      <c r="F194" s="983">
        <v>0.05</v>
      </c>
    </row>
    <row r="195" spans="1:6" ht="15" thickBot="1">
      <c r="A195" s="783" t="s">
        <v>526</v>
      </c>
      <c r="B195" s="777" t="s">
        <v>901</v>
      </c>
      <c r="C195" s="995"/>
      <c r="D195" s="995"/>
      <c r="E195" s="995"/>
      <c r="F195" s="983">
        <v>0.05</v>
      </c>
    </row>
    <row r="196" spans="1:6" ht="24.6" thickBot="1">
      <c r="A196" s="783" t="s">
        <v>526</v>
      </c>
      <c r="B196" s="777" t="s">
        <v>902</v>
      </c>
      <c r="C196" s="995"/>
      <c r="D196" s="995"/>
      <c r="E196" s="995"/>
      <c r="F196" s="983">
        <v>0.05</v>
      </c>
    </row>
    <row r="197" spans="1:6" ht="24.6" thickBot="1">
      <c r="A197" s="783" t="s">
        <v>526</v>
      </c>
      <c r="B197" s="777" t="s">
        <v>903</v>
      </c>
      <c r="C197" s="995"/>
      <c r="D197" s="995"/>
      <c r="E197" s="995"/>
      <c r="F197" s="983">
        <v>0.05</v>
      </c>
    </row>
    <row r="198" spans="1:6" ht="24.6" thickBot="1">
      <c r="A198" s="783" t="s">
        <v>526</v>
      </c>
      <c r="B198" s="777" t="s">
        <v>904</v>
      </c>
      <c r="C198" s="995"/>
      <c r="D198" s="995"/>
      <c r="E198" s="995"/>
      <c r="F198" s="983">
        <v>0.05</v>
      </c>
    </row>
    <row r="199" spans="1:6" ht="24.6" thickBot="1">
      <c r="A199" s="783" t="s">
        <v>526</v>
      </c>
      <c r="B199" s="777" t="s">
        <v>905</v>
      </c>
      <c r="C199" s="995"/>
      <c r="D199" s="995"/>
      <c r="E199" s="995"/>
      <c r="F199" s="983">
        <v>0.05</v>
      </c>
    </row>
    <row r="200" spans="1:6" ht="24.6" thickBot="1">
      <c r="A200" s="783" t="s">
        <v>526</v>
      </c>
      <c r="B200" s="777" t="s">
        <v>906</v>
      </c>
      <c r="C200" s="995"/>
      <c r="D200" s="995"/>
      <c r="E200" s="995"/>
      <c r="F200" s="983">
        <v>0.05</v>
      </c>
    </row>
    <row r="201" spans="1:6" ht="24.6" thickBot="1">
      <c r="A201" s="783" t="s">
        <v>526</v>
      </c>
      <c r="B201" s="777" t="s">
        <v>907</v>
      </c>
      <c r="C201" s="995"/>
      <c r="D201" s="995"/>
      <c r="E201" s="995"/>
      <c r="F201" s="983">
        <v>0.05</v>
      </c>
    </row>
    <row r="202" spans="1:6" ht="24.6" thickBot="1">
      <c r="A202" s="783" t="s">
        <v>526</v>
      </c>
      <c r="B202" s="777" t="s">
        <v>908</v>
      </c>
      <c r="C202" s="995"/>
      <c r="D202" s="995"/>
      <c r="E202" s="995"/>
      <c r="F202" s="983">
        <v>0.05</v>
      </c>
    </row>
    <row r="203" spans="1:6" ht="24.6" thickBot="1">
      <c r="A203" s="783" t="s">
        <v>526</v>
      </c>
      <c r="B203" s="777" t="s">
        <v>909</v>
      </c>
      <c r="C203" s="995"/>
      <c r="D203" s="995"/>
      <c r="E203" s="995"/>
      <c r="F203" s="983">
        <v>0.05</v>
      </c>
    </row>
    <row r="204" spans="1:6" ht="15" thickBot="1">
      <c r="A204" s="783" t="s">
        <v>526</v>
      </c>
      <c r="B204" s="777" t="s">
        <v>910</v>
      </c>
      <c r="C204" s="995"/>
      <c r="D204" s="995"/>
      <c r="E204" s="995"/>
      <c r="F204" s="983">
        <v>0.05</v>
      </c>
    </row>
    <row r="205" spans="1:6" ht="15" thickBot="1">
      <c r="A205" s="793" t="s">
        <v>526</v>
      </c>
      <c r="B205" s="789" t="s">
        <v>911</v>
      </c>
      <c r="C205" s="992"/>
      <c r="D205" s="992"/>
      <c r="E205" s="992"/>
      <c r="F205" s="985">
        <v>0.05</v>
      </c>
    </row>
    <row r="206" spans="1:6" ht="15" thickBot="1">
      <c r="A206" s="783" t="s">
        <v>528</v>
      </c>
      <c r="B206" s="784" t="s">
        <v>912</v>
      </c>
      <c r="C206" s="980">
        <v>0.15</v>
      </c>
      <c r="D206" s="980">
        <v>0.15</v>
      </c>
      <c r="E206" s="980">
        <v>0.15</v>
      </c>
      <c r="F206" s="981">
        <v>0.15</v>
      </c>
    </row>
    <row r="207" spans="1:6" ht="15" thickBot="1">
      <c r="A207" s="783" t="s">
        <v>528</v>
      </c>
      <c r="B207" s="777" t="s">
        <v>194</v>
      </c>
      <c r="C207" s="982">
        <v>0.15</v>
      </c>
      <c r="D207" s="982">
        <v>0.15</v>
      </c>
      <c r="E207" s="982">
        <v>0.15</v>
      </c>
      <c r="F207" s="983">
        <v>0.14399999999999999</v>
      </c>
    </row>
    <row r="208" spans="1:6" ht="15" thickBot="1">
      <c r="A208" s="783" t="s">
        <v>528</v>
      </c>
      <c r="B208" s="777" t="s">
        <v>207</v>
      </c>
      <c r="C208" s="982">
        <v>0.15</v>
      </c>
      <c r="D208" s="982">
        <v>0.15</v>
      </c>
      <c r="E208" s="982">
        <v>0.15</v>
      </c>
      <c r="F208" s="983">
        <v>0.15</v>
      </c>
    </row>
    <row r="209" spans="1:6" ht="15" thickBot="1">
      <c r="A209" s="783" t="s">
        <v>528</v>
      </c>
      <c r="B209" s="777" t="s">
        <v>220</v>
      </c>
      <c r="C209" s="982">
        <v>0.13700000000000001</v>
      </c>
      <c r="D209" s="982">
        <v>0.13700000000000001</v>
      </c>
      <c r="E209" s="982">
        <v>0.14000000000000001</v>
      </c>
      <c r="F209" s="983">
        <v>0.11700000000000001</v>
      </c>
    </row>
    <row r="210" spans="1:6" ht="15" thickBot="1">
      <c r="A210" s="783" t="s">
        <v>528</v>
      </c>
      <c r="B210" s="777" t="s">
        <v>913</v>
      </c>
      <c r="C210" s="982">
        <v>0.15</v>
      </c>
      <c r="D210" s="982">
        <v>0.15</v>
      </c>
      <c r="E210" s="982">
        <v>0.15</v>
      </c>
      <c r="F210" s="983">
        <v>0.13800000000000001</v>
      </c>
    </row>
    <row r="211" spans="1:6" ht="15" thickBot="1">
      <c r="A211" s="783" t="s">
        <v>528</v>
      </c>
      <c r="B211" s="777" t="s">
        <v>914</v>
      </c>
      <c r="C211" s="982">
        <v>0.13700000000000001</v>
      </c>
      <c r="D211" s="982">
        <v>0.13500000000000001</v>
      </c>
      <c r="E211" s="982">
        <v>0.13600000000000001</v>
      </c>
      <c r="F211" s="983">
        <v>0.1</v>
      </c>
    </row>
    <row r="212" spans="1:6" ht="15" thickBot="1">
      <c r="A212" s="783" t="s">
        <v>528</v>
      </c>
      <c r="B212" s="777" t="s">
        <v>915</v>
      </c>
      <c r="C212" s="982">
        <v>0.15</v>
      </c>
      <c r="D212" s="982">
        <v>0.15</v>
      </c>
      <c r="E212" s="982">
        <v>0.14799999999999999</v>
      </c>
      <c r="F212" s="983">
        <v>0.13600000000000001</v>
      </c>
    </row>
    <row r="213" spans="1:6" ht="15" thickBot="1">
      <c r="A213" s="783" t="s">
        <v>528</v>
      </c>
      <c r="B213" s="777" t="s">
        <v>265</v>
      </c>
      <c r="C213" s="982">
        <v>0.15</v>
      </c>
      <c r="D213" s="982">
        <v>0.15</v>
      </c>
      <c r="E213" s="982">
        <v>0.15</v>
      </c>
      <c r="F213" s="983">
        <v>0.13800000000000001</v>
      </c>
    </row>
    <row r="214" spans="1:6" ht="15" thickBot="1">
      <c r="A214" s="783" t="s">
        <v>528</v>
      </c>
      <c r="B214" s="777" t="s">
        <v>277</v>
      </c>
      <c r="C214" s="982">
        <v>9.0999999999999998E-2</v>
      </c>
      <c r="D214" s="982">
        <v>0.09</v>
      </c>
      <c r="E214" s="982">
        <v>9.1999999999999998E-2</v>
      </c>
      <c r="F214" s="994"/>
    </row>
    <row r="215" spans="1:6" ht="15" thickBot="1">
      <c r="A215" s="783" t="s">
        <v>528</v>
      </c>
      <c r="B215" s="777" t="s">
        <v>916</v>
      </c>
      <c r="C215" s="982">
        <v>0.15</v>
      </c>
      <c r="D215" s="982">
        <v>0.15</v>
      </c>
      <c r="E215" s="982">
        <v>0.15</v>
      </c>
      <c r="F215" s="983">
        <v>0.15</v>
      </c>
    </row>
    <row r="216" spans="1:6" ht="15" thickBot="1">
      <c r="A216" s="783" t="s">
        <v>528</v>
      </c>
      <c r="B216" s="777" t="s">
        <v>297</v>
      </c>
      <c r="C216" s="982">
        <v>0.14699999999999999</v>
      </c>
      <c r="D216" s="982">
        <v>0.14699999999999999</v>
      </c>
      <c r="E216" s="982">
        <v>0.15</v>
      </c>
      <c r="F216" s="983">
        <v>0.14000000000000001</v>
      </c>
    </row>
    <row r="217" spans="1:6" ht="15" thickBot="1">
      <c r="A217" s="783" t="s">
        <v>528</v>
      </c>
      <c r="B217" s="777" t="s">
        <v>307</v>
      </c>
      <c r="C217" s="982">
        <v>0.15</v>
      </c>
      <c r="D217" s="982">
        <v>0.15</v>
      </c>
      <c r="E217" s="982">
        <v>0.15</v>
      </c>
      <c r="F217" s="983">
        <v>0.15</v>
      </c>
    </row>
    <row r="218" spans="1:6" ht="15" thickBot="1">
      <c r="A218" s="783" t="s">
        <v>528</v>
      </c>
      <c r="B218" s="777" t="s">
        <v>917</v>
      </c>
      <c r="C218" s="982">
        <v>0.15</v>
      </c>
      <c r="D218" s="982">
        <v>0.15</v>
      </c>
      <c r="E218" s="982">
        <v>0.15</v>
      </c>
      <c r="F218" s="983">
        <v>0.15</v>
      </c>
    </row>
    <row r="219" spans="1:6" ht="15" thickBot="1">
      <c r="A219" s="783" t="s">
        <v>528</v>
      </c>
      <c r="B219" s="777" t="s">
        <v>328</v>
      </c>
      <c r="C219" s="982">
        <v>0.15</v>
      </c>
      <c r="D219" s="982">
        <v>0.15</v>
      </c>
      <c r="E219" s="982">
        <v>0.15</v>
      </c>
      <c r="F219" s="983">
        <v>0.14799999999999999</v>
      </c>
    </row>
    <row r="220" spans="1:6" ht="15" thickBot="1">
      <c r="A220" s="783" t="s">
        <v>528</v>
      </c>
      <c r="B220" s="777" t="s">
        <v>918</v>
      </c>
      <c r="C220" s="982">
        <v>0.15</v>
      </c>
      <c r="D220" s="982">
        <v>0.15</v>
      </c>
      <c r="E220" s="982">
        <v>0.15</v>
      </c>
      <c r="F220" s="983">
        <v>0.15</v>
      </c>
    </row>
    <row r="221" spans="1:6" ht="15" thickBot="1">
      <c r="A221" s="783" t="s">
        <v>528</v>
      </c>
      <c r="B221" s="777" t="s">
        <v>349</v>
      </c>
      <c r="C221" s="982"/>
      <c r="D221" s="995"/>
      <c r="E221" s="995"/>
      <c r="F221" s="983">
        <v>0.14799999999999999</v>
      </c>
    </row>
    <row r="222" spans="1:6" ht="15" thickBot="1">
      <c r="A222" s="783" t="s">
        <v>528</v>
      </c>
      <c r="B222" s="777" t="s">
        <v>359</v>
      </c>
      <c r="C222" s="982"/>
      <c r="D222" s="995"/>
      <c r="E222" s="995"/>
      <c r="F222" s="983">
        <v>0.1</v>
      </c>
    </row>
    <row r="223" spans="1:6" ht="15" thickBot="1">
      <c r="A223" s="783" t="s">
        <v>528</v>
      </c>
      <c r="B223" s="777" t="s">
        <v>369</v>
      </c>
      <c r="C223" s="982"/>
      <c r="D223" s="995"/>
      <c r="E223" s="995"/>
      <c r="F223" s="983">
        <v>0.15</v>
      </c>
    </row>
    <row r="224" spans="1:6" ht="15" thickBot="1">
      <c r="A224" s="783" t="s">
        <v>528</v>
      </c>
      <c r="B224" s="777" t="s">
        <v>379</v>
      </c>
      <c r="C224" s="982"/>
      <c r="D224" s="995"/>
      <c r="E224" s="995"/>
      <c r="F224" s="983">
        <v>0.15</v>
      </c>
    </row>
    <row r="225" spans="1:6" ht="15" thickBot="1">
      <c r="A225" s="783" t="s">
        <v>528</v>
      </c>
      <c r="B225" s="777" t="s">
        <v>919</v>
      </c>
      <c r="C225" s="982">
        <v>0.15</v>
      </c>
      <c r="D225" s="982">
        <v>0.15</v>
      </c>
      <c r="E225" s="982">
        <v>0.15</v>
      </c>
      <c r="F225" s="983">
        <v>0.15</v>
      </c>
    </row>
    <row r="226" spans="1:6" ht="15" thickBot="1">
      <c r="A226" s="783" t="s">
        <v>528</v>
      </c>
      <c r="B226" s="777" t="s">
        <v>397</v>
      </c>
      <c r="C226" s="982">
        <v>0.15</v>
      </c>
      <c r="D226" s="982">
        <v>0.15</v>
      </c>
      <c r="E226" s="982">
        <v>0.15</v>
      </c>
      <c r="F226" s="983">
        <v>0.14799999999999999</v>
      </c>
    </row>
    <row r="227" spans="1:6" ht="15" thickBot="1">
      <c r="A227" s="783" t="s">
        <v>528</v>
      </c>
      <c r="B227" s="777" t="s">
        <v>920</v>
      </c>
      <c r="C227" s="982">
        <v>0.15</v>
      </c>
      <c r="D227" s="982">
        <v>0.15</v>
      </c>
      <c r="E227" s="982">
        <v>0.15</v>
      </c>
      <c r="F227" s="983">
        <v>0.15</v>
      </c>
    </row>
    <row r="228" spans="1:6" ht="15" thickBot="1">
      <c r="A228" s="783" t="s">
        <v>528</v>
      </c>
      <c r="B228" s="777" t="s">
        <v>412</v>
      </c>
      <c r="C228" s="982">
        <v>0.15</v>
      </c>
      <c r="D228" s="982">
        <v>0.15</v>
      </c>
      <c r="E228" s="982">
        <v>0.15</v>
      </c>
      <c r="F228" s="983">
        <v>0.15</v>
      </c>
    </row>
    <row r="229" spans="1:6" ht="15" thickBot="1">
      <c r="A229" s="783" t="s">
        <v>528</v>
      </c>
      <c r="B229" s="777" t="s">
        <v>419</v>
      </c>
      <c r="C229" s="982">
        <v>0.15</v>
      </c>
      <c r="D229" s="982">
        <v>0.15</v>
      </c>
      <c r="E229" s="982">
        <v>0.15</v>
      </c>
      <c r="F229" s="994"/>
    </row>
    <row r="230" spans="1:6" ht="15" thickBot="1">
      <c r="A230" s="783" t="s">
        <v>528</v>
      </c>
      <c r="B230" s="777" t="s">
        <v>426</v>
      </c>
      <c r="C230" s="982">
        <v>0.14499999999999999</v>
      </c>
      <c r="D230" s="982">
        <v>0.14499999999999999</v>
      </c>
      <c r="E230" s="982">
        <v>0.14399999999999999</v>
      </c>
      <c r="F230" s="994"/>
    </row>
    <row r="231" spans="1:6" ht="15" thickBot="1">
      <c r="A231" s="783" t="s">
        <v>528</v>
      </c>
      <c r="B231" s="777" t="s">
        <v>921</v>
      </c>
      <c r="C231" s="982">
        <v>0.128</v>
      </c>
      <c r="D231" s="982">
        <v>0.125</v>
      </c>
      <c r="E231" s="982">
        <v>0.13200000000000001</v>
      </c>
      <c r="F231" s="994"/>
    </row>
    <row r="232" spans="1:6" ht="15" thickBot="1">
      <c r="A232" s="783" t="s">
        <v>528</v>
      </c>
      <c r="B232" s="777" t="s">
        <v>922</v>
      </c>
      <c r="C232" s="982">
        <v>0.14499999999999999</v>
      </c>
      <c r="D232" s="982">
        <v>0.14399999999999999</v>
      </c>
      <c r="E232" s="982">
        <v>0.14599999999999999</v>
      </c>
      <c r="F232" s="983">
        <v>0.13800000000000001</v>
      </c>
    </row>
    <row r="233" spans="1:6" ht="15" thickBot="1">
      <c r="A233" s="783" t="s">
        <v>528</v>
      </c>
      <c r="B233" s="777" t="s">
        <v>923</v>
      </c>
      <c r="C233" s="982">
        <v>0.14499999999999999</v>
      </c>
      <c r="D233" s="982">
        <v>0.14299999999999999</v>
      </c>
      <c r="E233" s="982">
        <v>0.14199999999999999</v>
      </c>
      <c r="F233" s="994"/>
    </row>
    <row r="234" spans="1:6" ht="15" thickBot="1">
      <c r="A234" s="783" t="s">
        <v>528</v>
      </c>
      <c r="B234" s="777" t="s">
        <v>924</v>
      </c>
      <c r="C234" s="982">
        <v>0.14000000000000001</v>
      </c>
      <c r="D234" s="982">
        <v>0.14000000000000001</v>
      </c>
      <c r="E234" s="982">
        <v>0.14399999999999999</v>
      </c>
      <c r="F234" s="994"/>
    </row>
    <row r="235" spans="1:6" ht="15" thickBot="1">
      <c r="A235" s="783" t="s">
        <v>528</v>
      </c>
      <c r="B235" s="777" t="s">
        <v>925</v>
      </c>
      <c r="C235" s="982">
        <v>0.14099999999999999</v>
      </c>
      <c r="D235" s="982">
        <v>0.14199999999999999</v>
      </c>
      <c r="E235" s="982">
        <v>0.14499999999999999</v>
      </c>
      <c r="F235" s="983">
        <v>0.15</v>
      </c>
    </row>
    <row r="236" spans="1:6" ht="15" thickBot="1">
      <c r="A236" s="783" t="s">
        <v>528</v>
      </c>
      <c r="B236" s="777" t="s">
        <v>461</v>
      </c>
      <c r="C236" s="995"/>
      <c r="D236" s="995"/>
      <c r="E236" s="995"/>
      <c r="F236" s="983">
        <v>0.14299999999999999</v>
      </c>
    </row>
    <row r="237" spans="1:6" ht="24.6" thickBot="1">
      <c r="A237" s="783" t="s">
        <v>528</v>
      </c>
      <c r="B237" s="777" t="s">
        <v>926</v>
      </c>
      <c r="C237" s="995"/>
      <c r="D237" s="995"/>
      <c r="E237" s="995"/>
      <c r="F237" s="983">
        <v>0.05</v>
      </c>
    </row>
    <row r="238" spans="1:6" ht="24.6" thickBot="1">
      <c r="A238" s="783" t="s">
        <v>528</v>
      </c>
      <c r="B238" s="777" t="s">
        <v>927</v>
      </c>
      <c r="C238" s="995"/>
      <c r="D238" s="995"/>
      <c r="E238" s="995"/>
      <c r="F238" s="983">
        <v>0.05</v>
      </c>
    </row>
    <row r="239" spans="1:6" ht="24.6" thickBot="1">
      <c r="A239" s="783" t="s">
        <v>528</v>
      </c>
      <c r="B239" s="777" t="s">
        <v>928</v>
      </c>
      <c r="C239" s="995"/>
      <c r="D239" s="995"/>
      <c r="E239" s="995"/>
      <c r="F239" s="983">
        <v>0.05</v>
      </c>
    </row>
    <row r="240" spans="1:6" ht="24.6" thickBot="1">
      <c r="A240" s="783" t="s">
        <v>528</v>
      </c>
      <c r="B240" s="777" t="s">
        <v>929</v>
      </c>
      <c r="C240" s="995"/>
      <c r="D240" s="995"/>
      <c r="E240" s="995"/>
      <c r="F240" s="983">
        <v>0.05</v>
      </c>
    </row>
    <row r="241" spans="1:6" ht="24.6" thickBot="1">
      <c r="A241" s="783" t="s">
        <v>528</v>
      </c>
      <c r="B241" s="777" t="s">
        <v>930</v>
      </c>
      <c r="C241" s="995"/>
      <c r="D241" s="995"/>
      <c r="E241" s="995"/>
      <c r="F241" s="983">
        <v>0.05</v>
      </c>
    </row>
    <row r="242" spans="1:6" ht="24.6" thickBot="1">
      <c r="A242" s="783" t="s">
        <v>528</v>
      </c>
      <c r="B242" s="777" t="s">
        <v>931</v>
      </c>
      <c r="C242" s="995"/>
      <c r="D242" s="995"/>
      <c r="E242" s="995"/>
      <c r="F242" s="983">
        <v>0.05</v>
      </c>
    </row>
    <row r="243" spans="1:6" ht="24.6" thickBot="1">
      <c r="A243" s="783" t="s">
        <v>528</v>
      </c>
      <c r="B243" s="777" t="s">
        <v>932</v>
      </c>
      <c r="C243" s="995"/>
      <c r="D243" s="995"/>
      <c r="E243" s="995"/>
      <c r="F243" s="983">
        <v>0.05</v>
      </c>
    </row>
    <row r="244" spans="1:6" ht="24.6" thickBot="1">
      <c r="A244" s="793" t="s">
        <v>528</v>
      </c>
      <c r="B244" s="789" t="s">
        <v>933</v>
      </c>
      <c r="C244" s="992"/>
      <c r="D244" s="992"/>
      <c r="E244" s="992"/>
      <c r="F244" s="985">
        <v>0.05</v>
      </c>
    </row>
    <row r="245" spans="1:6" ht="15" thickBot="1">
      <c r="A245" s="783" t="s">
        <v>530</v>
      </c>
      <c r="B245" s="784" t="s">
        <v>934</v>
      </c>
      <c r="C245" s="980">
        <v>0.15</v>
      </c>
      <c r="D245" s="980">
        <v>0.15</v>
      </c>
      <c r="E245" s="980">
        <v>0.15</v>
      </c>
      <c r="F245" s="981">
        <v>0.14299999999999999</v>
      </c>
    </row>
    <row r="246" spans="1:6" ht="15" thickBot="1">
      <c r="A246" s="783" t="s">
        <v>530</v>
      </c>
      <c r="B246" s="777" t="s">
        <v>195</v>
      </c>
      <c r="C246" s="982">
        <v>0.15</v>
      </c>
      <c r="D246" s="982">
        <v>0.15</v>
      </c>
      <c r="E246" s="982">
        <v>0.15</v>
      </c>
      <c r="F246" s="983">
        <v>0.114</v>
      </c>
    </row>
    <row r="247" spans="1:6" ht="15" thickBot="1">
      <c r="A247" s="783" t="s">
        <v>530</v>
      </c>
      <c r="B247" s="777" t="s">
        <v>935</v>
      </c>
      <c r="C247" s="982">
        <v>0.15</v>
      </c>
      <c r="D247" s="982">
        <v>0.15</v>
      </c>
      <c r="E247" s="982">
        <v>0.15</v>
      </c>
      <c r="F247" s="983">
        <v>0.15</v>
      </c>
    </row>
    <row r="248" spans="1:6" ht="15" thickBot="1">
      <c r="A248" s="783" t="s">
        <v>530</v>
      </c>
      <c r="B248" s="777" t="s">
        <v>936</v>
      </c>
      <c r="C248" s="982">
        <v>0.15</v>
      </c>
      <c r="D248" s="982">
        <v>0.15</v>
      </c>
      <c r="E248" s="982">
        <v>0.15</v>
      </c>
      <c r="F248" s="983">
        <v>0.14000000000000001</v>
      </c>
    </row>
    <row r="249" spans="1:6" ht="15" thickBot="1">
      <c r="A249" s="783" t="s">
        <v>530</v>
      </c>
      <c r="B249" s="777" t="s">
        <v>937</v>
      </c>
      <c r="C249" s="982">
        <v>0.15</v>
      </c>
      <c r="D249" s="982">
        <v>0.14899999999999999</v>
      </c>
      <c r="E249" s="982">
        <v>0.15</v>
      </c>
      <c r="F249" s="983">
        <v>0.1</v>
      </c>
    </row>
    <row r="250" spans="1:6" ht="15" thickBot="1">
      <c r="A250" s="783" t="s">
        <v>530</v>
      </c>
      <c r="B250" s="777" t="s">
        <v>938</v>
      </c>
      <c r="C250" s="982">
        <v>0.15</v>
      </c>
      <c r="D250" s="982">
        <v>0.15</v>
      </c>
      <c r="E250" s="982">
        <v>0.15</v>
      </c>
      <c r="F250" s="983">
        <v>0.14399999999999999</v>
      </c>
    </row>
    <row r="251" spans="1:6" ht="15" thickBot="1">
      <c r="A251" s="783" t="s">
        <v>530</v>
      </c>
      <c r="B251" s="777" t="s">
        <v>255</v>
      </c>
      <c r="C251" s="982">
        <v>0.15</v>
      </c>
      <c r="D251" s="982">
        <v>0.15</v>
      </c>
      <c r="E251" s="982">
        <v>0.15</v>
      </c>
      <c r="F251" s="983">
        <v>0.14299999999999999</v>
      </c>
    </row>
    <row r="252" spans="1:6" ht="15" thickBot="1">
      <c r="A252" s="783" t="s">
        <v>530</v>
      </c>
      <c r="B252" s="777" t="s">
        <v>266</v>
      </c>
      <c r="C252" s="982">
        <v>0.15</v>
      </c>
      <c r="D252" s="982">
        <v>0.15</v>
      </c>
      <c r="E252" s="982">
        <v>0.15</v>
      </c>
      <c r="F252" s="983">
        <v>0.1</v>
      </c>
    </row>
    <row r="253" spans="1:6" ht="15" thickBot="1">
      <c r="A253" s="783" t="s">
        <v>530</v>
      </c>
      <c r="B253" s="777" t="s">
        <v>278</v>
      </c>
      <c r="C253" s="982">
        <v>0.15</v>
      </c>
      <c r="D253" s="982">
        <v>0.15</v>
      </c>
      <c r="E253" s="982">
        <v>0.15</v>
      </c>
      <c r="F253" s="983">
        <v>0.1</v>
      </c>
    </row>
    <row r="254" spans="1:6" ht="15" thickBot="1">
      <c r="A254" s="783" t="s">
        <v>530</v>
      </c>
      <c r="B254" s="777" t="s">
        <v>288</v>
      </c>
      <c r="C254" s="995"/>
      <c r="D254" s="995"/>
      <c r="E254" s="995"/>
      <c r="F254" s="983">
        <v>0.15</v>
      </c>
    </row>
    <row r="255" spans="1:6" ht="15" thickBot="1">
      <c r="A255" s="783" t="s">
        <v>530</v>
      </c>
      <c r="B255" s="777" t="s">
        <v>298</v>
      </c>
      <c r="C255" s="995"/>
      <c r="D255" s="995"/>
      <c r="E255" s="995"/>
      <c r="F255" s="983">
        <v>0.14299999999999999</v>
      </c>
    </row>
    <row r="256" spans="1:6" ht="15" thickBot="1">
      <c r="A256" s="783" t="s">
        <v>530</v>
      </c>
      <c r="B256" s="777" t="s">
        <v>939</v>
      </c>
      <c r="C256" s="982">
        <v>0.14599999999999999</v>
      </c>
      <c r="D256" s="982">
        <v>0.14699999999999999</v>
      </c>
      <c r="E256" s="982">
        <v>0.15</v>
      </c>
      <c r="F256" s="983">
        <v>0.13200000000000001</v>
      </c>
    </row>
    <row r="257" spans="1:6" ht="15" thickBot="1">
      <c r="A257" s="783" t="s">
        <v>530</v>
      </c>
      <c r="B257" s="777" t="s">
        <v>318</v>
      </c>
      <c r="C257" s="982">
        <v>0.15</v>
      </c>
      <c r="D257" s="982">
        <v>0.15</v>
      </c>
      <c r="E257" s="982">
        <v>0.15</v>
      </c>
      <c r="F257" s="983">
        <v>0.13900000000000001</v>
      </c>
    </row>
    <row r="258" spans="1:6" ht="15" thickBot="1">
      <c r="A258" s="783" t="s">
        <v>530</v>
      </c>
      <c r="B258" s="777" t="s">
        <v>329</v>
      </c>
      <c r="C258" s="982">
        <v>0.15</v>
      </c>
      <c r="D258" s="982">
        <v>0.15</v>
      </c>
      <c r="E258" s="982">
        <v>0.15</v>
      </c>
      <c r="F258" s="983">
        <v>0.13</v>
      </c>
    </row>
    <row r="259" spans="1:6" ht="15" thickBot="1">
      <c r="A259" s="783" t="s">
        <v>530</v>
      </c>
      <c r="B259" s="777" t="s">
        <v>940</v>
      </c>
      <c r="C259" s="982">
        <v>0.14799999999999999</v>
      </c>
      <c r="D259" s="982">
        <v>0.14899999999999999</v>
      </c>
      <c r="E259" s="982">
        <v>0.15</v>
      </c>
      <c r="F259" s="983">
        <v>0.13700000000000001</v>
      </c>
    </row>
    <row r="260" spans="1:6" ht="15" thickBot="1">
      <c r="A260" s="783" t="s">
        <v>530</v>
      </c>
      <c r="B260" s="777" t="s">
        <v>350</v>
      </c>
      <c r="C260" s="982">
        <v>0.15</v>
      </c>
      <c r="D260" s="982">
        <v>0.15</v>
      </c>
      <c r="E260" s="982">
        <v>0.15</v>
      </c>
      <c r="F260" s="983">
        <v>0.14199999999999999</v>
      </c>
    </row>
    <row r="261" spans="1:6" ht="15" thickBot="1">
      <c r="A261" s="783" t="s">
        <v>530</v>
      </c>
      <c r="B261" s="777" t="s">
        <v>360</v>
      </c>
      <c r="C261" s="982">
        <v>0.15</v>
      </c>
      <c r="D261" s="982">
        <v>0.15</v>
      </c>
      <c r="E261" s="982">
        <v>0.14899999999999999</v>
      </c>
      <c r="F261" s="983">
        <v>0.14799999999999999</v>
      </c>
    </row>
    <row r="262" spans="1:6" ht="15" thickBot="1">
      <c r="A262" s="783" t="s">
        <v>530</v>
      </c>
      <c r="B262" s="777" t="s">
        <v>370</v>
      </c>
      <c r="C262" s="982">
        <v>0.15</v>
      </c>
      <c r="D262" s="982">
        <v>0.15</v>
      </c>
      <c r="E262" s="982">
        <v>0.15</v>
      </c>
      <c r="F262" s="994"/>
    </row>
    <row r="263" spans="1:6" ht="15" thickBot="1">
      <c r="A263" s="783" t="s">
        <v>530</v>
      </c>
      <c r="B263" s="777" t="s">
        <v>941</v>
      </c>
      <c r="C263" s="982">
        <v>0.14899999999999999</v>
      </c>
      <c r="D263" s="982">
        <v>0.14899999999999999</v>
      </c>
      <c r="E263" s="982">
        <v>0.15</v>
      </c>
      <c r="F263" s="983">
        <v>0.13</v>
      </c>
    </row>
    <row r="264" spans="1:6" ht="15" thickBot="1">
      <c r="A264" s="783" t="s">
        <v>530</v>
      </c>
      <c r="B264" s="777" t="s">
        <v>389</v>
      </c>
      <c r="C264" s="982">
        <v>0.14799999999999999</v>
      </c>
      <c r="D264" s="982">
        <v>0.14699999999999999</v>
      </c>
      <c r="E264" s="982">
        <v>0.15</v>
      </c>
      <c r="F264" s="983">
        <v>7.8E-2</v>
      </c>
    </row>
    <row r="265" spans="1:6" ht="15" thickBot="1">
      <c r="A265" s="783" t="s">
        <v>530</v>
      </c>
      <c r="B265" s="777" t="s">
        <v>398</v>
      </c>
      <c r="C265" s="982">
        <v>0.15</v>
      </c>
      <c r="D265" s="982">
        <v>0.15</v>
      </c>
      <c r="E265" s="982">
        <v>0.15</v>
      </c>
      <c r="F265" s="983">
        <v>7.3999999999999996E-2</v>
      </c>
    </row>
    <row r="266" spans="1:6" ht="15" thickBot="1">
      <c r="A266" s="783" t="s">
        <v>530</v>
      </c>
      <c r="B266" s="777" t="s">
        <v>406</v>
      </c>
      <c r="C266" s="982">
        <v>0.14699999999999999</v>
      </c>
      <c r="D266" s="982">
        <v>0.14699999999999999</v>
      </c>
      <c r="E266" s="982">
        <v>0.15</v>
      </c>
      <c r="F266" s="983">
        <v>0.14299999999999999</v>
      </c>
    </row>
    <row r="267" spans="1:6" ht="15" thickBot="1">
      <c r="A267" s="783" t="s">
        <v>530</v>
      </c>
      <c r="B267" s="777" t="s">
        <v>413</v>
      </c>
      <c r="C267" s="982">
        <v>0.14199999999999999</v>
      </c>
      <c r="D267" s="982">
        <v>0.14299999999999999</v>
      </c>
      <c r="E267" s="982">
        <v>0.15</v>
      </c>
      <c r="F267" s="994"/>
    </row>
    <row r="268" spans="1:6" ht="15" thickBot="1">
      <c r="A268" s="783" t="s">
        <v>530</v>
      </c>
      <c r="B268" s="777" t="s">
        <v>942</v>
      </c>
      <c r="C268" s="982">
        <v>0.15</v>
      </c>
      <c r="D268" s="982">
        <v>0.15</v>
      </c>
      <c r="E268" s="982">
        <v>0.15</v>
      </c>
      <c r="F268" s="983">
        <v>0.13</v>
      </c>
    </row>
    <row r="269" spans="1:6" ht="15" thickBot="1">
      <c r="A269" s="783" t="s">
        <v>530</v>
      </c>
      <c r="B269" s="777" t="s">
        <v>427</v>
      </c>
      <c r="C269" s="982">
        <v>0.15</v>
      </c>
      <c r="D269" s="982">
        <v>0.15</v>
      </c>
      <c r="E269" s="982">
        <v>0.15</v>
      </c>
      <c r="F269" s="983">
        <v>0.14299999999999999</v>
      </c>
    </row>
    <row r="270" spans="1:6" ht="15" thickBot="1">
      <c r="A270" s="783" t="s">
        <v>530</v>
      </c>
      <c r="B270" s="777" t="s">
        <v>434</v>
      </c>
      <c r="C270" s="982">
        <v>0.14499999999999999</v>
      </c>
      <c r="D270" s="982">
        <v>0.14499999999999999</v>
      </c>
      <c r="E270" s="982">
        <v>0.15</v>
      </c>
      <c r="F270" s="983">
        <v>0.14699999999999999</v>
      </c>
    </row>
    <row r="271" spans="1:6" ht="15" thickBot="1">
      <c r="A271" s="783" t="s">
        <v>530</v>
      </c>
      <c r="B271" s="777" t="s">
        <v>441</v>
      </c>
      <c r="C271" s="982">
        <v>0.15</v>
      </c>
      <c r="D271" s="982">
        <v>0.15</v>
      </c>
      <c r="E271" s="982">
        <v>0.15</v>
      </c>
      <c r="F271" s="983">
        <v>0.13800000000000001</v>
      </c>
    </row>
    <row r="272" spans="1:6" ht="15" thickBot="1">
      <c r="A272" s="783" t="s">
        <v>530</v>
      </c>
      <c r="B272" s="777" t="s">
        <v>448</v>
      </c>
      <c r="C272" s="995"/>
      <c r="D272" s="995"/>
      <c r="E272" s="995"/>
      <c r="F272" s="983">
        <v>0.14000000000000001</v>
      </c>
    </row>
    <row r="273" spans="1:6" ht="15" thickBot="1">
      <c r="A273" s="783" t="s">
        <v>530</v>
      </c>
      <c r="B273" s="777" t="s">
        <v>943</v>
      </c>
      <c r="C273" s="982">
        <v>0.14199999999999999</v>
      </c>
      <c r="D273" s="982">
        <v>0.14299999999999999</v>
      </c>
      <c r="E273" s="982">
        <v>0.15</v>
      </c>
      <c r="F273" s="983">
        <v>0.1</v>
      </c>
    </row>
    <row r="274" spans="1:6" ht="15" thickBot="1">
      <c r="A274" s="783" t="s">
        <v>530</v>
      </c>
      <c r="B274" s="777" t="s">
        <v>944</v>
      </c>
      <c r="C274" s="982">
        <v>0.14799999999999999</v>
      </c>
      <c r="D274" s="982">
        <v>0.14799999999999999</v>
      </c>
      <c r="E274" s="982">
        <v>0.15</v>
      </c>
      <c r="F274" s="983">
        <v>6.7000000000000004E-2</v>
      </c>
    </row>
    <row r="275" spans="1:6" ht="15" thickBot="1">
      <c r="A275" s="783" t="s">
        <v>530</v>
      </c>
      <c r="B275" s="777" t="s">
        <v>945</v>
      </c>
      <c r="C275" s="982">
        <v>0.15</v>
      </c>
      <c r="D275" s="982">
        <v>0.15</v>
      </c>
      <c r="E275" s="982">
        <v>0.15</v>
      </c>
      <c r="F275" s="983">
        <v>0.15</v>
      </c>
    </row>
    <row r="276" spans="1:6" ht="15" thickBot="1">
      <c r="A276" s="783" t="s">
        <v>530</v>
      </c>
      <c r="B276" s="777" t="s">
        <v>946</v>
      </c>
      <c r="C276" s="982">
        <v>0.14499999999999999</v>
      </c>
      <c r="D276" s="982">
        <v>0.14299999999999999</v>
      </c>
      <c r="E276" s="982">
        <v>0.15</v>
      </c>
      <c r="F276" s="983">
        <v>5.8999999999999997E-2</v>
      </c>
    </row>
    <row r="277" spans="1:6" ht="15" thickBot="1">
      <c r="A277" s="783" t="s">
        <v>530</v>
      </c>
      <c r="B277" s="777" t="s">
        <v>947</v>
      </c>
      <c r="C277" s="982">
        <v>0.15</v>
      </c>
      <c r="D277" s="982">
        <v>0.15</v>
      </c>
      <c r="E277" s="982">
        <v>0.15</v>
      </c>
      <c r="F277" s="983">
        <v>0.121</v>
      </c>
    </row>
    <row r="278" spans="1:6" ht="15" thickBot="1">
      <c r="A278" s="783" t="s">
        <v>530</v>
      </c>
      <c r="B278" s="777" t="s">
        <v>948</v>
      </c>
      <c r="C278" s="982">
        <v>0.15</v>
      </c>
      <c r="D278" s="982">
        <v>0.15</v>
      </c>
      <c r="E278" s="982">
        <v>0.15</v>
      </c>
      <c r="F278" s="983">
        <v>0.13800000000000001</v>
      </c>
    </row>
    <row r="279" spans="1:6" ht="24.6" thickBot="1">
      <c r="A279" s="783" t="s">
        <v>530</v>
      </c>
      <c r="B279" s="777" t="s">
        <v>949</v>
      </c>
      <c r="C279" s="995"/>
      <c r="D279" s="995"/>
      <c r="E279" s="995"/>
      <c r="F279" s="983">
        <v>0.05</v>
      </c>
    </row>
    <row r="280" spans="1:6" ht="24.6" thickBot="1">
      <c r="A280" s="783" t="s">
        <v>530</v>
      </c>
      <c r="B280" s="777" t="s">
        <v>950</v>
      </c>
      <c r="C280" s="995"/>
      <c r="D280" s="995"/>
      <c r="E280" s="995"/>
      <c r="F280" s="983">
        <v>0.05</v>
      </c>
    </row>
    <row r="281" spans="1:6" ht="24.6" thickBot="1">
      <c r="A281" s="783" t="s">
        <v>530</v>
      </c>
      <c r="B281" s="777" t="s">
        <v>951</v>
      </c>
      <c r="C281" s="995"/>
      <c r="D281" s="995"/>
      <c r="E281" s="995"/>
      <c r="F281" s="983">
        <v>0.05</v>
      </c>
    </row>
    <row r="282" spans="1:6" ht="24.6" thickBot="1">
      <c r="A282" s="783" t="s">
        <v>530</v>
      </c>
      <c r="B282" s="777" t="s">
        <v>952</v>
      </c>
      <c r="C282" s="995"/>
      <c r="D282" s="995"/>
      <c r="E282" s="995"/>
      <c r="F282" s="983">
        <v>0.05</v>
      </c>
    </row>
    <row r="283" spans="1:6" ht="24.6" thickBot="1">
      <c r="A283" s="783" t="s">
        <v>530</v>
      </c>
      <c r="B283" s="777" t="s">
        <v>953</v>
      </c>
      <c r="C283" s="995"/>
      <c r="D283" s="995"/>
      <c r="E283" s="995"/>
      <c r="F283" s="983">
        <v>0.05</v>
      </c>
    </row>
    <row r="284" spans="1:6" ht="24.6" thickBot="1">
      <c r="A284" s="783" t="s">
        <v>530</v>
      </c>
      <c r="B284" s="777" t="s">
        <v>954</v>
      </c>
      <c r="C284" s="995"/>
      <c r="D284" s="995"/>
      <c r="E284" s="995"/>
      <c r="F284" s="983">
        <v>0.05</v>
      </c>
    </row>
    <row r="285" spans="1:6" ht="24.6" thickBot="1">
      <c r="A285" s="783" t="s">
        <v>530</v>
      </c>
      <c r="B285" s="777" t="s">
        <v>955</v>
      </c>
      <c r="C285" s="995"/>
      <c r="D285" s="995"/>
      <c r="E285" s="995"/>
      <c r="F285" s="983">
        <v>0.05</v>
      </c>
    </row>
    <row r="286" spans="1:6" ht="24.6" thickBot="1">
      <c r="A286" s="783" t="s">
        <v>530</v>
      </c>
      <c r="B286" s="777" t="s">
        <v>956</v>
      </c>
      <c r="C286" s="995"/>
      <c r="D286" s="995"/>
      <c r="E286" s="995"/>
      <c r="F286" s="983">
        <v>0.05</v>
      </c>
    </row>
    <row r="287" spans="1:6" ht="24.6" thickBot="1">
      <c r="A287" s="783" t="s">
        <v>530</v>
      </c>
      <c r="B287" s="777" t="s">
        <v>957</v>
      </c>
      <c r="C287" s="995"/>
      <c r="D287" s="995"/>
      <c r="E287" s="995"/>
      <c r="F287" s="983">
        <v>0.05</v>
      </c>
    </row>
    <row r="288" spans="1:6" ht="24.6" thickBot="1">
      <c r="A288" s="783" t="s">
        <v>530</v>
      </c>
      <c r="B288" s="777" t="s">
        <v>958</v>
      </c>
      <c r="C288" s="995"/>
      <c r="D288" s="995"/>
      <c r="E288" s="995"/>
      <c r="F288" s="983">
        <v>0.05</v>
      </c>
    </row>
    <row r="289" spans="1:6" ht="24.6" thickBot="1">
      <c r="A289" s="793" t="s">
        <v>530</v>
      </c>
      <c r="B289" s="789" t="s">
        <v>959</v>
      </c>
      <c r="C289" s="992"/>
      <c r="D289" s="992"/>
      <c r="E289" s="992"/>
      <c r="F289" s="985">
        <v>0.05</v>
      </c>
    </row>
    <row r="290" spans="1:6" ht="15" thickBot="1">
      <c r="A290" s="783" t="s">
        <v>534</v>
      </c>
      <c r="B290" s="784" t="s">
        <v>960</v>
      </c>
      <c r="C290" s="980">
        <v>0.15</v>
      </c>
      <c r="D290" s="980">
        <v>0.15</v>
      </c>
      <c r="E290" s="980">
        <v>0.15</v>
      </c>
      <c r="F290" s="997"/>
    </row>
    <row r="291" spans="1:6" ht="15" thickBot="1">
      <c r="A291" s="783" t="s">
        <v>534</v>
      </c>
      <c r="B291" s="777" t="s">
        <v>196</v>
      </c>
      <c r="C291" s="982">
        <v>0.15</v>
      </c>
      <c r="D291" s="982">
        <v>0.15</v>
      </c>
      <c r="E291" s="982">
        <v>0.15</v>
      </c>
      <c r="F291" s="994"/>
    </row>
    <row r="292" spans="1:6" ht="15" thickBot="1">
      <c r="A292" s="783" t="s">
        <v>534</v>
      </c>
      <c r="B292" s="777" t="s">
        <v>961</v>
      </c>
      <c r="C292" s="982">
        <v>0.15</v>
      </c>
      <c r="D292" s="982">
        <v>0.15</v>
      </c>
      <c r="E292" s="982">
        <v>0.15</v>
      </c>
      <c r="F292" s="983">
        <v>0.14699999999999999</v>
      </c>
    </row>
    <row r="293" spans="1:6" ht="15" thickBot="1">
      <c r="A293" s="783" t="s">
        <v>534</v>
      </c>
      <c r="B293" s="777" t="s">
        <v>962</v>
      </c>
      <c r="C293" s="995"/>
      <c r="D293" s="995"/>
      <c r="E293" s="995"/>
      <c r="F293" s="983">
        <v>0.1</v>
      </c>
    </row>
    <row r="294" spans="1:6" ht="15" thickBot="1">
      <c r="A294" s="783" t="s">
        <v>534</v>
      </c>
      <c r="B294" s="777" t="s">
        <v>963</v>
      </c>
      <c r="C294" s="982">
        <v>0.15</v>
      </c>
      <c r="D294" s="982">
        <v>0.15</v>
      </c>
      <c r="E294" s="982">
        <v>0.15</v>
      </c>
      <c r="F294" s="983">
        <v>0.15</v>
      </c>
    </row>
    <row r="295" spans="1:6" ht="15" thickBot="1">
      <c r="A295" s="783" t="s">
        <v>534</v>
      </c>
      <c r="B295" s="777" t="s">
        <v>234</v>
      </c>
      <c r="C295" s="982">
        <v>0.15</v>
      </c>
      <c r="D295" s="982">
        <v>0.15</v>
      </c>
      <c r="E295" s="982">
        <v>0.15</v>
      </c>
      <c r="F295" s="983">
        <v>0.15</v>
      </c>
    </row>
    <row r="296" spans="1:6" ht="15" thickBot="1">
      <c r="A296" s="783" t="s">
        <v>534</v>
      </c>
      <c r="B296" s="777" t="s">
        <v>964</v>
      </c>
      <c r="C296" s="982">
        <v>0.15</v>
      </c>
      <c r="D296" s="982">
        <v>0.15</v>
      </c>
      <c r="E296" s="982">
        <v>0.15</v>
      </c>
      <c r="F296" s="983">
        <v>0.15</v>
      </c>
    </row>
    <row r="297" spans="1:6" ht="15" thickBot="1">
      <c r="A297" s="783" t="s">
        <v>534</v>
      </c>
      <c r="B297" s="777" t="s">
        <v>965</v>
      </c>
      <c r="C297" s="982">
        <v>0.14799999999999999</v>
      </c>
      <c r="D297" s="982">
        <v>0.14899999999999999</v>
      </c>
      <c r="E297" s="982">
        <v>0.15</v>
      </c>
      <c r="F297" s="983">
        <v>0.13700000000000001</v>
      </c>
    </row>
    <row r="298" spans="1:6" ht="15" thickBot="1">
      <c r="A298" s="783" t="s">
        <v>534</v>
      </c>
      <c r="B298" s="777" t="s">
        <v>267</v>
      </c>
      <c r="C298" s="982">
        <v>0.13400000000000001</v>
      </c>
      <c r="D298" s="982">
        <v>0.13400000000000001</v>
      </c>
      <c r="E298" s="982">
        <v>0.14499999999999999</v>
      </c>
      <c r="F298" s="983">
        <v>0.14799999999999999</v>
      </c>
    </row>
    <row r="299" spans="1:6" ht="15" thickBot="1">
      <c r="A299" s="783" t="s">
        <v>534</v>
      </c>
      <c r="B299" s="777" t="s">
        <v>279</v>
      </c>
      <c r="C299" s="982">
        <v>0.15</v>
      </c>
      <c r="D299" s="982">
        <v>0.15</v>
      </c>
      <c r="E299" s="982">
        <v>0.15</v>
      </c>
      <c r="F299" s="994"/>
    </row>
    <row r="300" spans="1:6" ht="15" thickBot="1">
      <c r="A300" s="783" t="s">
        <v>534</v>
      </c>
      <c r="B300" s="777" t="s">
        <v>966</v>
      </c>
      <c r="C300" s="982">
        <v>0.15</v>
      </c>
      <c r="D300" s="982">
        <v>0.15</v>
      </c>
      <c r="E300" s="982">
        <v>0.15</v>
      </c>
      <c r="F300" s="983">
        <v>0.15</v>
      </c>
    </row>
    <row r="301" spans="1:6" ht="15" thickBot="1">
      <c r="A301" s="783" t="s">
        <v>534</v>
      </c>
      <c r="B301" s="777" t="s">
        <v>299</v>
      </c>
      <c r="C301" s="982">
        <v>0.15</v>
      </c>
      <c r="D301" s="982">
        <v>0.15</v>
      </c>
      <c r="E301" s="982">
        <v>0.15</v>
      </c>
      <c r="F301" s="994"/>
    </row>
    <row r="302" spans="1:6" ht="15" thickBot="1">
      <c r="A302" s="783" t="s">
        <v>534</v>
      </c>
      <c r="B302" s="777" t="s">
        <v>967</v>
      </c>
      <c r="C302" s="982">
        <v>0.15</v>
      </c>
      <c r="D302" s="982">
        <v>0.15</v>
      </c>
      <c r="E302" s="982">
        <v>0.15</v>
      </c>
      <c r="F302" s="983">
        <v>0.15</v>
      </c>
    </row>
    <row r="303" spans="1:6" ht="15" thickBot="1">
      <c r="A303" s="783" t="s">
        <v>534</v>
      </c>
      <c r="B303" s="777" t="s">
        <v>319</v>
      </c>
      <c r="C303" s="982">
        <v>0.15</v>
      </c>
      <c r="D303" s="982">
        <v>0.15</v>
      </c>
      <c r="E303" s="982">
        <v>0.15</v>
      </c>
      <c r="F303" s="983">
        <v>0.15</v>
      </c>
    </row>
    <row r="304" spans="1:6" ht="15" thickBot="1">
      <c r="A304" s="783" t="s">
        <v>534</v>
      </c>
      <c r="B304" s="777" t="s">
        <v>330</v>
      </c>
      <c r="C304" s="982">
        <v>0.15</v>
      </c>
      <c r="D304" s="982">
        <v>0.15</v>
      </c>
      <c r="E304" s="982">
        <v>0.15</v>
      </c>
      <c r="F304" s="994"/>
    </row>
    <row r="305" spans="1:6" ht="15" thickBot="1">
      <c r="A305" s="783" t="s">
        <v>534</v>
      </c>
      <c r="B305" s="777" t="s">
        <v>968</v>
      </c>
      <c r="C305" s="982">
        <v>0.15</v>
      </c>
      <c r="D305" s="982">
        <v>0.15</v>
      </c>
      <c r="E305" s="982">
        <v>0.15</v>
      </c>
      <c r="F305" s="983">
        <v>0.14000000000000001</v>
      </c>
    </row>
    <row r="306" spans="1:6" ht="15" thickBot="1">
      <c r="A306" s="783" t="s">
        <v>534</v>
      </c>
      <c r="B306" s="777" t="s">
        <v>351</v>
      </c>
      <c r="C306" s="982">
        <v>0.15</v>
      </c>
      <c r="D306" s="982">
        <v>0.15</v>
      </c>
      <c r="E306" s="982">
        <v>0.15</v>
      </c>
      <c r="F306" s="994"/>
    </row>
    <row r="307" spans="1:6" ht="15" thickBot="1">
      <c r="A307" s="783" t="s">
        <v>534</v>
      </c>
      <c r="B307" s="777" t="s">
        <v>969</v>
      </c>
      <c r="C307" s="982">
        <v>0.15</v>
      </c>
      <c r="D307" s="982">
        <v>0.15</v>
      </c>
      <c r="E307" s="982">
        <v>0.15</v>
      </c>
      <c r="F307" s="983">
        <v>0.14299999999999999</v>
      </c>
    </row>
    <row r="308" spans="1:6" ht="15" thickBot="1">
      <c r="A308" s="783" t="s">
        <v>534</v>
      </c>
      <c r="B308" s="777" t="s">
        <v>371</v>
      </c>
      <c r="C308" s="982">
        <v>0.15</v>
      </c>
      <c r="D308" s="982">
        <v>0.15</v>
      </c>
      <c r="E308" s="982">
        <v>0.15</v>
      </c>
      <c r="F308" s="983">
        <v>0.15</v>
      </c>
    </row>
    <row r="309" spans="1:6" ht="15" thickBot="1">
      <c r="A309" s="783" t="s">
        <v>534</v>
      </c>
      <c r="B309" s="777" t="s">
        <v>381</v>
      </c>
      <c r="C309" s="982">
        <v>0.15</v>
      </c>
      <c r="D309" s="982">
        <v>0.15</v>
      </c>
      <c r="E309" s="982">
        <v>0.15</v>
      </c>
      <c r="F309" s="994"/>
    </row>
    <row r="310" spans="1:6" ht="15" thickBot="1">
      <c r="A310" s="783" t="s">
        <v>534</v>
      </c>
      <c r="B310" s="777" t="s">
        <v>970</v>
      </c>
      <c r="C310" s="982">
        <v>0.15</v>
      </c>
      <c r="D310" s="982">
        <v>0.15</v>
      </c>
      <c r="E310" s="982">
        <v>0.15</v>
      </c>
      <c r="F310" s="983">
        <v>0.13700000000000001</v>
      </c>
    </row>
    <row r="311" spans="1:6" ht="15" thickBot="1">
      <c r="A311" s="783" t="s">
        <v>534</v>
      </c>
      <c r="B311" s="777" t="s">
        <v>971</v>
      </c>
      <c r="C311" s="982">
        <v>0.15</v>
      </c>
      <c r="D311" s="982">
        <v>0.15</v>
      </c>
      <c r="E311" s="982">
        <v>0.15</v>
      </c>
      <c r="F311" s="983">
        <v>0.15</v>
      </c>
    </row>
    <row r="312" spans="1:6" ht="15" thickBot="1">
      <c r="A312" s="783" t="s">
        <v>534</v>
      </c>
      <c r="B312" s="777" t="s">
        <v>407</v>
      </c>
      <c r="C312" s="982">
        <v>0.15</v>
      </c>
      <c r="D312" s="982">
        <v>0.15</v>
      </c>
      <c r="E312" s="982">
        <v>0.15</v>
      </c>
      <c r="F312" s="983">
        <v>0.1</v>
      </c>
    </row>
    <row r="313" spans="1:6" ht="15" thickBot="1">
      <c r="A313" s="783" t="s">
        <v>534</v>
      </c>
      <c r="B313" s="777" t="s">
        <v>972</v>
      </c>
      <c r="C313" s="982">
        <v>0.15</v>
      </c>
      <c r="D313" s="982">
        <v>0.15</v>
      </c>
      <c r="E313" s="982">
        <v>0.15</v>
      </c>
      <c r="F313" s="983">
        <v>0.15</v>
      </c>
    </row>
    <row r="314" spans="1:6" ht="24.6" thickBot="1">
      <c r="A314" s="783" t="s">
        <v>534</v>
      </c>
      <c r="B314" s="777" t="s">
        <v>973</v>
      </c>
      <c r="C314" s="995"/>
      <c r="D314" s="995"/>
      <c r="E314" s="995"/>
      <c r="F314" s="983">
        <v>0.05</v>
      </c>
    </row>
    <row r="315" spans="1:6" ht="24.6" thickBot="1">
      <c r="A315" s="783" t="s">
        <v>534</v>
      </c>
      <c r="B315" s="777" t="s">
        <v>974</v>
      </c>
      <c r="C315" s="995"/>
      <c r="D315" s="995"/>
      <c r="E315" s="995"/>
      <c r="F315" s="983">
        <v>0.05</v>
      </c>
    </row>
    <row r="316" spans="1:6" ht="24.6" thickBot="1">
      <c r="A316" s="793" t="s">
        <v>534</v>
      </c>
      <c r="B316" s="789" t="s">
        <v>975</v>
      </c>
      <c r="C316" s="992"/>
      <c r="D316" s="992"/>
      <c r="E316" s="992"/>
      <c r="F316" s="985">
        <v>0.05</v>
      </c>
    </row>
    <row r="317" spans="1:6" ht="15" thickBot="1">
      <c r="A317" s="783" t="s">
        <v>976</v>
      </c>
      <c r="B317" s="784" t="s">
        <v>977</v>
      </c>
      <c r="C317" s="980">
        <v>0.15</v>
      </c>
      <c r="D317" s="980">
        <v>0.15</v>
      </c>
      <c r="E317" s="980">
        <v>0.15</v>
      </c>
      <c r="F317" s="981">
        <v>0.15</v>
      </c>
    </row>
    <row r="318" spans="1:6" ht="15" thickBot="1">
      <c r="A318" s="783" t="s">
        <v>976</v>
      </c>
      <c r="B318" s="777" t="s">
        <v>978</v>
      </c>
      <c r="C318" s="982">
        <v>0.107</v>
      </c>
      <c r="D318" s="982">
        <v>0.11</v>
      </c>
      <c r="E318" s="982">
        <v>0.112</v>
      </c>
      <c r="F318" s="994"/>
    </row>
    <row r="319" spans="1:6" ht="15" thickBot="1">
      <c r="A319" s="783" t="s">
        <v>976</v>
      </c>
      <c r="B319" s="777" t="s">
        <v>979</v>
      </c>
      <c r="C319" s="982">
        <v>0.15</v>
      </c>
      <c r="D319" s="982">
        <v>0.15</v>
      </c>
      <c r="E319" s="982">
        <v>0.15</v>
      </c>
      <c r="F319" s="983">
        <v>0.15</v>
      </c>
    </row>
    <row r="320" spans="1:6" ht="15" thickBot="1">
      <c r="A320" s="783" t="s">
        <v>976</v>
      </c>
      <c r="B320" s="777" t="s">
        <v>223</v>
      </c>
      <c r="C320" s="982">
        <v>0.15</v>
      </c>
      <c r="D320" s="982">
        <v>0.15</v>
      </c>
      <c r="E320" s="982">
        <v>0.15</v>
      </c>
      <c r="F320" s="994"/>
    </row>
    <row r="321" spans="1:6" ht="15" thickBot="1">
      <c r="A321" s="783" t="s">
        <v>976</v>
      </c>
      <c r="B321" s="777" t="s">
        <v>980</v>
      </c>
      <c r="C321" s="982">
        <v>0.15</v>
      </c>
      <c r="D321" s="982">
        <v>0.15</v>
      </c>
      <c r="E321" s="982">
        <v>0.15</v>
      </c>
      <c r="F321" s="994"/>
    </row>
    <row r="322" spans="1:6" ht="15" thickBot="1">
      <c r="A322" s="783" t="s">
        <v>976</v>
      </c>
      <c r="B322" s="777" t="s">
        <v>981</v>
      </c>
      <c r="C322" s="982">
        <v>0.15</v>
      </c>
      <c r="D322" s="982">
        <v>0.15</v>
      </c>
      <c r="E322" s="982">
        <v>0.15</v>
      </c>
      <c r="F322" s="983">
        <v>0.15</v>
      </c>
    </row>
    <row r="323" spans="1:6" ht="15" thickBot="1">
      <c r="A323" s="783" t="s">
        <v>976</v>
      </c>
      <c r="B323" s="777" t="s">
        <v>982</v>
      </c>
      <c r="C323" s="982">
        <v>0.15</v>
      </c>
      <c r="D323" s="982">
        <v>0.15</v>
      </c>
      <c r="E323" s="982">
        <v>0.15</v>
      </c>
      <c r="F323" s="994"/>
    </row>
    <row r="324" spans="1:6" ht="15" thickBot="1">
      <c r="A324" s="783" t="s">
        <v>976</v>
      </c>
      <c r="B324" s="777" t="s">
        <v>983</v>
      </c>
      <c r="C324" s="982">
        <v>0.15</v>
      </c>
      <c r="D324" s="982">
        <v>0.15</v>
      </c>
      <c r="E324" s="982">
        <v>0.15</v>
      </c>
      <c r="F324" s="994"/>
    </row>
    <row r="325" spans="1:6" ht="15" thickBot="1">
      <c r="A325" s="783" t="s">
        <v>976</v>
      </c>
      <c r="B325" s="777" t="s">
        <v>984</v>
      </c>
      <c r="C325" s="982">
        <v>0.15</v>
      </c>
      <c r="D325" s="982">
        <v>0.15</v>
      </c>
      <c r="E325" s="982">
        <v>0.15</v>
      </c>
      <c r="F325" s="983">
        <v>0.14699999999999999</v>
      </c>
    </row>
    <row r="326" spans="1:6" ht="15" thickBot="1">
      <c r="A326" s="783" t="s">
        <v>976</v>
      </c>
      <c r="B326" s="777" t="s">
        <v>290</v>
      </c>
      <c r="C326" s="982">
        <v>0.15</v>
      </c>
      <c r="D326" s="982">
        <v>0.15</v>
      </c>
      <c r="E326" s="982">
        <v>0.15</v>
      </c>
      <c r="F326" s="994"/>
    </row>
    <row r="327" spans="1:6" ht="15" thickBot="1">
      <c r="A327" s="783" t="s">
        <v>976</v>
      </c>
      <c r="B327" s="777" t="s">
        <v>985</v>
      </c>
      <c r="C327" s="982">
        <v>0.15</v>
      </c>
      <c r="D327" s="982">
        <v>0.15</v>
      </c>
      <c r="E327" s="982">
        <v>0.15</v>
      </c>
      <c r="F327" s="983">
        <v>0.15</v>
      </c>
    </row>
    <row r="328" spans="1:6" ht="15" thickBot="1">
      <c r="A328" s="783" t="s">
        <v>976</v>
      </c>
      <c r="B328" s="777" t="s">
        <v>310</v>
      </c>
      <c r="C328" s="982">
        <v>0.15</v>
      </c>
      <c r="D328" s="982">
        <v>0.15</v>
      </c>
      <c r="E328" s="982">
        <v>0.15</v>
      </c>
      <c r="F328" s="983">
        <v>0.14099999999999999</v>
      </c>
    </row>
    <row r="329" spans="1:6" ht="15" thickBot="1">
      <c r="A329" s="783" t="s">
        <v>976</v>
      </c>
      <c r="B329" s="777" t="s">
        <v>320</v>
      </c>
      <c r="C329" s="982">
        <v>0.15</v>
      </c>
      <c r="D329" s="982">
        <v>0.15</v>
      </c>
      <c r="E329" s="982">
        <v>0.15</v>
      </c>
      <c r="F329" s="983">
        <v>0.15</v>
      </c>
    </row>
    <row r="330" spans="1:6" ht="15" thickBot="1">
      <c r="A330" s="783" t="s">
        <v>976</v>
      </c>
      <c r="B330" s="777" t="s">
        <v>331</v>
      </c>
      <c r="C330" s="982">
        <v>0.15</v>
      </c>
      <c r="D330" s="982">
        <v>0.15</v>
      </c>
      <c r="E330" s="982">
        <v>0.15</v>
      </c>
      <c r="F330" s="994"/>
    </row>
    <row r="331" spans="1:6" ht="15" thickBot="1">
      <c r="A331" s="783" t="s">
        <v>976</v>
      </c>
      <c r="B331" s="777" t="s">
        <v>986</v>
      </c>
      <c r="C331" s="982">
        <v>0.15</v>
      </c>
      <c r="D331" s="982">
        <v>0.15</v>
      </c>
      <c r="E331" s="982">
        <v>0.15</v>
      </c>
      <c r="F331" s="983">
        <v>0.15</v>
      </c>
    </row>
    <row r="332" spans="1:6" ht="15" thickBot="1">
      <c r="A332" s="783" t="s">
        <v>976</v>
      </c>
      <c r="B332" s="777" t="s">
        <v>352</v>
      </c>
      <c r="C332" s="982">
        <v>0.15</v>
      </c>
      <c r="D332" s="982">
        <v>0.15</v>
      </c>
      <c r="E332" s="982">
        <v>0.15</v>
      </c>
      <c r="F332" s="983">
        <v>0.15</v>
      </c>
    </row>
    <row r="333" spans="1:6" ht="15" thickBot="1">
      <c r="A333" s="783" t="s">
        <v>976</v>
      </c>
      <c r="B333" s="777" t="s">
        <v>987</v>
      </c>
      <c r="C333" s="982">
        <v>0.15</v>
      </c>
      <c r="D333" s="982">
        <v>0.15</v>
      </c>
      <c r="E333" s="982">
        <v>0.15</v>
      </c>
      <c r="F333" s="983">
        <v>0.14099999999999999</v>
      </c>
    </row>
    <row r="334" spans="1:6" ht="15" thickBot="1">
      <c r="A334" s="783" t="s">
        <v>976</v>
      </c>
      <c r="B334" s="777" t="s">
        <v>372</v>
      </c>
      <c r="C334" s="982">
        <v>0.15</v>
      </c>
      <c r="D334" s="982">
        <v>0.15</v>
      </c>
      <c r="E334" s="982">
        <v>0.15</v>
      </c>
      <c r="F334" s="983">
        <v>0.15</v>
      </c>
    </row>
    <row r="335" spans="1:6" ht="15" thickBot="1">
      <c r="A335" s="783" t="s">
        <v>976</v>
      </c>
      <c r="B335" s="777" t="s">
        <v>382</v>
      </c>
      <c r="C335" s="982">
        <v>0.15</v>
      </c>
      <c r="D335" s="982">
        <v>0.15</v>
      </c>
      <c r="E335" s="982">
        <v>0.15</v>
      </c>
      <c r="F335" s="994"/>
    </row>
    <row r="336" spans="1:6" ht="15" thickBot="1">
      <c r="A336" s="783" t="s">
        <v>976</v>
      </c>
      <c r="B336" s="777" t="s">
        <v>988</v>
      </c>
      <c r="C336" s="982">
        <v>0.15</v>
      </c>
      <c r="D336" s="982">
        <v>0.15</v>
      </c>
      <c r="E336" s="982">
        <v>0.15</v>
      </c>
      <c r="F336" s="983">
        <v>0.11799999999999999</v>
      </c>
    </row>
    <row r="337" spans="1:6" ht="15" thickBot="1">
      <c r="A337" s="793" t="s">
        <v>976</v>
      </c>
      <c r="B337" s="789" t="s">
        <v>400</v>
      </c>
      <c r="C337" s="992"/>
      <c r="D337" s="992"/>
      <c r="E337" s="992"/>
      <c r="F337" s="985">
        <v>0.14299999999999999</v>
      </c>
    </row>
    <row r="338" spans="1:6" ht="15" thickBot="1">
      <c r="A338" s="783" t="s">
        <v>989</v>
      </c>
      <c r="B338" s="784" t="s">
        <v>990</v>
      </c>
      <c r="C338" s="980">
        <v>0.15</v>
      </c>
      <c r="D338" s="980">
        <v>0.15</v>
      </c>
      <c r="E338" s="980">
        <v>0.15</v>
      </c>
      <c r="F338" s="997"/>
    </row>
    <row r="339" spans="1:6" ht="15" thickBot="1">
      <c r="A339" s="783" t="s">
        <v>989</v>
      </c>
      <c r="B339" s="777" t="s">
        <v>991</v>
      </c>
      <c r="C339" s="982">
        <v>0.15</v>
      </c>
      <c r="D339" s="982">
        <v>0.15</v>
      </c>
      <c r="E339" s="982">
        <v>0.15</v>
      </c>
      <c r="F339" s="994"/>
    </row>
    <row r="340" spans="1:6" ht="15" thickBot="1">
      <c r="A340" s="783" t="s">
        <v>989</v>
      </c>
      <c r="B340" s="777" t="s">
        <v>992</v>
      </c>
      <c r="C340" s="982">
        <v>0.15</v>
      </c>
      <c r="D340" s="982">
        <v>0.15</v>
      </c>
      <c r="E340" s="982">
        <v>0.15</v>
      </c>
      <c r="F340" s="994"/>
    </row>
    <row r="341" spans="1:6" ht="15" thickBot="1">
      <c r="A341" s="783" t="s">
        <v>989</v>
      </c>
      <c r="B341" s="777" t="s">
        <v>993</v>
      </c>
      <c r="C341" s="982">
        <v>0.15</v>
      </c>
      <c r="D341" s="982">
        <v>0.15</v>
      </c>
      <c r="E341" s="982">
        <v>0.15</v>
      </c>
      <c r="F341" s="983">
        <v>0.15</v>
      </c>
    </row>
    <row r="342" spans="1:6" ht="15" thickBot="1">
      <c r="A342" s="783" t="s">
        <v>989</v>
      </c>
      <c r="B342" s="777" t="s">
        <v>994</v>
      </c>
      <c r="C342" s="982">
        <v>0.15</v>
      </c>
      <c r="D342" s="982">
        <v>0.15</v>
      </c>
      <c r="E342" s="982">
        <v>0.15</v>
      </c>
      <c r="F342" s="983">
        <v>0.15</v>
      </c>
    </row>
    <row r="343" spans="1:6" ht="15" thickBot="1">
      <c r="A343" s="783" t="s">
        <v>989</v>
      </c>
      <c r="B343" s="777" t="s">
        <v>995</v>
      </c>
      <c r="C343" s="982">
        <v>0.15</v>
      </c>
      <c r="D343" s="982">
        <v>0.15</v>
      </c>
      <c r="E343" s="982">
        <v>0.15</v>
      </c>
      <c r="F343" s="983">
        <v>0.15</v>
      </c>
    </row>
    <row r="344" spans="1:6" ht="15" thickBot="1">
      <c r="A344" s="793" t="s">
        <v>989</v>
      </c>
      <c r="B344" s="789" t="s">
        <v>996</v>
      </c>
      <c r="C344" s="984">
        <v>0.15</v>
      </c>
      <c r="D344" s="984">
        <v>0.15</v>
      </c>
      <c r="E344" s="984">
        <v>0.15</v>
      </c>
      <c r="F344" s="985">
        <v>0.15</v>
      </c>
    </row>
  </sheetData>
  <sheetProtection password="C66D" sheet="1" objects="1" scenarios="1"/>
  <mergeCells count="1">
    <mergeCell ref="A1:B1"/>
  </mergeCells>
  <phoneticPr fontId="9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414" customWidth="1"/>
    <col min="2" max="2" width="13.21875" style="1420" customWidth="1"/>
    <col min="3" max="3" width="15.6640625" style="1420" customWidth="1"/>
    <col min="4" max="4" width="9.33203125" style="1420" bestFit="1" customWidth="1"/>
    <col min="5" max="5" width="13.44140625" style="1420" customWidth="1"/>
    <col min="6" max="6" width="9" style="1420"/>
    <col min="7" max="7" width="9.33203125" style="1420" bestFit="1" customWidth="1"/>
    <col min="8" max="8" width="12.21875" style="1420" customWidth="1"/>
    <col min="9" max="9" width="9" style="1420"/>
    <col min="10" max="10" width="9.33203125" style="1420" bestFit="1" customWidth="1"/>
    <col min="11" max="11" width="4" style="1414" customWidth="1"/>
    <col min="12" max="12" width="5.109375" style="1420" customWidth="1"/>
    <col min="13" max="13" width="13.77734375" style="1420" customWidth="1"/>
    <col min="14" max="256" width="9" style="1420"/>
    <col min="257" max="257" width="4.88671875" style="1411" customWidth="1"/>
    <col min="258" max="258" width="13.21875" style="1411" customWidth="1"/>
    <col min="259" max="259" width="15.6640625" style="1411" customWidth="1"/>
    <col min="260" max="260" width="9.33203125" style="1411" bestFit="1" customWidth="1"/>
    <col min="261" max="261" width="13.44140625" style="1411" customWidth="1"/>
    <col min="262" max="262" width="9" style="1411"/>
    <col min="263" max="263" width="9.33203125" style="1411" bestFit="1" customWidth="1"/>
    <col min="264" max="265" width="9" style="1411"/>
    <col min="266" max="266" width="9.33203125" style="1411" bestFit="1" customWidth="1"/>
    <col min="267" max="267" width="4" style="1411" customWidth="1"/>
    <col min="268" max="268" width="5.109375" style="1411" customWidth="1"/>
    <col min="269" max="269" width="13.77734375" style="1411" customWidth="1"/>
    <col min="270" max="512" width="9" style="1411"/>
    <col min="513" max="513" width="4.88671875" style="1411" customWidth="1"/>
    <col min="514" max="514" width="13.21875" style="1411" customWidth="1"/>
    <col min="515" max="515" width="15.6640625" style="1411" customWidth="1"/>
    <col min="516" max="516" width="9.33203125" style="1411" bestFit="1" customWidth="1"/>
    <col min="517" max="517" width="13.44140625" style="1411" customWidth="1"/>
    <col min="518" max="518" width="9" style="1411"/>
    <col min="519" max="519" width="9.33203125" style="1411" bestFit="1" customWidth="1"/>
    <col min="520" max="521" width="9" style="1411"/>
    <col min="522" max="522" width="9.33203125" style="1411" bestFit="1" customWidth="1"/>
    <col min="523" max="523" width="4" style="1411" customWidth="1"/>
    <col min="524" max="524" width="5.109375" style="1411" customWidth="1"/>
    <col min="525" max="525" width="13.77734375" style="1411" customWidth="1"/>
    <col min="526" max="768" width="9" style="1411"/>
    <col min="769" max="769" width="4.88671875" style="1411" customWidth="1"/>
    <col min="770" max="770" width="13.21875" style="1411" customWidth="1"/>
    <col min="771" max="771" width="15.6640625" style="1411" customWidth="1"/>
    <col min="772" max="772" width="9.33203125" style="1411" bestFit="1" customWidth="1"/>
    <col min="773" max="773" width="13.44140625" style="1411" customWidth="1"/>
    <col min="774" max="774" width="9" style="1411"/>
    <col min="775" max="775" width="9.33203125" style="1411" bestFit="1" customWidth="1"/>
    <col min="776" max="777" width="9" style="1411"/>
    <col min="778" max="778" width="9.33203125" style="1411" bestFit="1" customWidth="1"/>
    <col min="779" max="779" width="4" style="1411" customWidth="1"/>
    <col min="780" max="780" width="5.109375" style="1411" customWidth="1"/>
    <col min="781" max="781" width="13.77734375" style="1411" customWidth="1"/>
    <col min="782" max="1024" width="9" style="1411"/>
    <col min="1025" max="1025" width="4.88671875" style="1411" customWidth="1"/>
    <col min="1026" max="1026" width="13.21875" style="1411" customWidth="1"/>
    <col min="1027" max="1027" width="15.6640625" style="1411" customWidth="1"/>
    <col min="1028" max="1028" width="9.33203125" style="1411" bestFit="1" customWidth="1"/>
    <col min="1029" max="1029" width="13.44140625" style="1411" customWidth="1"/>
    <col min="1030" max="1030" width="9" style="1411"/>
    <col min="1031" max="1031" width="9.33203125" style="1411" bestFit="1" customWidth="1"/>
    <col min="1032" max="1033" width="9" style="1411"/>
    <col min="1034" max="1034" width="9.33203125" style="1411" bestFit="1" customWidth="1"/>
    <col min="1035" max="1035" width="4" style="1411" customWidth="1"/>
    <col min="1036" max="1036" width="5.109375" style="1411" customWidth="1"/>
    <col min="1037" max="1037" width="13.77734375" style="1411" customWidth="1"/>
    <col min="1038" max="1280" width="9" style="1411"/>
    <col min="1281" max="1281" width="4.88671875" style="1411" customWidth="1"/>
    <col min="1282" max="1282" width="13.21875" style="1411" customWidth="1"/>
    <col min="1283" max="1283" width="15.6640625" style="1411" customWidth="1"/>
    <col min="1284" max="1284" width="9.33203125" style="1411" bestFit="1" customWidth="1"/>
    <col min="1285" max="1285" width="13.44140625" style="1411" customWidth="1"/>
    <col min="1286" max="1286" width="9" style="1411"/>
    <col min="1287" max="1287" width="9.33203125" style="1411" bestFit="1" customWidth="1"/>
    <col min="1288" max="1289" width="9" style="1411"/>
    <col min="1290" max="1290" width="9.33203125" style="1411" bestFit="1" customWidth="1"/>
    <col min="1291" max="1291" width="4" style="1411" customWidth="1"/>
    <col min="1292" max="1292" width="5.109375" style="1411" customWidth="1"/>
    <col min="1293" max="1293" width="13.77734375" style="1411" customWidth="1"/>
    <col min="1294" max="1536" width="9" style="1411"/>
    <col min="1537" max="1537" width="4.88671875" style="1411" customWidth="1"/>
    <col min="1538" max="1538" width="13.21875" style="1411" customWidth="1"/>
    <col min="1539" max="1539" width="15.6640625" style="1411" customWidth="1"/>
    <col min="1540" max="1540" width="9.33203125" style="1411" bestFit="1" customWidth="1"/>
    <col min="1541" max="1541" width="13.44140625" style="1411" customWidth="1"/>
    <col min="1542" max="1542" width="9" style="1411"/>
    <col min="1543" max="1543" width="9.33203125" style="1411" bestFit="1" customWidth="1"/>
    <col min="1544" max="1545" width="9" style="1411"/>
    <col min="1546" max="1546" width="9.33203125" style="1411" bestFit="1" customWidth="1"/>
    <col min="1547" max="1547" width="4" style="1411" customWidth="1"/>
    <col min="1548" max="1548" width="5.109375" style="1411" customWidth="1"/>
    <col min="1549" max="1549" width="13.77734375" style="1411" customWidth="1"/>
    <col min="1550" max="1792" width="9" style="1411"/>
    <col min="1793" max="1793" width="4.88671875" style="1411" customWidth="1"/>
    <col min="1794" max="1794" width="13.21875" style="1411" customWidth="1"/>
    <col min="1795" max="1795" width="15.6640625" style="1411" customWidth="1"/>
    <col min="1796" max="1796" width="9.33203125" style="1411" bestFit="1" customWidth="1"/>
    <col min="1797" max="1797" width="13.44140625" style="1411" customWidth="1"/>
    <col min="1798" max="1798" width="9" style="1411"/>
    <col min="1799" max="1799" width="9.33203125" style="1411" bestFit="1" customWidth="1"/>
    <col min="1800" max="1801" width="9" style="1411"/>
    <col min="1802" max="1802" width="9.33203125" style="1411" bestFit="1" customWidth="1"/>
    <col min="1803" max="1803" width="4" style="1411" customWidth="1"/>
    <col min="1804" max="1804" width="5.109375" style="1411" customWidth="1"/>
    <col min="1805" max="1805" width="13.77734375" style="1411" customWidth="1"/>
    <col min="1806" max="2048" width="9" style="1411"/>
    <col min="2049" max="2049" width="4.88671875" style="1411" customWidth="1"/>
    <col min="2050" max="2050" width="13.21875" style="1411" customWidth="1"/>
    <col min="2051" max="2051" width="15.6640625" style="1411" customWidth="1"/>
    <col min="2052" max="2052" width="9.33203125" style="1411" bestFit="1" customWidth="1"/>
    <col min="2053" max="2053" width="13.44140625" style="1411" customWidth="1"/>
    <col min="2054" max="2054" width="9" style="1411"/>
    <col min="2055" max="2055" width="9.33203125" style="1411" bestFit="1" customWidth="1"/>
    <col min="2056" max="2057" width="9" style="1411"/>
    <col min="2058" max="2058" width="9.33203125" style="1411" bestFit="1" customWidth="1"/>
    <col min="2059" max="2059" width="4" style="1411" customWidth="1"/>
    <col min="2060" max="2060" width="5.109375" style="1411" customWidth="1"/>
    <col min="2061" max="2061" width="13.77734375" style="1411" customWidth="1"/>
    <col min="2062" max="2304" width="9" style="1411"/>
    <col min="2305" max="2305" width="4.88671875" style="1411" customWidth="1"/>
    <col min="2306" max="2306" width="13.21875" style="1411" customWidth="1"/>
    <col min="2307" max="2307" width="15.6640625" style="1411" customWidth="1"/>
    <col min="2308" max="2308" width="9.33203125" style="1411" bestFit="1" customWidth="1"/>
    <col min="2309" max="2309" width="13.44140625" style="1411" customWidth="1"/>
    <col min="2310" max="2310" width="9" style="1411"/>
    <col min="2311" max="2311" width="9.33203125" style="1411" bestFit="1" customWidth="1"/>
    <col min="2312" max="2313" width="9" style="1411"/>
    <col min="2314" max="2314" width="9.33203125" style="1411" bestFit="1" customWidth="1"/>
    <col min="2315" max="2315" width="4" style="1411" customWidth="1"/>
    <col min="2316" max="2316" width="5.109375" style="1411" customWidth="1"/>
    <col min="2317" max="2317" width="13.77734375" style="1411" customWidth="1"/>
    <col min="2318" max="2560" width="9" style="1411"/>
    <col min="2561" max="2561" width="4.88671875" style="1411" customWidth="1"/>
    <col min="2562" max="2562" width="13.21875" style="1411" customWidth="1"/>
    <col min="2563" max="2563" width="15.6640625" style="1411" customWidth="1"/>
    <col min="2564" max="2564" width="9.33203125" style="1411" bestFit="1" customWidth="1"/>
    <col min="2565" max="2565" width="13.44140625" style="1411" customWidth="1"/>
    <col min="2566" max="2566" width="9" style="1411"/>
    <col min="2567" max="2567" width="9.33203125" style="1411" bestFit="1" customWidth="1"/>
    <col min="2568" max="2569" width="9" style="1411"/>
    <col min="2570" max="2570" width="9.33203125" style="1411" bestFit="1" customWidth="1"/>
    <col min="2571" max="2571" width="4" style="1411" customWidth="1"/>
    <col min="2572" max="2572" width="5.109375" style="1411" customWidth="1"/>
    <col min="2573" max="2573" width="13.77734375" style="1411" customWidth="1"/>
    <col min="2574" max="2816" width="9" style="1411"/>
    <col min="2817" max="2817" width="4.88671875" style="1411" customWidth="1"/>
    <col min="2818" max="2818" width="13.21875" style="1411" customWidth="1"/>
    <col min="2819" max="2819" width="15.6640625" style="1411" customWidth="1"/>
    <col min="2820" max="2820" width="9.33203125" style="1411" bestFit="1" customWidth="1"/>
    <col min="2821" max="2821" width="13.44140625" style="1411" customWidth="1"/>
    <col min="2822" max="2822" width="9" style="1411"/>
    <col min="2823" max="2823" width="9.33203125" style="1411" bestFit="1" customWidth="1"/>
    <col min="2824" max="2825" width="9" style="1411"/>
    <col min="2826" max="2826" width="9.33203125" style="1411" bestFit="1" customWidth="1"/>
    <col min="2827" max="2827" width="4" style="1411" customWidth="1"/>
    <col min="2828" max="2828" width="5.109375" style="1411" customWidth="1"/>
    <col min="2829" max="2829" width="13.77734375" style="1411" customWidth="1"/>
    <col min="2830" max="3072" width="9" style="1411"/>
    <col min="3073" max="3073" width="4.88671875" style="1411" customWidth="1"/>
    <col min="3074" max="3074" width="13.21875" style="1411" customWidth="1"/>
    <col min="3075" max="3075" width="15.6640625" style="1411" customWidth="1"/>
    <col min="3076" max="3076" width="9.33203125" style="1411" bestFit="1" customWidth="1"/>
    <col min="3077" max="3077" width="13.44140625" style="1411" customWidth="1"/>
    <col min="3078" max="3078" width="9" style="1411"/>
    <col min="3079" max="3079" width="9.33203125" style="1411" bestFit="1" customWidth="1"/>
    <col min="3080" max="3081" width="9" style="1411"/>
    <col min="3082" max="3082" width="9.33203125" style="1411" bestFit="1" customWidth="1"/>
    <col min="3083" max="3083" width="4" style="1411" customWidth="1"/>
    <col min="3084" max="3084" width="5.109375" style="1411" customWidth="1"/>
    <col min="3085" max="3085" width="13.77734375" style="1411" customWidth="1"/>
    <col min="3086" max="3328" width="9" style="1411"/>
    <col min="3329" max="3329" width="4.88671875" style="1411" customWidth="1"/>
    <col min="3330" max="3330" width="13.21875" style="1411" customWidth="1"/>
    <col min="3331" max="3331" width="15.6640625" style="1411" customWidth="1"/>
    <col min="3332" max="3332" width="9.33203125" style="1411" bestFit="1" customWidth="1"/>
    <col min="3333" max="3333" width="13.44140625" style="1411" customWidth="1"/>
    <col min="3334" max="3334" width="9" style="1411"/>
    <col min="3335" max="3335" width="9.33203125" style="1411" bestFit="1" customWidth="1"/>
    <col min="3336" max="3337" width="9" style="1411"/>
    <col min="3338" max="3338" width="9.33203125" style="1411" bestFit="1" customWidth="1"/>
    <col min="3339" max="3339" width="4" style="1411" customWidth="1"/>
    <col min="3340" max="3340" width="5.109375" style="1411" customWidth="1"/>
    <col min="3341" max="3341" width="13.77734375" style="1411" customWidth="1"/>
    <col min="3342" max="3584" width="9" style="1411"/>
    <col min="3585" max="3585" width="4.88671875" style="1411" customWidth="1"/>
    <col min="3586" max="3586" width="13.21875" style="1411" customWidth="1"/>
    <col min="3587" max="3587" width="15.6640625" style="1411" customWidth="1"/>
    <col min="3588" max="3588" width="9.33203125" style="1411" bestFit="1" customWidth="1"/>
    <col min="3589" max="3589" width="13.44140625" style="1411" customWidth="1"/>
    <col min="3590" max="3590" width="9" style="1411"/>
    <col min="3591" max="3591" width="9.33203125" style="1411" bestFit="1" customWidth="1"/>
    <col min="3592" max="3593" width="9" style="1411"/>
    <col min="3594" max="3594" width="9.33203125" style="1411" bestFit="1" customWidth="1"/>
    <col min="3595" max="3595" width="4" style="1411" customWidth="1"/>
    <col min="3596" max="3596" width="5.109375" style="1411" customWidth="1"/>
    <col min="3597" max="3597" width="13.77734375" style="1411" customWidth="1"/>
    <col min="3598" max="3840" width="9" style="1411"/>
    <col min="3841" max="3841" width="4.88671875" style="1411" customWidth="1"/>
    <col min="3842" max="3842" width="13.21875" style="1411" customWidth="1"/>
    <col min="3843" max="3843" width="15.6640625" style="1411" customWidth="1"/>
    <col min="3844" max="3844" width="9.33203125" style="1411" bestFit="1" customWidth="1"/>
    <col min="3845" max="3845" width="13.44140625" style="1411" customWidth="1"/>
    <col min="3846" max="3846" width="9" style="1411"/>
    <col min="3847" max="3847" width="9.33203125" style="1411" bestFit="1" customWidth="1"/>
    <col min="3848" max="3849" width="9" style="1411"/>
    <col min="3850" max="3850" width="9.33203125" style="1411" bestFit="1" customWidth="1"/>
    <col min="3851" max="3851" width="4" style="1411" customWidth="1"/>
    <col min="3852" max="3852" width="5.109375" style="1411" customWidth="1"/>
    <col min="3853" max="3853" width="13.77734375" style="1411" customWidth="1"/>
    <col min="3854" max="4096" width="9" style="1411"/>
    <col min="4097" max="4097" width="4.88671875" style="1411" customWidth="1"/>
    <col min="4098" max="4098" width="13.21875" style="1411" customWidth="1"/>
    <col min="4099" max="4099" width="15.6640625" style="1411" customWidth="1"/>
    <col min="4100" max="4100" width="9.33203125" style="1411" bestFit="1" customWidth="1"/>
    <col min="4101" max="4101" width="13.44140625" style="1411" customWidth="1"/>
    <col min="4102" max="4102" width="9" style="1411"/>
    <col min="4103" max="4103" width="9.33203125" style="1411" bestFit="1" customWidth="1"/>
    <col min="4104" max="4105" width="9" style="1411"/>
    <col min="4106" max="4106" width="9.33203125" style="1411" bestFit="1" customWidth="1"/>
    <col min="4107" max="4107" width="4" style="1411" customWidth="1"/>
    <col min="4108" max="4108" width="5.109375" style="1411" customWidth="1"/>
    <col min="4109" max="4109" width="13.77734375" style="1411" customWidth="1"/>
    <col min="4110" max="4352" width="9" style="1411"/>
    <col min="4353" max="4353" width="4.88671875" style="1411" customWidth="1"/>
    <col min="4354" max="4354" width="13.21875" style="1411" customWidth="1"/>
    <col min="4355" max="4355" width="15.6640625" style="1411" customWidth="1"/>
    <col min="4356" max="4356" width="9.33203125" style="1411" bestFit="1" customWidth="1"/>
    <col min="4357" max="4357" width="13.44140625" style="1411" customWidth="1"/>
    <col min="4358" max="4358" width="9" style="1411"/>
    <col min="4359" max="4359" width="9.33203125" style="1411" bestFit="1" customWidth="1"/>
    <col min="4360" max="4361" width="9" style="1411"/>
    <col min="4362" max="4362" width="9.33203125" style="1411" bestFit="1" customWidth="1"/>
    <col min="4363" max="4363" width="4" style="1411" customWidth="1"/>
    <col min="4364" max="4364" width="5.109375" style="1411" customWidth="1"/>
    <col min="4365" max="4365" width="13.77734375" style="1411" customWidth="1"/>
    <col min="4366" max="4608" width="9" style="1411"/>
    <col min="4609" max="4609" width="4.88671875" style="1411" customWidth="1"/>
    <col min="4610" max="4610" width="13.21875" style="1411" customWidth="1"/>
    <col min="4611" max="4611" width="15.6640625" style="1411" customWidth="1"/>
    <col min="4612" max="4612" width="9.33203125" style="1411" bestFit="1" customWidth="1"/>
    <col min="4613" max="4613" width="13.44140625" style="1411" customWidth="1"/>
    <col min="4614" max="4614" width="9" style="1411"/>
    <col min="4615" max="4615" width="9.33203125" style="1411" bestFit="1" customWidth="1"/>
    <col min="4616" max="4617" width="9" style="1411"/>
    <col min="4618" max="4618" width="9.33203125" style="1411" bestFit="1" customWidth="1"/>
    <col min="4619" max="4619" width="4" style="1411" customWidth="1"/>
    <col min="4620" max="4620" width="5.109375" style="1411" customWidth="1"/>
    <col min="4621" max="4621" width="13.77734375" style="1411" customWidth="1"/>
    <col min="4622" max="4864" width="9" style="1411"/>
    <col min="4865" max="4865" width="4.88671875" style="1411" customWidth="1"/>
    <col min="4866" max="4866" width="13.21875" style="1411" customWidth="1"/>
    <col min="4867" max="4867" width="15.6640625" style="1411" customWidth="1"/>
    <col min="4868" max="4868" width="9.33203125" style="1411" bestFit="1" customWidth="1"/>
    <col min="4869" max="4869" width="13.44140625" style="1411" customWidth="1"/>
    <col min="4870" max="4870" width="9" style="1411"/>
    <col min="4871" max="4871" width="9.33203125" style="1411" bestFit="1" customWidth="1"/>
    <col min="4872" max="4873" width="9" style="1411"/>
    <col min="4874" max="4874" width="9.33203125" style="1411" bestFit="1" customWidth="1"/>
    <col min="4875" max="4875" width="4" style="1411" customWidth="1"/>
    <col min="4876" max="4876" width="5.109375" style="1411" customWidth="1"/>
    <col min="4877" max="4877" width="13.77734375" style="1411" customWidth="1"/>
    <col min="4878" max="5120" width="9" style="1411"/>
    <col min="5121" max="5121" width="4.88671875" style="1411" customWidth="1"/>
    <col min="5122" max="5122" width="13.21875" style="1411" customWidth="1"/>
    <col min="5123" max="5123" width="15.6640625" style="1411" customWidth="1"/>
    <col min="5124" max="5124" width="9.33203125" style="1411" bestFit="1" customWidth="1"/>
    <col min="5125" max="5125" width="13.44140625" style="1411" customWidth="1"/>
    <col min="5126" max="5126" width="9" style="1411"/>
    <col min="5127" max="5127" width="9.33203125" style="1411" bestFit="1" customWidth="1"/>
    <col min="5128" max="5129" width="9" style="1411"/>
    <col min="5130" max="5130" width="9.33203125" style="1411" bestFit="1" customWidth="1"/>
    <col min="5131" max="5131" width="4" style="1411" customWidth="1"/>
    <col min="5132" max="5132" width="5.109375" style="1411" customWidth="1"/>
    <col min="5133" max="5133" width="13.77734375" style="1411" customWidth="1"/>
    <col min="5134" max="5376" width="9" style="1411"/>
    <col min="5377" max="5377" width="4.88671875" style="1411" customWidth="1"/>
    <col min="5378" max="5378" width="13.21875" style="1411" customWidth="1"/>
    <col min="5379" max="5379" width="15.6640625" style="1411" customWidth="1"/>
    <col min="5380" max="5380" width="9.33203125" style="1411" bestFit="1" customWidth="1"/>
    <col min="5381" max="5381" width="13.44140625" style="1411" customWidth="1"/>
    <col min="5382" max="5382" width="9" style="1411"/>
    <col min="5383" max="5383" width="9.33203125" style="1411" bestFit="1" customWidth="1"/>
    <col min="5384" max="5385" width="9" style="1411"/>
    <col min="5386" max="5386" width="9.33203125" style="1411" bestFit="1" customWidth="1"/>
    <col min="5387" max="5387" width="4" style="1411" customWidth="1"/>
    <col min="5388" max="5388" width="5.109375" style="1411" customWidth="1"/>
    <col min="5389" max="5389" width="13.77734375" style="1411" customWidth="1"/>
    <col min="5390" max="5632" width="9" style="1411"/>
    <col min="5633" max="5633" width="4.88671875" style="1411" customWidth="1"/>
    <col min="5634" max="5634" width="13.21875" style="1411" customWidth="1"/>
    <col min="5635" max="5635" width="15.6640625" style="1411" customWidth="1"/>
    <col min="5636" max="5636" width="9.33203125" style="1411" bestFit="1" customWidth="1"/>
    <col min="5637" max="5637" width="13.44140625" style="1411" customWidth="1"/>
    <col min="5638" max="5638" width="9" style="1411"/>
    <col min="5639" max="5639" width="9.33203125" style="1411" bestFit="1" customWidth="1"/>
    <col min="5640" max="5641" width="9" style="1411"/>
    <col min="5642" max="5642" width="9.33203125" style="1411" bestFit="1" customWidth="1"/>
    <col min="5643" max="5643" width="4" style="1411" customWidth="1"/>
    <col min="5644" max="5644" width="5.109375" style="1411" customWidth="1"/>
    <col min="5645" max="5645" width="13.77734375" style="1411" customWidth="1"/>
    <col min="5646" max="5888" width="9" style="1411"/>
    <col min="5889" max="5889" width="4.88671875" style="1411" customWidth="1"/>
    <col min="5890" max="5890" width="13.21875" style="1411" customWidth="1"/>
    <col min="5891" max="5891" width="15.6640625" style="1411" customWidth="1"/>
    <col min="5892" max="5892" width="9.33203125" style="1411" bestFit="1" customWidth="1"/>
    <col min="5893" max="5893" width="13.44140625" style="1411" customWidth="1"/>
    <col min="5894" max="5894" width="9" style="1411"/>
    <col min="5895" max="5895" width="9.33203125" style="1411" bestFit="1" customWidth="1"/>
    <col min="5896" max="5897" width="9" style="1411"/>
    <col min="5898" max="5898" width="9.33203125" style="1411" bestFit="1" customWidth="1"/>
    <col min="5899" max="5899" width="4" style="1411" customWidth="1"/>
    <col min="5900" max="5900" width="5.109375" style="1411" customWidth="1"/>
    <col min="5901" max="5901" width="13.77734375" style="1411" customWidth="1"/>
    <col min="5902" max="6144" width="9" style="1411"/>
    <col min="6145" max="6145" width="4.88671875" style="1411" customWidth="1"/>
    <col min="6146" max="6146" width="13.21875" style="1411" customWidth="1"/>
    <col min="6147" max="6147" width="15.6640625" style="1411" customWidth="1"/>
    <col min="6148" max="6148" width="9.33203125" style="1411" bestFit="1" customWidth="1"/>
    <col min="6149" max="6149" width="13.44140625" style="1411" customWidth="1"/>
    <col min="6150" max="6150" width="9" style="1411"/>
    <col min="6151" max="6151" width="9.33203125" style="1411" bestFit="1" customWidth="1"/>
    <col min="6152" max="6153" width="9" style="1411"/>
    <col min="6154" max="6154" width="9.33203125" style="1411" bestFit="1" customWidth="1"/>
    <col min="6155" max="6155" width="4" style="1411" customWidth="1"/>
    <col min="6156" max="6156" width="5.109375" style="1411" customWidth="1"/>
    <col min="6157" max="6157" width="13.77734375" style="1411" customWidth="1"/>
    <col min="6158" max="6400" width="9" style="1411"/>
    <col min="6401" max="6401" width="4.88671875" style="1411" customWidth="1"/>
    <col min="6402" max="6402" width="13.21875" style="1411" customWidth="1"/>
    <col min="6403" max="6403" width="15.6640625" style="1411" customWidth="1"/>
    <col min="6404" max="6404" width="9.33203125" style="1411" bestFit="1" customWidth="1"/>
    <col min="6405" max="6405" width="13.44140625" style="1411" customWidth="1"/>
    <col min="6406" max="6406" width="9" style="1411"/>
    <col min="6407" max="6407" width="9.33203125" style="1411" bestFit="1" customWidth="1"/>
    <col min="6408" max="6409" width="9" style="1411"/>
    <col min="6410" max="6410" width="9.33203125" style="1411" bestFit="1" customWidth="1"/>
    <col min="6411" max="6411" width="4" style="1411" customWidth="1"/>
    <col min="6412" max="6412" width="5.109375" style="1411" customWidth="1"/>
    <col min="6413" max="6413" width="13.77734375" style="1411" customWidth="1"/>
    <col min="6414" max="6656" width="9" style="1411"/>
    <col min="6657" max="6657" width="4.88671875" style="1411" customWidth="1"/>
    <col min="6658" max="6658" width="13.21875" style="1411" customWidth="1"/>
    <col min="6659" max="6659" width="15.6640625" style="1411" customWidth="1"/>
    <col min="6660" max="6660" width="9.33203125" style="1411" bestFit="1" customWidth="1"/>
    <col min="6661" max="6661" width="13.44140625" style="1411" customWidth="1"/>
    <col min="6662" max="6662" width="9" style="1411"/>
    <col min="6663" max="6663" width="9.33203125" style="1411" bestFit="1" customWidth="1"/>
    <col min="6664" max="6665" width="9" style="1411"/>
    <col min="6666" max="6666" width="9.33203125" style="1411" bestFit="1" customWidth="1"/>
    <col min="6667" max="6667" width="4" style="1411" customWidth="1"/>
    <col min="6668" max="6668" width="5.109375" style="1411" customWidth="1"/>
    <col min="6669" max="6669" width="13.77734375" style="1411" customWidth="1"/>
    <col min="6670" max="6912" width="9" style="1411"/>
    <col min="6913" max="6913" width="4.88671875" style="1411" customWidth="1"/>
    <col min="6914" max="6914" width="13.21875" style="1411" customWidth="1"/>
    <col min="6915" max="6915" width="15.6640625" style="1411" customWidth="1"/>
    <col min="6916" max="6916" width="9.33203125" style="1411" bestFit="1" customWidth="1"/>
    <col min="6917" max="6917" width="13.44140625" style="1411" customWidth="1"/>
    <col min="6918" max="6918" width="9" style="1411"/>
    <col min="6919" max="6919" width="9.33203125" style="1411" bestFit="1" customWidth="1"/>
    <col min="6920" max="6921" width="9" style="1411"/>
    <col min="6922" max="6922" width="9.33203125" style="1411" bestFit="1" customWidth="1"/>
    <col min="6923" max="6923" width="4" style="1411" customWidth="1"/>
    <col min="6924" max="6924" width="5.109375" style="1411" customWidth="1"/>
    <col min="6925" max="6925" width="13.77734375" style="1411" customWidth="1"/>
    <col min="6926" max="7168" width="9" style="1411"/>
    <col min="7169" max="7169" width="4.88671875" style="1411" customWidth="1"/>
    <col min="7170" max="7170" width="13.21875" style="1411" customWidth="1"/>
    <col min="7171" max="7171" width="15.6640625" style="1411" customWidth="1"/>
    <col min="7172" max="7172" width="9.33203125" style="1411" bestFit="1" customWidth="1"/>
    <col min="7173" max="7173" width="13.44140625" style="1411" customWidth="1"/>
    <col min="7174" max="7174" width="9" style="1411"/>
    <col min="7175" max="7175" width="9.33203125" style="1411" bestFit="1" customWidth="1"/>
    <col min="7176" max="7177" width="9" style="1411"/>
    <col min="7178" max="7178" width="9.33203125" style="1411" bestFit="1" customWidth="1"/>
    <col min="7179" max="7179" width="4" style="1411" customWidth="1"/>
    <col min="7180" max="7180" width="5.109375" style="1411" customWidth="1"/>
    <col min="7181" max="7181" width="13.77734375" style="1411" customWidth="1"/>
    <col min="7182" max="7424" width="9" style="1411"/>
    <col min="7425" max="7425" width="4.88671875" style="1411" customWidth="1"/>
    <col min="7426" max="7426" width="13.21875" style="1411" customWidth="1"/>
    <col min="7427" max="7427" width="15.6640625" style="1411" customWidth="1"/>
    <col min="7428" max="7428" width="9.33203125" style="1411" bestFit="1" customWidth="1"/>
    <col min="7429" max="7429" width="13.44140625" style="1411" customWidth="1"/>
    <col min="7430" max="7430" width="9" style="1411"/>
    <col min="7431" max="7431" width="9.33203125" style="1411" bestFit="1" customWidth="1"/>
    <col min="7432" max="7433" width="9" style="1411"/>
    <col min="7434" max="7434" width="9.33203125" style="1411" bestFit="1" customWidth="1"/>
    <col min="7435" max="7435" width="4" style="1411" customWidth="1"/>
    <col min="7436" max="7436" width="5.109375" style="1411" customWidth="1"/>
    <col min="7437" max="7437" width="13.77734375" style="1411" customWidth="1"/>
    <col min="7438" max="7680" width="9" style="1411"/>
    <col min="7681" max="7681" width="4.88671875" style="1411" customWidth="1"/>
    <col min="7682" max="7682" width="13.21875" style="1411" customWidth="1"/>
    <col min="7683" max="7683" width="15.6640625" style="1411" customWidth="1"/>
    <col min="7684" max="7684" width="9.33203125" style="1411" bestFit="1" customWidth="1"/>
    <col min="7685" max="7685" width="13.44140625" style="1411" customWidth="1"/>
    <col min="7686" max="7686" width="9" style="1411"/>
    <col min="7687" max="7687" width="9.33203125" style="1411" bestFit="1" customWidth="1"/>
    <col min="7688" max="7689" width="9" style="1411"/>
    <col min="7690" max="7690" width="9.33203125" style="1411" bestFit="1" customWidth="1"/>
    <col min="7691" max="7691" width="4" style="1411" customWidth="1"/>
    <col min="7692" max="7692" width="5.109375" style="1411" customWidth="1"/>
    <col min="7693" max="7693" width="13.77734375" style="1411" customWidth="1"/>
    <col min="7694" max="7936" width="9" style="1411"/>
    <col min="7937" max="7937" width="4.88671875" style="1411" customWidth="1"/>
    <col min="7938" max="7938" width="13.21875" style="1411" customWidth="1"/>
    <col min="7939" max="7939" width="15.6640625" style="1411" customWidth="1"/>
    <col min="7940" max="7940" width="9.33203125" style="1411" bestFit="1" customWidth="1"/>
    <col min="7941" max="7941" width="13.44140625" style="1411" customWidth="1"/>
    <col min="7942" max="7942" width="9" style="1411"/>
    <col min="7943" max="7943" width="9.33203125" style="1411" bestFit="1" customWidth="1"/>
    <col min="7944" max="7945" width="9" style="1411"/>
    <col min="7946" max="7946" width="9.33203125" style="1411" bestFit="1" customWidth="1"/>
    <col min="7947" max="7947" width="4" style="1411" customWidth="1"/>
    <col min="7948" max="7948" width="5.109375" style="1411" customWidth="1"/>
    <col min="7949" max="7949" width="13.77734375" style="1411" customWidth="1"/>
    <col min="7950" max="8192" width="9" style="1411"/>
    <col min="8193" max="8193" width="4.88671875" style="1411" customWidth="1"/>
    <col min="8194" max="8194" width="13.21875" style="1411" customWidth="1"/>
    <col min="8195" max="8195" width="15.6640625" style="1411" customWidth="1"/>
    <col min="8196" max="8196" width="9.33203125" style="1411" bestFit="1" customWidth="1"/>
    <col min="8197" max="8197" width="13.44140625" style="1411" customWidth="1"/>
    <col min="8198" max="8198" width="9" style="1411"/>
    <col min="8199" max="8199" width="9.33203125" style="1411" bestFit="1" customWidth="1"/>
    <col min="8200" max="8201" width="9" style="1411"/>
    <col min="8202" max="8202" width="9.33203125" style="1411" bestFit="1" customWidth="1"/>
    <col min="8203" max="8203" width="4" style="1411" customWidth="1"/>
    <col min="8204" max="8204" width="5.109375" style="1411" customWidth="1"/>
    <col min="8205" max="8205" width="13.77734375" style="1411" customWidth="1"/>
    <col min="8206" max="8448" width="9" style="1411"/>
    <col min="8449" max="8449" width="4.88671875" style="1411" customWidth="1"/>
    <col min="8450" max="8450" width="13.21875" style="1411" customWidth="1"/>
    <col min="8451" max="8451" width="15.6640625" style="1411" customWidth="1"/>
    <col min="8452" max="8452" width="9.33203125" style="1411" bestFit="1" customWidth="1"/>
    <col min="8453" max="8453" width="13.44140625" style="1411" customWidth="1"/>
    <col min="8454" max="8454" width="9" style="1411"/>
    <col min="8455" max="8455" width="9.33203125" style="1411" bestFit="1" customWidth="1"/>
    <col min="8456" max="8457" width="9" style="1411"/>
    <col min="8458" max="8458" width="9.33203125" style="1411" bestFit="1" customWidth="1"/>
    <col min="8459" max="8459" width="4" style="1411" customWidth="1"/>
    <col min="8460" max="8460" width="5.109375" style="1411" customWidth="1"/>
    <col min="8461" max="8461" width="13.77734375" style="1411" customWidth="1"/>
    <col min="8462" max="8704" width="9" style="1411"/>
    <col min="8705" max="8705" width="4.88671875" style="1411" customWidth="1"/>
    <col min="8706" max="8706" width="13.21875" style="1411" customWidth="1"/>
    <col min="8707" max="8707" width="15.6640625" style="1411" customWidth="1"/>
    <col min="8708" max="8708" width="9.33203125" style="1411" bestFit="1" customWidth="1"/>
    <col min="8709" max="8709" width="13.44140625" style="1411" customWidth="1"/>
    <col min="8710" max="8710" width="9" style="1411"/>
    <col min="8711" max="8711" width="9.33203125" style="1411" bestFit="1" customWidth="1"/>
    <col min="8712" max="8713" width="9" style="1411"/>
    <col min="8714" max="8714" width="9.33203125" style="1411" bestFit="1" customWidth="1"/>
    <col min="8715" max="8715" width="4" style="1411" customWidth="1"/>
    <col min="8716" max="8716" width="5.109375" style="1411" customWidth="1"/>
    <col min="8717" max="8717" width="13.77734375" style="1411" customWidth="1"/>
    <col min="8718" max="8960" width="9" style="1411"/>
    <col min="8961" max="8961" width="4.88671875" style="1411" customWidth="1"/>
    <col min="8962" max="8962" width="13.21875" style="1411" customWidth="1"/>
    <col min="8963" max="8963" width="15.6640625" style="1411" customWidth="1"/>
    <col min="8964" max="8964" width="9.33203125" style="1411" bestFit="1" customWidth="1"/>
    <col min="8965" max="8965" width="13.44140625" style="1411" customWidth="1"/>
    <col min="8966" max="8966" width="9" style="1411"/>
    <col min="8967" max="8967" width="9.33203125" style="1411" bestFit="1" customWidth="1"/>
    <col min="8968" max="8969" width="9" style="1411"/>
    <col min="8970" max="8970" width="9.33203125" style="1411" bestFit="1" customWidth="1"/>
    <col min="8971" max="8971" width="4" style="1411" customWidth="1"/>
    <col min="8972" max="8972" width="5.109375" style="1411" customWidth="1"/>
    <col min="8973" max="8973" width="13.77734375" style="1411" customWidth="1"/>
    <col min="8974" max="9216" width="9" style="1411"/>
    <col min="9217" max="9217" width="4.88671875" style="1411" customWidth="1"/>
    <col min="9218" max="9218" width="13.21875" style="1411" customWidth="1"/>
    <col min="9219" max="9219" width="15.6640625" style="1411" customWidth="1"/>
    <col min="9220" max="9220" width="9.33203125" style="1411" bestFit="1" customWidth="1"/>
    <col min="9221" max="9221" width="13.44140625" style="1411" customWidth="1"/>
    <col min="9222" max="9222" width="9" style="1411"/>
    <col min="9223" max="9223" width="9.33203125" style="1411" bestFit="1" customWidth="1"/>
    <col min="9224" max="9225" width="9" style="1411"/>
    <col min="9226" max="9226" width="9.33203125" style="1411" bestFit="1" customWidth="1"/>
    <col min="9227" max="9227" width="4" style="1411" customWidth="1"/>
    <col min="9228" max="9228" width="5.109375" style="1411" customWidth="1"/>
    <col min="9229" max="9229" width="13.77734375" style="1411" customWidth="1"/>
    <col min="9230" max="9472" width="9" style="1411"/>
    <col min="9473" max="9473" width="4.88671875" style="1411" customWidth="1"/>
    <col min="9474" max="9474" width="13.21875" style="1411" customWidth="1"/>
    <col min="9475" max="9475" width="15.6640625" style="1411" customWidth="1"/>
    <col min="9476" max="9476" width="9.33203125" style="1411" bestFit="1" customWidth="1"/>
    <col min="9477" max="9477" width="13.44140625" style="1411" customWidth="1"/>
    <col min="9478" max="9478" width="9" style="1411"/>
    <col min="9479" max="9479" width="9.33203125" style="1411" bestFit="1" customWidth="1"/>
    <col min="9480" max="9481" width="9" style="1411"/>
    <col min="9482" max="9482" width="9.33203125" style="1411" bestFit="1" customWidth="1"/>
    <col min="9483" max="9483" width="4" style="1411" customWidth="1"/>
    <col min="9484" max="9484" width="5.109375" style="1411" customWidth="1"/>
    <col min="9485" max="9485" width="13.77734375" style="1411" customWidth="1"/>
    <col min="9486" max="9728" width="9" style="1411"/>
    <col min="9729" max="9729" width="4.88671875" style="1411" customWidth="1"/>
    <col min="9730" max="9730" width="13.21875" style="1411" customWidth="1"/>
    <col min="9731" max="9731" width="15.6640625" style="1411" customWidth="1"/>
    <col min="9732" max="9732" width="9.33203125" style="1411" bestFit="1" customWidth="1"/>
    <col min="9733" max="9733" width="13.44140625" style="1411" customWidth="1"/>
    <col min="9734" max="9734" width="9" style="1411"/>
    <col min="9735" max="9735" width="9.33203125" style="1411" bestFit="1" customWidth="1"/>
    <col min="9736" max="9737" width="9" style="1411"/>
    <col min="9738" max="9738" width="9.33203125" style="1411" bestFit="1" customWidth="1"/>
    <col min="9739" max="9739" width="4" style="1411" customWidth="1"/>
    <col min="9740" max="9740" width="5.109375" style="1411" customWidth="1"/>
    <col min="9741" max="9741" width="13.77734375" style="1411" customWidth="1"/>
    <col min="9742" max="9984" width="9" style="1411"/>
    <col min="9985" max="9985" width="4.88671875" style="1411" customWidth="1"/>
    <col min="9986" max="9986" width="13.21875" style="1411" customWidth="1"/>
    <col min="9987" max="9987" width="15.6640625" style="1411" customWidth="1"/>
    <col min="9988" max="9988" width="9.33203125" style="1411" bestFit="1" customWidth="1"/>
    <col min="9989" max="9989" width="13.44140625" style="1411" customWidth="1"/>
    <col min="9990" max="9990" width="9" style="1411"/>
    <col min="9991" max="9991" width="9.33203125" style="1411" bestFit="1" customWidth="1"/>
    <col min="9992" max="9993" width="9" style="1411"/>
    <col min="9994" max="9994" width="9.33203125" style="1411" bestFit="1" customWidth="1"/>
    <col min="9995" max="9995" width="4" style="1411" customWidth="1"/>
    <col min="9996" max="9996" width="5.109375" style="1411" customWidth="1"/>
    <col min="9997" max="9997" width="13.77734375" style="1411" customWidth="1"/>
    <col min="9998" max="10240" width="9" style="1411"/>
    <col min="10241" max="10241" width="4.88671875" style="1411" customWidth="1"/>
    <col min="10242" max="10242" width="13.21875" style="1411" customWidth="1"/>
    <col min="10243" max="10243" width="15.6640625" style="1411" customWidth="1"/>
    <col min="10244" max="10244" width="9.33203125" style="1411" bestFit="1" customWidth="1"/>
    <col min="10245" max="10245" width="13.44140625" style="1411" customWidth="1"/>
    <col min="10246" max="10246" width="9" style="1411"/>
    <col min="10247" max="10247" width="9.33203125" style="1411" bestFit="1" customWidth="1"/>
    <col min="10248" max="10249" width="9" style="1411"/>
    <col min="10250" max="10250" width="9.33203125" style="1411" bestFit="1" customWidth="1"/>
    <col min="10251" max="10251" width="4" style="1411" customWidth="1"/>
    <col min="10252" max="10252" width="5.109375" style="1411" customWidth="1"/>
    <col min="10253" max="10253" width="13.77734375" style="1411" customWidth="1"/>
    <col min="10254" max="10496" width="9" style="1411"/>
    <col min="10497" max="10497" width="4.88671875" style="1411" customWidth="1"/>
    <col min="10498" max="10498" width="13.21875" style="1411" customWidth="1"/>
    <col min="10499" max="10499" width="15.6640625" style="1411" customWidth="1"/>
    <col min="10500" max="10500" width="9.33203125" style="1411" bestFit="1" customWidth="1"/>
    <col min="10501" max="10501" width="13.44140625" style="1411" customWidth="1"/>
    <col min="10502" max="10502" width="9" style="1411"/>
    <col min="10503" max="10503" width="9.33203125" style="1411" bestFit="1" customWidth="1"/>
    <col min="10504" max="10505" width="9" style="1411"/>
    <col min="10506" max="10506" width="9.33203125" style="1411" bestFit="1" customWidth="1"/>
    <col min="10507" max="10507" width="4" style="1411" customWidth="1"/>
    <col min="10508" max="10508" width="5.109375" style="1411" customWidth="1"/>
    <col min="10509" max="10509" width="13.77734375" style="1411" customWidth="1"/>
    <col min="10510" max="10752" width="9" style="1411"/>
    <col min="10753" max="10753" width="4.88671875" style="1411" customWidth="1"/>
    <col min="10754" max="10754" width="13.21875" style="1411" customWidth="1"/>
    <col min="10755" max="10755" width="15.6640625" style="1411" customWidth="1"/>
    <col min="10756" max="10756" width="9.33203125" style="1411" bestFit="1" customWidth="1"/>
    <col min="10757" max="10757" width="13.44140625" style="1411" customWidth="1"/>
    <col min="10758" max="10758" width="9" style="1411"/>
    <col min="10759" max="10759" width="9.33203125" style="1411" bestFit="1" customWidth="1"/>
    <col min="10760" max="10761" width="9" style="1411"/>
    <col min="10762" max="10762" width="9.33203125" style="1411" bestFit="1" customWidth="1"/>
    <col min="10763" max="10763" width="4" style="1411" customWidth="1"/>
    <col min="10764" max="10764" width="5.109375" style="1411" customWidth="1"/>
    <col min="10765" max="10765" width="13.77734375" style="1411" customWidth="1"/>
    <col min="10766" max="11008" width="9" style="1411"/>
    <col min="11009" max="11009" width="4.88671875" style="1411" customWidth="1"/>
    <col min="11010" max="11010" width="13.21875" style="1411" customWidth="1"/>
    <col min="11011" max="11011" width="15.6640625" style="1411" customWidth="1"/>
    <col min="11012" max="11012" width="9.33203125" style="1411" bestFit="1" customWidth="1"/>
    <col min="11013" max="11013" width="13.44140625" style="1411" customWidth="1"/>
    <col min="11014" max="11014" width="9" style="1411"/>
    <col min="11015" max="11015" width="9.33203125" style="1411" bestFit="1" customWidth="1"/>
    <col min="11016" max="11017" width="9" style="1411"/>
    <col min="11018" max="11018" width="9.33203125" style="1411" bestFit="1" customWidth="1"/>
    <col min="11019" max="11019" width="4" style="1411" customWidth="1"/>
    <col min="11020" max="11020" width="5.109375" style="1411" customWidth="1"/>
    <col min="11021" max="11021" width="13.77734375" style="1411" customWidth="1"/>
    <col min="11022" max="11264" width="9" style="1411"/>
    <col min="11265" max="11265" width="4.88671875" style="1411" customWidth="1"/>
    <col min="11266" max="11266" width="13.21875" style="1411" customWidth="1"/>
    <col min="11267" max="11267" width="15.6640625" style="1411" customWidth="1"/>
    <col min="11268" max="11268" width="9.33203125" style="1411" bestFit="1" customWidth="1"/>
    <col min="11269" max="11269" width="13.44140625" style="1411" customWidth="1"/>
    <col min="11270" max="11270" width="9" style="1411"/>
    <col min="11271" max="11271" width="9.33203125" style="1411" bestFit="1" customWidth="1"/>
    <col min="11272" max="11273" width="9" style="1411"/>
    <col min="11274" max="11274" width="9.33203125" style="1411" bestFit="1" customWidth="1"/>
    <col min="11275" max="11275" width="4" style="1411" customWidth="1"/>
    <col min="11276" max="11276" width="5.109375" style="1411" customWidth="1"/>
    <col min="11277" max="11277" width="13.77734375" style="1411" customWidth="1"/>
    <col min="11278" max="11520" width="9" style="1411"/>
    <col min="11521" max="11521" width="4.88671875" style="1411" customWidth="1"/>
    <col min="11522" max="11522" width="13.21875" style="1411" customWidth="1"/>
    <col min="11523" max="11523" width="15.6640625" style="1411" customWidth="1"/>
    <col min="11524" max="11524" width="9.33203125" style="1411" bestFit="1" customWidth="1"/>
    <col min="11525" max="11525" width="13.44140625" style="1411" customWidth="1"/>
    <col min="11526" max="11526" width="9" style="1411"/>
    <col min="11527" max="11527" width="9.33203125" style="1411" bestFit="1" customWidth="1"/>
    <col min="11528" max="11529" width="9" style="1411"/>
    <col min="11530" max="11530" width="9.33203125" style="1411" bestFit="1" customWidth="1"/>
    <col min="11531" max="11531" width="4" style="1411" customWidth="1"/>
    <col min="11532" max="11532" width="5.109375" style="1411" customWidth="1"/>
    <col min="11533" max="11533" width="13.77734375" style="1411" customWidth="1"/>
    <col min="11534" max="11776" width="9" style="1411"/>
    <col min="11777" max="11777" width="4.88671875" style="1411" customWidth="1"/>
    <col min="11778" max="11778" width="13.21875" style="1411" customWidth="1"/>
    <col min="11779" max="11779" width="15.6640625" style="1411" customWidth="1"/>
    <col min="11780" max="11780" width="9.33203125" style="1411" bestFit="1" customWidth="1"/>
    <col min="11781" max="11781" width="13.44140625" style="1411" customWidth="1"/>
    <col min="11782" max="11782" width="9" style="1411"/>
    <col min="11783" max="11783" width="9.33203125" style="1411" bestFit="1" customWidth="1"/>
    <col min="11784" max="11785" width="9" style="1411"/>
    <col min="11786" max="11786" width="9.33203125" style="1411" bestFit="1" customWidth="1"/>
    <col min="11787" max="11787" width="4" style="1411" customWidth="1"/>
    <col min="11788" max="11788" width="5.109375" style="1411" customWidth="1"/>
    <col min="11789" max="11789" width="13.77734375" style="1411" customWidth="1"/>
    <col min="11790" max="12032" width="9" style="1411"/>
    <col min="12033" max="12033" width="4.88671875" style="1411" customWidth="1"/>
    <col min="12034" max="12034" width="13.21875" style="1411" customWidth="1"/>
    <col min="12035" max="12035" width="15.6640625" style="1411" customWidth="1"/>
    <col min="12036" max="12036" width="9.33203125" style="1411" bestFit="1" customWidth="1"/>
    <col min="12037" max="12037" width="13.44140625" style="1411" customWidth="1"/>
    <col min="12038" max="12038" width="9" style="1411"/>
    <col min="12039" max="12039" width="9.33203125" style="1411" bestFit="1" customWidth="1"/>
    <col min="12040" max="12041" width="9" style="1411"/>
    <col min="12042" max="12042" width="9.33203125" style="1411" bestFit="1" customWidth="1"/>
    <col min="12043" max="12043" width="4" style="1411" customWidth="1"/>
    <col min="12044" max="12044" width="5.109375" style="1411" customWidth="1"/>
    <col min="12045" max="12045" width="13.77734375" style="1411" customWidth="1"/>
    <col min="12046" max="12288" width="9" style="1411"/>
    <col min="12289" max="12289" width="4.88671875" style="1411" customWidth="1"/>
    <col min="12290" max="12290" width="13.21875" style="1411" customWidth="1"/>
    <col min="12291" max="12291" width="15.6640625" style="1411" customWidth="1"/>
    <col min="12292" max="12292" width="9.33203125" style="1411" bestFit="1" customWidth="1"/>
    <col min="12293" max="12293" width="13.44140625" style="1411" customWidth="1"/>
    <col min="12294" max="12294" width="9" style="1411"/>
    <col min="12295" max="12295" width="9.33203125" style="1411" bestFit="1" customWidth="1"/>
    <col min="12296" max="12297" width="9" style="1411"/>
    <col min="12298" max="12298" width="9.33203125" style="1411" bestFit="1" customWidth="1"/>
    <col min="12299" max="12299" width="4" style="1411" customWidth="1"/>
    <col min="12300" max="12300" width="5.109375" style="1411" customWidth="1"/>
    <col min="12301" max="12301" width="13.77734375" style="1411" customWidth="1"/>
    <col min="12302" max="12544" width="9" style="1411"/>
    <col min="12545" max="12545" width="4.88671875" style="1411" customWidth="1"/>
    <col min="12546" max="12546" width="13.21875" style="1411" customWidth="1"/>
    <col min="12547" max="12547" width="15.6640625" style="1411" customWidth="1"/>
    <col min="12548" max="12548" width="9.33203125" style="1411" bestFit="1" customWidth="1"/>
    <col min="12549" max="12549" width="13.44140625" style="1411" customWidth="1"/>
    <col min="12550" max="12550" width="9" style="1411"/>
    <col min="12551" max="12551" width="9.33203125" style="1411" bestFit="1" customWidth="1"/>
    <col min="12552" max="12553" width="9" style="1411"/>
    <col min="12554" max="12554" width="9.33203125" style="1411" bestFit="1" customWidth="1"/>
    <col min="12555" max="12555" width="4" style="1411" customWidth="1"/>
    <col min="12556" max="12556" width="5.109375" style="1411" customWidth="1"/>
    <col min="12557" max="12557" width="13.77734375" style="1411" customWidth="1"/>
    <col min="12558" max="12800" width="9" style="1411"/>
    <col min="12801" max="12801" width="4.88671875" style="1411" customWidth="1"/>
    <col min="12802" max="12802" width="13.21875" style="1411" customWidth="1"/>
    <col min="12803" max="12803" width="15.6640625" style="1411" customWidth="1"/>
    <col min="12804" max="12804" width="9.33203125" style="1411" bestFit="1" customWidth="1"/>
    <col min="12805" max="12805" width="13.44140625" style="1411" customWidth="1"/>
    <col min="12806" max="12806" width="9" style="1411"/>
    <col min="12807" max="12807" width="9.33203125" style="1411" bestFit="1" customWidth="1"/>
    <col min="12808" max="12809" width="9" style="1411"/>
    <col min="12810" max="12810" width="9.33203125" style="1411" bestFit="1" customWidth="1"/>
    <col min="12811" max="12811" width="4" style="1411" customWidth="1"/>
    <col min="12812" max="12812" width="5.109375" style="1411" customWidth="1"/>
    <col min="12813" max="12813" width="13.77734375" style="1411" customWidth="1"/>
    <col min="12814" max="13056" width="9" style="1411"/>
    <col min="13057" max="13057" width="4.88671875" style="1411" customWidth="1"/>
    <col min="13058" max="13058" width="13.21875" style="1411" customWidth="1"/>
    <col min="13059" max="13059" width="15.6640625" style="1411" customWidth="1"/>
    <col min="13060" max="13060" width="9.33203125" style="1411" bestFit="1" customWidth="1"/>
    <col min="13061" max="13061" width="13.44140625" style="1411" customWidth="1"/>
    <col min="13062" max="13062" width="9" style="1411"/>
    <col min="13063" max="13063" width="9.33203125" style="1411" bestFit="1" customWidth="1"/>
    <col min="13064" max="13065" width="9" style="1411"/>
    <col min="13066" max="13066" width="9.33203125" style="1411" bestFit="1" customWidth="1"/>
    <col min="13067" max="13067" width="4" style="1411" customWidth="1"/>
    <col min="13068" max="13068" width="5.109375" style="1411" customWidth="1"/>
    <col min="13069" max="13069" width="13.77734375" style="1411" customWidth="1"/>
    <col min="13070" max="13312" width="9" style="1411"/>
    <col min="13313" max="13313" width="4.88671875" style="1411" customWidth="1"/>
    <col min="13314" max="13314" width="13.21875" style="1411" customWidth="1"/>
    <col min="13315" max="13315" width="15.6640625" style="1411" customWidth="1"/>
    <col min="13316" max="13316" width="9.33203125" style="1411" bestFit="1" customWidth="1"/>
    <col min="13317" max="13317" width="13.44140625" style="1411" customWidth="1"/>
    <col min="13318" max="13318" width="9" style="1411"/>
    <col min="13319" max="13319" width="9.33203125" style="1411" bestFit="1" customWidth="1"/>
    <col min="13320" max="13321" width="9" style="1411"/>
    <col min="13322" max="13322" width="9.33203125" style="1411" bestFit="1" customWidth="1"/>
    <col min="13323" max="13323" width="4" style="1411" customWidth="1"/>
    <col min="13324" max="13324" width="5.109375" style="1411" customWidth="1"/>
    <col min="13325" max="13325" width="13.77734375" style="1411" customWidth="1"/>
    <col min="13326" max="13568" width="9" style="1411"/>
    <col min="13569" max="13569" width="4.88671875" style="1411" customWidth="1"/>
    <col min="13570" max="13570" width="13.21875" style="1411" customWidth="1"/>
    <col min="13571" max="13571" width="15.6640625" style="1411" customWidth="1"/>
    <col min="13572" max="13572" width="9.33203125" style="1411" bestFit="1" customWidth="1"/>
    <col min="13573" max="13573" width="13.44140625" style="1411" customWidth="1"/>
    <col min="13574" max="13574" width="9" style="1411"/>
    <col min="13575" max="13575" width="9.33203125" style="1411" bestFit="1" customWidth="1"/>
    <col min="13576" max="13577" width="9" style="1411"/>
    <col min="13578" max="13578" width="9.33203125" style="1411" bestFit="1" customWidth="1"/>
    <col min="13579" max="13579" width="4" style="1411" customWidth="1"/>
    <col min="13580" max="13580" width="5.109375" style="1411" customWidth="1"/>
    <col min="13581" max="13581" width="13.77734375" style="1411" customWidth="1"/>
    <col min="13582" max="13824" width="9" style="1411"/>
    <col min="13825" max="13825" width="4.88671875" style="1411" customWidth="1"/>
    <col min="13826" max="13826" width="13.21875" style="1411" customWidth="1"/>
    <col min="13827" max="13827" width="15.6640625" style="1411" customWidth="1"/>
    <col min="13828" max="13828" width="9.33203125" style="1411" bestFit="1" customWidth="1"/>
    <col min="13829" max="13829" width="13.44140625" style="1411" customWidth="1"/>
    <col min="13830" max="13830" width="9" style="1411"/>
    <col min="13831" max="13831" width="9.33203125" style="1411" bestFit="1" customWidth="1"/>
    <col min="13832" max="13833" width="9" style="1411"/>
    <col min="13834" max="13834" width="9.33203125" style="1411" bestFit="1" customWidth="1"/>
    <col min="13835" max="13835" width="4" style="1411" customWidth="1"/>
    <col min="13836" max="13836" width="5.109375" style="1411" customWidth="1"/>
    <col min="13837" max="13837" width="13.77734375" style="1411" customWidth="1"/>
    <col min="13838" max="14080" width="9" style="1411"/>
    <col min="14081" max="14081" width="4.88671875" style="1411" customWidth="1"/>
    <col min="14082" max="14082" width="13.21875" style="1411" customWidth="1"/>
    <col min="14083" max="14083" width="15.6640625" style="1411" customWidth="1"/>
    <col min="14084" max="14084" width="9.33203125" style="1411" bestFit="1" customWidth="1"/>
    <col min="14085" max="14085" width="13.44140625" style="1411" customWidth="1"/>
    <col min="14086" max="14086" width="9" style="1411"/>
    <col min="14087" max="14087" width="9.33203125" style="1411" bestFit="1" customWidth="1"/>
    <col min="14088" max="14089" width="9" style="1411"/>
    <col min="14090" max="14090" width="9.33203125" style="1411" bestFit="1" customWidth="1"/>
    <col min="14091" max="14091" width="4" style="1411" customWidth="1"/>
    <col min="14092" max="14092" width="5.109375" style="1411" customWidth="1"/>
    <col min="14093" max="14093" width="13.77734375" style="1411" customWidth="1"/>
    <col min="14094" max="14336" width="9" style="1411"/>
    <col min="14337" max="14337" width="4.88671875" style="1411" customWidth="1"/>
    <col min="14338" max="14338" width="13.21875" style="1411" customWidth="1"/>
    <col min="14339" max="14339" width="15.6640625" style="1411" customWidth="1"/>
    <col min="14340" max="14340" width="9.33203125" style="1411" bestFit="1" customWidth="1"/>
    <col min="14341" max="14341" width="13.44140625" style="1411" customWidth="1"/>
    <col min="14342" max="14342" width="9" style="1411"/>
    <col min="14343" max="14343" width="9.33203125" style="1411" bestFit="1" customWidth="1"/>
    <col min="14344" max="14345" width="9" style="1411"/>
    <col min="14346" max="14346" width="9.33203125" style="1411" bestFit="1" customWidth="1"/>
    <col min="14347" max="14347" width="4" style="1411" customWidth="1"/>
    <col min="14348" max="14348" width="5.109375" style="1411" customWidth="1"/>
    <col min="14349" max="14349" width="13.77734375" style="1411" customWidth="1"/>
    <col min="14350" max="14592" width="9" style="1411"/>
    <col min="14593" max="14593" width="4.88671875" style="1411" customWidth="1"/>
    <col min="14594" max="14594" width="13.21875" style="1411" customWidth="1"/>
    <col min="14595" max="14595" width="15.6640625" style="1411" customWidth="1"/>
    <col min="14596" max="14596" width="9.33203125" style="1411" bestFit="1" customWidth="1"/>
    <col min="14597" max="14597" width="13.44140625" style="1411" customWidth="1"/>
    <col min="14598" max="14598" width="9" style="1411"/>
    <col min="14599" max="14599" width="9.33203125" style="1411" bestFit="1" customWidth="1"/>
    <col min="14600" max="14601" width="9" style="1411"/>
    <col min="14602" max="14602" width="9.33203125" style="1411" bestFit="1" customWidth="1"/>
    <col min="14603" max="14603" width="4" style="1411" customWidth="1"/>
    <col min="14604" max="14604" width="5.109375" style="1411" customWidth="1"/>
    <col min="14605" max="14605" width="13.77734375" style="1411" customWidth="1"/>
    <col min="14606" max="14848" width="9" style="1411"/>
    <col min="14849" max="14849" width="4.88671875" style="1411" customWidth="1"/>
    <col min="14850" max="14850" width="13.21875" style="1411" customWidth="1"/>
    <col min="14851" max="14851" width="15.6640625" style="1411" customWidth="1"/>
    <col min="14852" max="14852" width="9.33203125" style="1411" bestFit="1" customWidth="1"/>
    <col min="14853" max="14853" width="13.44140625" style="1411" customWidth="1"/>
    <col min="14854" max="14854" width="9" style="1411"/>
    <col min="14855" max="14855" width="9.33203125" style="1411" bestFit="1" customWidth="1"/>
    <col min="14856" max="14857" width="9" style="1411"/>
    <col min="14858" max="14858" width="9.33203125" style="1411" bestFit="1" customWidth="1"/>
    <col min="14859" max="14859" width="4" style="1411" customWidth="1"/>
    <col min="14860" max="14860" width="5.109375" style="1411" customWidth="1"/>
    <col min="14861" max="14861" width="13.77734375" style="1411" customWidth="1"/>
    <col min="14862" max="15104" width="9" style="1411"/>
    <col min="15105" max="15105" width="4.88671875" style="1411" customWidth="1"/>
    <col min="15106" max="15106" width="13.21875" style="1411" customWidth="1"/>
    <col min="15107" max="15107" width="15.6640625" style="1411" customWidth="1"/>
    <col min="15108" max="15108" width="9.33203125" style="1411" bestFit="1" customWidth="1"/>
    <col min="15109" max="15109" width="13.44140625" style="1411" customWidth="1"/>
    <col min="15110" max="15110" width="9" style="1411"/>
    <col min="15111" max="15111" width="9.33203125" style="1411" bestFit="1" customWidth="1"/>
    <col min="15112" max="15113" width="9" style="1411"/>
    <col min="15114" max="15114" width="9.33203125" style="1411" bestFit="1" customWidth="1"/>
    <col min="15115" max="15115" width="4" style="1411" customWidth="1"/>
    <col min="15116" max="15116" width="5.109375" style="1411" customWidth="1"/>
    <col min="15117" max="15117" width="13.77734375" style="1411" customWidth="1"/>
    <col min="15118" max="15360" width="9" style="1411"/>
    <col min="15361" max="15361" width="4.88671875" style="1411" customWidth="1"/>
    <col min="15362" max="15362" width="13.21875" style="1411" customWidth="1"/>
    <col min="15363" max="15363" width="15.6640625" style="1411" customWidth="1"/>
    <col min="15364" max="15364" width="9.33203125" style="1411" bestFit="1" customWidth="1"/>
    <col min="15365" max="15365" width="13.44140625" style="1411" customWidth="1"/>
    <col min="15366" max="15366" width="9" style="1411"/>
    <col min="15367" max="15367" width="9.33203125" style="1411" bestFit="1" customWidth="1"/>
    <col min="15368" max="15369" width="9" style="1411"/>
    <col min="15370" max="15370" width="9.33203125" style="1411" bestFit="1" customWidth="1"/>
    <col min="15371" max="15371" width="4" style="1411" customWidth="1"/>
    <col min="15372" max="15372" width="5.109375" style="1411" customWidth="1"/>
    <col min="15373" max="15373" width="13.77734375" style="1411" customWidth="1"/>
    <col min="15374" max="15616" width="9" style="1411"/>
    <col min="15617" max="15617" width="4.88671875" style="1411" customWidth="1"/>
    <col min="15618" max="15618" width="13.21875" style="1411" customWidth="1"/>
    <col min="15619" max="15619" width="15.6640625" style="1411" customWidth="1"/>
    <col min="15620" max="15620" width="9.33203125" style="1411" bestFit="1" customWidth="1"/>
    <col min="15621" max="15621" width="13.44140625" style="1411" customWidth="1"/>
    <col min="15622" max="15622" width="9" style="1411"/>
    <col min="15623" max="15623" width="9.33203125" style="1411" bestFit="1" customWidth="1"/>
    <col min="15624" max="15625" width="9" style="1411"/>
    <col min="15626" max="15626" width="9.33203125" style="1411" bestFit="1" customWidth="1"/>
    <col min="15627" max="15627" width="4" style="1411" customWidth="1"/>
    <col min="15628" max="15628" width="5.109375" style="1411" customWidth="1"/>
    <col min="15629" max="15629" width="13.77734375" style="1411" customWidth="1"/>
    <col min="15630" max="15872" width="9" style="1411"/>
    <col min="15873" max="15873" width="4.88671875" style="1411" customWidth="1"/>
    <col min="15874" max="15874" width="13.21875" style="1411" customWidth="1"/>
    <col min="15875" max="15875" width="15.6640625" style="1411" customWidth="1"/>
    <col min="15876" max="15876" width="9.33203125" style="1411" bestFit="1" customWidth="1"/>
    <col min="15877" max="15877" width="13.44140625" style="1411" customWidth="1"/>
    <col min="15878" max="15878" width="9" style="1411"/>
    <col min="15879" max="15879" width="9.33203125" style="1411" bestFit="1" customWidth="1"/>
    <col min="15880" max="15881" width="9" style="1411"/>
    <col min="15882" max="15882" width="9.33203125" style="1411" bestFit="1" customWidth="1"/>
    <col min="15883" max="15883" width="4" style="1411" customWidth="1"/>
    <col min="15884" max="15884" width="5.109375" style="1411" customWidth="1"/>
    <col min="15885" max="15885" width="13.77734375" style="1411" customWidth="1"/>
    <col min="15886" max="16128" width="9" style="1411"/>
    <col min="16129" max="16129" width="4.88671875" style="1411" customWidth="1"/>
    <col min="16130" max="16130" width="13.21875" style="1411" customWidth="1"/>
    <col min="16131" max="16131" width="15.6640625" style="1411" customWidth="1"/>
    <col min="16132" max="16132" width="9.33203125" style="1411" bestFit="1" customWidth="1"/>
    <col min="16133" max="16133" width="13.44140625" style="1411" customWidth="1"/>
    <col min="16134" max="16134" width="9" style="1411"/>
    <col min="16135" max="16135" width="9.33203125" style="1411" bestFit="1" customWidth="1"/>
    <col min="16136" max="16137" width="9" style="1411"/>
    <col min="16138" max="16138" width="9.33203125" style="1411" bestFit="1" customWidth="1"/>
    <col min="16139" max="16139" width="4" style="1411" customWidth="1"/>
    <col min="16140" max="16140" width="5.109375" style="1411" customWidth="1"/>
    <col min="16141" max="16141" width="13.77734375" style="1411" customWidth="1"/>
    <col min="16142" max="16384" width="9" style="1411"/>
  </cols>
  <sheetData>
    <row r="1" spans="1:257" s="1475" customFormat="1" ht="15" thickBot="1">
      <c r="A1" s="1469"/>
      <c r="B1" s="1476" t="s">
        <v>1267</v>
      </c>
      <c r="C1" s="1470">
        <f>项目基本情况!D3</f>
        <v>44063</v>
      </c>
      <c r="D1" s="1476" t="s">
        <v>1268</v>
      </c>
      <c r="E1" s="1471">
        <f>'数据-取费表'!B22</f>
        <v>1.5</v>
      </c>
      <c r="F1" s="1476" t="s">
        <v>1269</v>
      </c>
      <c r="G1" s="1472">
        <f ca="1">INDIRECT("d"&amp;$K$1)/100</f>
        <v>4.7500000000000001E-2</v>
      </c>
      <c r="H1" s="1476" t="s">
        <v>1299</v>
      </c>
      <c r="I1" s="1472">
        <f ca="1">F4/100</f>
        <v>1.4999999999999999E-2</v>
      </c>
      <c r="J1" s="1477">
        <f>IF(C1&gt;C13,0,MATCH(C1,C$13:C$100,-1))+IF(SUMIF(C13:C100,C1,D13:D100)=0,13,12)</f>
        <v>13</v>
      </c>
      <c r="K1" s="1477">
        <f>MATCH(E1,C3:C7,1)+IF(SUMIF(C3:C7,E1,D3:D7)=0,2,1)</f>
        <v>5</v>
      </c>
      <c r="L1" s="1477">
        <f>IF(C1&gt;M13,0,MATCH(C1,M$13:M$100,-1))+IF(SUMIF(M13:M100,C1,N13:N100)=0,13,12)</f>
        <v>13</v>
      </c>
      <c r="M1" s="1469"/>
      <c r="N1" s="1469"/>
      <c r="O1" s="1469"/>
      <c r="P1" s="1469"/>
      <c r="Q1" s="1469"/>
      <c r="R1" s="1469"/>
      <c r="S1" s="1469"/>
      <c r="T1" s="1469"/>
      <c r="U1" s="1469"/>
      <c r="V1" s="1469"/>
      <c r="W1" s="1469"/>
      <c r="X1" s="1469"/>
      <c r="Y1" s="1469"/>
      <c r="Z1" s="1469"/>
      <c r="AA1" s="1473"/>
      <c r="AB1" s="1473"/>
      <c r="AC1" s="1473"/>
      <c r="AD1" s="1473"/>
      <c r="AE1" s="1473"/>
      <c r="AF1" s="1473"/>
      <c r="AG1" s="1473"/>
      <c r="AH1" s="1473"/>
      <c r="AI1" s="1473"/>
      <c r="AJ1" s="1473"/>
      <c r="AK1" s="1473"/>
      <c r="AL1" s="1473"/>
      <c r="AM1" s="1473"/>
      <c r="AN1" s="1473"/>
      <c r="AO1" s="1473"/>
      <c r="AP1" s="1473"/>
      <c r="AQ1" s="1473"/>
      <c r="AR1" s="1473"/>
      <c r="AS1" s="1473"/>
      <c r="AT1" s="1473"/>
      <c r="AU1" s="1473"/>
      <c r="AV1" s="1473"/>
      <c r="AW1" s="1473"/>
      <c r="AX1" s="1473"/>
      <c r="AY1" s="1473"/>
      <c r="AZ1" s="1473"/>
      <c r="BA1" s="1473"/>
      <c r="BB1" s="1473"/>
      <c r="BC1" s="1473"/>
      <c r="BD1" s="1473"/>
      <c r="BE1" s="1473"/>
      <c r="BF1" s="1473"/>
      <c r="BG1" s="1473"/>
      <c r="BH1" s="1473"/>
      <c r="BI1" s="1473"/>
      <c r="BJ1" s="1473"/>
      <c r="BK1" s="1473"/>
      <c r="BL1" s="1473"/>
      <c r="BM1" s="1473"/>
      <c r="BN1" s="1473"/>
      <c r="BO1" s="1473"/>
      <c r="BP1" s="1473"/>
      <c r="BQ1" s="1473"/>
      <c r="BR1" s="1473"/>
      <c r="BS1" s="1473"/>
      <c r="BT1" s="1473"/>
      <c r="BU1" s="1473"/>
      <c r="BV1" s="1473"/>
      <c r="BW1" s="1473"/>
      <c r="BX1" s="1473"/>
      <c r="BY1" s="1473"/>
      <c r="BZ1" s="1473"/>
      <c r="CA1" s="1473"/>
      <c r="CB1" s="1473"/>
      <c r="CC1" s="1473"/>
      <c r="CD1" s="1473"/>
      <c r="CE1" s="1473"/>
      <c r="CF1" s="1473"/>
      <c r="CG1" s="1473"/>
      <c r="CH1" s="1473"/>
      <c r="CI1" s="1473"/>
      <c r="CJ1" s="1473"/>
      <c r="CK1" s="1473"/>
      <c r="CL1" s="1473"/>
      <c r="CM1" s="1473"/>
      <c r="CN1" s="1473"/>
      <c r="CO1" s="1473"/>
      <c r="CP1" s="1473"/>
      <c r="CQ1" s="1473"/>
      <c r="CR1" s="1473"/>
      <c r="CS1" s="1473"/>
      <c r="CT1" s="1473"/>
      <c r="CU1" s="1473"/>
      <c r="CV1" s="1473"/>
      <c r="CW1" s="1473"/>
      <c r="CX1" s="1473"/>
      <c r="CY1" s="1473"/>
      <c r="CZ1" s="1473"/>
      <c r="DA1" s="1473"/>
      <c r="DB1" s="1473"/>
      <c r="DC1" s="1473"/>
      <c r="DD1" s="1473"/>
      <c r="DE1" s="1473"/>
      <c r="DF1" s="1473"/>
      <c r="DG1" s="1473"/>
      <c r="DH1" s="1473"/>
      <c r="DI1" s="1473"/>
      <c r="DJ1" s="1473"/>
      <c r="DK1" s="1473"/>
      <c r="DL1" s="1473"/>
      <c r="DM1" s="1473"/>
      <c r="DN1" s="1473"/>
      <c r="DO1" s="1473"/>
      <c r="DP1" s="1473"/>
      <c r="DQ1" s="1473"/>
      <c r="DR1" s="1473"/>
      <c r="DS1" s="1473"/>
      <c r="DT1" s="1473"/>
      <c r="DU1" s="1473"/>
      <c r="DV1" s="1473"/>
      <c r="DW1" s="1473"/>
      <c r="DX1" s="1473"/>
      <c r="DY1" s="1473"/>
      <c r="DZ1" s="1473"/>
      <c r="EA1" s="1473"/>
      <c r="EB1" s="1473"/>
      <c r="EC1" s="1473"/>
      <c r="ED1" s="1473"/>
      <c r="EE1" s="1473"/>
      <c r="EF1" s="1473"/>
      <c r="EG1" s="1473"/>
      <c r="EH1" s="1473"/>
      <c r="EI1" s="1473"/>
      <c r="EJ1" s="1473"/>
      <c r="EK1" s="1473"/>
      <c r="EL1" s="1473"/>
      <c r="EM1" s="1473"/>
      <c r="EN1" s="1473"/>
      <c r="EO1" s="1473"/>
      <c r="EP1" s="1473"/>
      <c r="EQ1" s="1473"/>
      <c r="ER1" s="1473"/>
      <c r="ES1" s="1473"/>
      <c r="ET1" s="1473"/>
      <c r="EU1" s="1473"/>
      <c r="EV1" s="1473"/>
      <c r="EW1" s="1473"/>
      <c r="EX1" s="1473"/>
      <c r="EY1" s="1473"/>
      <c r="EZ1" s="1473"/>
      <c r="FA1" s="1473"/>
      <c r="FB1" s="1473"/>
      <c r="FC1" s="1473"/>
      <c r="FD1" s="1473"/>
      <c r="FE1" s="1473"/>
      <c r="FF1" s="1473"/>
      <c r="FG1" s="1473"/>
      <c r="FH1" s="1473"/>
      <c r="FI1" s="1473"/>
      <c r="FJ1" s="1473"/>
      <c r="FK1" s="1473"/>
      <c r="FL1" s="1473"/>
      <c r="FM1" s="1473"/>
      <c r="FN1" s="1473"/>
      <c r="FO1" s="1473"/>
      <c r="FP1" s="1473"/>
      <c r="FQ1" s="1473"/>
      <c r="FR1" s="1473"/>
      <c r="FS1" s="1473"/>
      <c r="FT1" s="1473"/>
      <c r="FU1" s="1473"/>
      <c r="FV1" s="1473"/>
      <c r="FW1" s="1473"/>
      <c r="FX1" s="1473"/>
      <c r="FY1" s="1473"/>
      <c r="FZ1" s="1473"/>
      <c r="GA1" s="1473"/>
      <c r="GB1" s="1473"/>
      <c r="GC1" s="1473"/>
      <c r="GD1" s="1473"/>
      <c r="GE1" s="1473"/>
      <c r="GF1" s="1473"/>
      <c r="GG1" s="1473"/>
      <c r="GH1" s="1473"/>
      <c r="GI1" s="1473"/>
      <c r="GJ1" s="1473"/>
      <c r="GK1" s="1473"/>
      <c r="GL1" s="1473"/>
      <c r="GM1" s="1473"/>
      <c r="GN1" s="1473"/>
      <c r="GO1" s="1473"/>
      <c r="GP1" s="1473"/>
      <c r="GQ1" s="1473"/>
      <c r="GR1" s="1473"/>
      <c r="GS1" s="1473"/>
      <c r="GT1" s="1473"/>
      <c r="GU1" s="1473"/>
      <c r="GV1" s="1473"/>
      <c r="GW1" s="1473"/>
      <c r="GX1" s="1473"/>
      <c r="GY1" s="1473"/>
      <c r="GZ1" s="1473"/>
      <c r="HA1" s="1473"/>
      <c r="HB1" s="1473"/>
      <c r="HC1" s="1473"/>
      <c r="HD1" s="1473"/>
      <c r="HE1" s="1473"/>
      <c r="HF1" s="1473"/>
      <c r="HG1" s="1473"/>
      <c r="HH1" s="1473"/>
      <c r="HI1" s="1473"/>
      <c r="HJ1" s="1473"/>
      <c r="HK1" s="1473"/>
      <c r="HL1" s="1473"/>
      <c r="HM1" s="1473"/>
      <c r="HN1" s="1473"/>
      <c r="HO1" s="1473"/>
      <c r="HP1" s="1473"/>
      <c r="HQ1" s="1473"/>
      <c r="HR1" s="1473"/>
      <c r="HS1" s="1473"/>
      <c r="HT1" s="1473"/>
      <c r="HU1" s="1473"/>
      <c r="HV1" s="1473"/>
      <c r="HW1" s="1473"/>
      <c r="HX1" s="1473"/>
      <c r="HY1" s="1473"/>
      <c r="HZ1" s="1473"/>
      <c r="IA1" s="1473"/>
      <c r="IB1" s="1473"/>
      <c r="IC1" s="1473"/>
      <c r="ID1" s="1473"/>
      <c r="IE1" s="1473"/>
      <c r="IF1" s="1473"/>
      <c r="IG1" s="1473"/>
      <c r="IH1" s="1473"/>
      <c r="II1" s="1473"/>
      <c r="IJ1" s="1473"/>
      <c r="IK1" s="1473"/>
      <c r="IL1" s="1473"/>
      <c r="IM1" s="1473"/>
      <c r="IN1" s="1473"/>
      <c r="IO1" s="1473"/>
      <c r="IP1" s="1473"/>
      <c r="IQ1" s="1473"/>
      <c r="IR1" s="1473"/>
      <c r="IS1" s="1473"/>
      <c r="IT1" s="1473"/>
      <c r="IU1" s="1473"/>
      <c r="IV1" s="1473"/>
      <c r="IW1" s="1474"/>
    </row>
    <row r="2" spans="1:257" ht="15.6" thickTop="1" thickBot="1">
      <c r="A2" s="1412"/>
      <c r="B2" s="1412"/>
      <c r="C2" s="1412"/>
      <c r="D2" s="1412" t="s">
        <v>1270</v>
      </c>
      <c r="E2" s="1412"/>
      <c r="F2" s="1412" t="s">
        <v>1271</v>
      </c>
      <c r="G2" s="1413"/>
      <c r="H2" s="1412"/>
      <c r="I2" s="1412"/>
      <c r="J2" s="1412"/>
      <c r="K2" s="1412"/>
      <c r="L2" s="1412"/>
      <c r="M2" s="1412"/>
      <c r="N2" s="1412"/>
      <c r="O2" s="1412"/>
      <c r="P2" s="1412"/>
      <c r="Q2" s="1412"/>
      <c r="R2" s="1412"/>
      <c r="S2" s="1412"/>
      <c r="T2" s="1412"/>
      <c r="U2" s="1412"/>
      <c r="V2" s="1412"/>
      <c r="W2" s="1412"/>
      <c r="X2" s="1412"/>
      <c r="Y2" s="1412"/>
      <c r="Z2" s="1412"/>
      <c r="AA2" s="1412"/>
      <c r="AB2" s="1412"/>
      <c r="AC2" s="1412"/>
      <c r="AD2" s="1412"/>
      <c r="AE2" s="1412"/>
      <c r="AF2" s="1412"/>
      <c r="AG2" s="1412"/>
      <c r="AH2" s="1412"/>
      <c r="AI2" s="1412"/>
      <c r="AJ2" s="1412"/>
      <c r="AK2" s="1412"/>
      <c r="AL2" s="1412"/>
      <c r="AM2" s="1412"/>
      <c r="AN2" s="1412"/>
      <c r="AO2" s="1412"/>
      <c r="AP2" s="1412"/>
      <c r="AQ2" s="1412"/>
      <c r="AR2" s="1412"/>
      <c r="AS2" s="1412"/>
      <c r="AT2" s="1412"/>
      <c r="AU2" s="1412"/>
      <c r="AV2" s="1412"/>
      <c r="AW2" s="1412"/>
      <c r="AX2" s="1412"/>
      <c r="AY2" s="1412"/>
      <c r="AZ2" s="1412"/>
      <c r="BA2" s="1412"/>
      <c r="BB2" s="1412"/>
      <c r="BC2" s="1412"/>
      <c r="BD2" s="1412"/>
      <c r="BE2" s="1412"/>
      <c r="BF2" s="1412"/>
      <c r="BG2" s="1412"/>
      <c r="BH2" s="1412"/>
      <c r="BI2" s="1412"/>
      <c r="BJ2" s="1412"/>
      <c r="BK2" s="1412"/>
      <c r="BL2" s="1412"/>
      <c r="BM2" s="1412"/>
      <c r="BN2" s="1412"/>
      <c r="BO2" s="1412"/>
      <c r="BP2" s="1412"/>
      <c r="BQ2" s="1412"/>
      <c r="BR2" s="1412"/>
      <c r="BS2" s="1412"/>
      <c r="BT2" s="1412"/>
      <c r="BU2" s="1412"/>
      <c r="BV2" s="1412"/>
      <c r="BW2" s="1412"/>
      <c r="BX2" s="1412"/>
      <c r="BY2" s="1412"/>
      <c r="BZ2" s="1412"/>
      <c r="CA2" s="1412"/>
      <c r="CB2" s="1412"/>
      <c r="CC2" s="1412"/>
      <c r="CD2" s="1412"/>
      <c r="CE2" s="1412"/>
      <c r="CF2" s="1412"/>
      <c r="CG2" s="1412"/>
      <c r="CH2" s="1412"/>
      <c r="CI2" s="1412"/>
      <c r="CJ2" s="1412"/>
      <c r="CK2" s="1412"/>
      <c r="CL2" s="1412"/>
      <c r="CM2" s="1412"/>
      <c r="CN2" s="1412"/>
      <c r="CO2" s="1412"/>
      <c r="CP2" s="1412"/>
      <c r="CQ2" s="1412"/>
      <c r="CR2" s="1412"/>
      <c r="CS2" s="1412"/>
      <c r="CT2" s="1412"/>
      <c r="CU2" s="1412"/>
      <c r="CV2" s="1412"/>
      <c r="CW2" s="1412"/>
      <c r="CX2" s="1412"/>
      <c r="CY2" s="1412"/>
      <c r="CZ2" s="1412"/>
      <c r="DA2" s="1412"/>
      <c r="DB2" s="1412"/>
      <c r="DC2" s="1412"/>
      <c r="DD2" s="1412"/>
      <c r="DE2" s="1412"/>
      <c r="DF2" s="1412"/>
      <c r="DG2" s="1412"/>
      <c r="DH2" s="1412"/>
      <c r="DI2" s="1412"/>
      <c r="DJ2" s="1412"/>
      <c r="DK2" s="1412"/>
      <c r="DL2" s="1412"/>
      <c r="DM2" s="1412"/>
      <c r="DN2" s="1412"/>
      <c r="DO2" s="1412"/>
      <c r="DP2" s="1412"/>
      <c r="DQ2" s="1412"/>
      <c r="DR2" s="1412"/>
      <c r="DS2" s="1412"/>
      <c r="DT2" s="1412"/>
      <c r="DU2" s="1412"/>
      <c r="DV2" s="1412"/>
      <c r="DW2" s="1412"/>
      <c r="DX2" s="1412"/>
      <c r="DY2" s="1412"/>
      <c r="DZ2" s="1412"/>
      <c r="EA2" s="1412"/>
      <c r="EB2" s="1412"/>
      <c r="EC2" s="1412"/>
      <c r="ED2" s="1412"/>
      <c r="EE2" s="1412"/>
      <c r="EF2" s="1412"/>
      <c r="EG2" s="1412"/>
      <c r="EH2" s="1412"/>
      <c r="EI2" s="1412"/>
      <c r="EJ2" s="1412"/>
      <c r="EK2" s="1412"/>
      <c r="EL2" s="1412"/>
      <c r="EM2" s="1412"/>
      <c r="EN2" s="1412"/>
      <c r="EO2" s="1412"/>
      <c r="EP2" s="1412"/>
      <c r="EQ2" s="1412"/>
      <c r="ER2" s="1412"/>
      <c r="ES2" s="1412"/>
      <c r="ET2" s="1412"/>
      <c r="EU2" s="1412"/>
      <c r="EV2" s="1412"/>
      <c r="EW2" s="1412"/>
      <c r="EX2" s="1412"/>
      <c r="EY2" s="1412"/>
      <c r="EZ2" s="1412"/>
      <c r="FA2" s="1412"/>
      <c r="FB2" s="1412"/>
      <c r="FC2" s="1412"/>
      <c r="FD2" s="1412"/>
      <c r="FE2" s="1412"/>
      <c r="FF2" s="1412"/>
      <c r="FG2" s="1412"/>
      <c r="FH2" s="1412"/>
      <c r="FI2" s="1412"/>
      <c r="FJ2" s="1412"/>
      <c r="FK2" s="1412"/>
      <c r="FL2" s="1412"/>
      <c r="FM2" s="1412"/>
      <c r="FN2" s="1412"/>
      <c r="FO2" s="1412"/>
      <c r="FP2" s="1412"/>
      <c r="FQ2" s="1412"/>
      <c r="FR2" s="1412"/>
      <c r="FS2" s="1412"/>
      <c r="FT2" s="1412"/>
      <c r="FU2" s="1412"/>
      <c r="FV2" s="1412"/>
      <c r="FW2" s="1412"/>
      <c r="FX2" s="1412"/>
      <c r="FY2" s="1412"/>
      <c r="FZ2" s="1412"/>
      <c r="GA2" s="1412"/>
      <c r="GB2" s="1412"/>
      <c r="GC2" s="1412"/>
      <c r="GD2" s="1412"/>
      <c r="GE2" s="1412"/>
      <c r="GF2" s="1412"/>
      <c r="GG2" s="1412"/>
      <c r="GH2" s="1412"/>
      <c r="GI2" s="1412"/>
      <c r="GJ2" s="1412"/>
      <c r="GK2" s="1412"/>
      <c r="GL2" s="1412"/>
      <c r="GM2" s="1412"/>
      <c r="GN2" s="1412"/>
      <c r="GO2" s="1412"/>
      <c r="GP2" s="1412"/>
      <c r="GQ2" s="1412"/>
      <c r="GR2" s="1412"/>
      <c r="GS2" s="1412"/>
      <c r="GT2" s="1412"/>
      <c r="GU2" s="1412"/>
      <c r="GV2" s="1412"/>
      <c r="GW2" s="1412"/>
      <c r="GX2" s="1412"/>
      <c r="GY2" s="1412"/>
      <c r="GZ2" s="1412"/>
      <c r="HA2" s="1412"/>
      <c r="HB2" s="1412"/>
      <c r="HC2" s="1412"/>
      <c r="HD2" s="1412"/>
      <c r="HE2" s="1412"/>
      <c r="HF2" s="1412"/>
      <c r="HG2" s="1412"/>
      <c r="HH2" s="1412"/>
      <c r="HI2" s="1412"/>
      <c r="HJ2" s="1412"/>
      <c r="HK2" s="1412"/>
      <c r="HL2" s="1412"/>
      <c r="HM2" s="1412"/>
      <c r="HN2" s="1412"/>
      <c r="HO2" s="1412"/>
      <c r="HP2" s="1412"/>
      <c r="HQ2" s="1412"/>
      <c r="HR2" s="1412"/>
      <c r="HS2" s="1412"/>
      <c r="HT2" s="1412"/>
      <c r="HU2" s="1412"/>
      <c r="HV2" s="1412"/>
      <c r="HW2" s="1412"/>
      <c r="HX2" s="1412"/>
      <c r="HY2" s="1412"/>
      <c r="HZ2" s="1412"/>
      <c r="IA2" s="1412"/>
      <c r="IB2" s="1412"/>
      <c r="IC2" s="1412"/>
      <c r="ID2" s="1412"/>
      <c r="IE2" s="1412"/>
      <c r="IF2" s="1412"/>
      <c r="IG2" s="1412"/>
      <c r="IH2" s="1412"/>
      <c r="II2" s="1412"/>
      <c r="IJ2" s="1412"/>
      <c r="IK2" s="1412"/>
      <c r="IL2" s="1412"/>
      <c r="IM2" s="1412"/>
      <c r="IN2" s="1412"/>
      <c r="IO2" s="1412"/>
      <c r="IP2" s="1412"/>
      <c r="IQ2" s="1412"/>
      <c r="IR2" s="1412"/>
      <c r="IS2" s="1412"/>
      <c r="IT2" s="1412"/>
      <c r="IU2" s="1412"/>
      <c r="IV2" s="1412"/>
      <c r="IW2" s="1412"/>
    </row>
    <row r="3" spans="1:257">
      <c r="B3" s="1415" t="s">
        <v>1272</v>
      </c>
      <c r="C3" s="1416">
        <v>0</v>
      </c>
      <c r="D3" s="1417">
        <f ca="1">INDIRECT("d"&amp;$J$1)</f>
        <v>4.3499999999999996</v>
      </c>
      <c r="E3" s="1418">
        <v>0.5</v>
      </c>
      <c r="F3" s="1419">
        <f ca="1">INDIRECT("p"&amp;$L$1)</f>
        <v>1.3</v>
      </c>
      <c r="G3" s="1414"/>
      <c r="H3" s="1414"/>
      <c r="I3" s="1414"/>
      <c r="J3" s="1414"/>
      <c r="L3" s="1414"/>
      <c r="M3" s="1414"/>
      <c r="N3" s="1414"/>
      <c r="O3" s="1414"/>
      <c r="P3" s="1414"/>
      <c r="Q3" s="1414"/>
      <c r="R3" s="1414"/>
      <c r="S3" s="1414"/>
      <c r="T3" s="1414"/>
      <c r="U3" s="1414"/>
      <c r="V3" s="1414"/>
      <c r="W3" s="1414"/>
      <c r="X3" s="1414"/>
      <c r="Y3" s="1414"/>
      <c r="Z3" s="1414"/>
    </row>
    <row r="4" spans="1:257">
      <c r="B4" s="1421" t="s">
        <v>1273</v>
      </c>
      <c r="C4" s="1422">
        <v>0.5</v>
      </c>
      <c r="D4" s="1423">
        <f ca="1">INDIRECT("e"&amp;$J$1)</f>
        <v>4.3499999999999996</v>
      </c>
      <c r="E4" s="1424">
        <v>1</v>
      </c>
      <c r="F4" s="1425">
        <f ca="1">INDIRECT("q"&amp;$L$1)</f>
        <v>1.5</v>
      </c>
      <c r="G4" s="1414"/>
      <c r="H4" s="1414"/>
      <c r="I4" s="1414"/>
      <c r="J4" s="1414"/>
      <c r="L4" s="1414"/>
      <c r="M4" s="1414"/>
      <c r="N4" s="1414"/>
      <c r="O4" s="1414"/>
      <c r="P4" s="1414"/>
      <c r="Q4" s="1414"/>
      <c r="R4" s="1414"/>
      <c r="S4" s="1414"/>
      <c r="T4" s="1414"/>
      <c r="U4" s="1414"/>
      <c r="V4" s="1414"/>
      <c r="W4" s="1414"/>
      <c r="X4" s="1414"/>
      <c r="Y4" s="1414"/>
      <c r="Z4" s="1414"/>
    </row>
    <row r="5" spans="1:257">
      <c r="B5" s="1421" t="s">
        <v>1274</v>
      </c>
      <c r="C5" s="1422">
        <v>1</v>
      </c>
      <c r="D5" s="1423">
        <f ca="1">INDIRECT("f"&amp;$J$1)</f>
        <v>4.75</v>
      </c>
      <c r="E5" s="1424">
        <v>2</v>
      </c>
      <c r="F5" s="1425">
        <f ca="1">INDIRECT("r"&amp;$L$1)</f>
        <v>2.1</v>
      </c>
      <c r="G5" s="1414"/>
      <c r="H5" s="1414"/>
      <c r="I5" s="1414"/>
      <c r="J5" s="1414"/>
      <c r="L5" s="1414"/>
      <c r="M5" s="1414"/>
      <c r="N5" s="1414"/>
      <c r="O5" s="1414"/>
      <c r="P5" s="1414"/>
      <c r="Q5" s="1414"/>
      <c r="R5" s="1414"/>
      <c r="S5" s="1414"/>
      <c r="T5" s="1414"/>
      <c r="U5" s="1414"/>
      <c r="V5" s="1414"/>
      <c r="W5" s="1414"/>
      <c r="X5" s="1414"/>
      <c r="Y5" s="1414"/>
      <c r="Z5" s="1414"/>
    </row>
    <row r="6" spans="1:257">
      <c r="B6" s="1421" t="s">
        <v>1275</v>
      </c>
      <c r="C6" s="1422">
        <v>3</v>
      </c>
      <c r="D6" s="1423">
        <f ca="1">INDIRECT("g"&amp;$J$1)</f>
        <v>4.75</v>
      </c>
      <c r="E6" s="1424">
        <v>3</v>
      </c>
      <c r="F6" s="1425">
        <f ca="1">INDIRECT("s"&amp;$L$1)</f>
        <v>2.75</v>
      </c>
      <c r="G6" s="1414"/>
      <c r="H6" s="1414"/>
      <c r="I6" s="1414"/>
      <c r="J6" s="1414"/>
      <c r="L6" s="1414"/>
      <c r="M6" s="1414"/>
      <c r="N6" s="1414"/>
      <c r="O6" s="1414"/>
      <c r="P6" s="1414"/>
      <c r="Q6" s="1414"/>
      <c r="R6" s="1414"/>
      <c r="S6" s="1414"/>
      <c r="T6" s="1414"/>
      <c r="U6" s="1414"/>
      <c r="V6" s="1414"/>
      <c r="W6" s="1414"/>
      <c r="X6" s="1414"/>
      <c r="Y6" s="1414"/>
      <c r="Z6" s="1414"/>
    </row>
    <row r="7" spans="1:257" ht="15" thickBot="1">
      <c r="B7" s="1426" t="s">
        <v>1276</v>
      </c>
      <c r="C7" s="1427">
        <v>5</v>
      </c>
      <c r="D7" s="1428">
        <f ca="1">INDIRECT("h"&amp;$J$1)</f>
        <v>4.9000000000000004</v>
      </c>
      <c r="E7" s="1429">
        <v>5</v>
      </c>
      <c r="F7" s="1430">
        <f ca="1">INDIRECT("t"&amp;$L$1)</f>
        <v>0</v>
      </c>
      <c r="G7" s="1414"/>
      <c r="H7" s="1414"/>
      <c r="I7" s="1414"/>
      <c r="J7" s="1414"/>
      <c r="L7" s="1414"/>
      <c r="M7" s="1414"/>
      <c r="N7" s="1414"/>
      <c r="O7" s="1414"/>
      <c r="P7" s="1414"/>
      <c r="Q7" s="1414"/>
      <c r="R7" s="1414"/>
      <c r="S7" s="1414"/>
      <c r="T7" s="1414"/>
      <c r="U7" s="1414"/>
      <c r="V7" s="1414"/>
      <c r="W7" s="1414"/>
      <c r="X7" s="1414"/>
      <c r="Y7" s="1414"/>
      <c r="Z7" s="1414"/>
    </row>
    <row r="8" spans="1:257">
      <c r="A8" s="1431"/>
      <c r="B8" s="1432"/>
      <c r="C8" s="1433"/>
      <c r="D8" s="1414"/>
      <c r="E8" s="1414"/>
      <c r="F8" s="1414"/>
      <c r="G8" s="1414"/>
      <c r="H8" s="1414"/>
      <c r="I8" s="1414"/>
      <c r="J8" s="1414"/>
      <c r="L8" s="1414"/>
      <c r="M8" s="1414"/>
      <c r="N8" s="1414"/>
      <c r="O8" s="1414"/>
      <c r="P8" s="1414"/>
      <c r="Q8" s="1414"/>
      <c r="R8" s="1414"/>
      <c r="S8" s="1414"/>
      <c r="T8" s="1414"/>
      <c r="U8" s="1414"/>
      <c r="V8" s="1414"/>
      <c r="W8" s="1414"/>
      <c r="X8" s="1414"/>
      <c r="Y8" s="1414"/>
      <c r="Z8" s="1414"/>
    </row>
    <row r="9" spans="1:257" ht="20.399999999999999">
      <c r="A9" s="1434"/>
      <c r="B9" s="1435" t="s">
        <v>1277</v>
      </c>
      <c r="C9" s="1436"/>
      <c r="D9" s="1437"/>
      <c r="E9" s="1437"/>
      <c r="F9" s="1437"/>
      <c r="G9" s="1437"/>
      <c r="H9" s="1437"/>
      <c r="I9" s="1437"/>
      <c r="J9" s="1437"/>
      <c r="K9" s="1437"/>
      <c r="L9" s="1437"/>
      <c r="M9" s="1437"/>
      <c r="N9" s="1437"/>
      <c r="O9" s="1437"/>
      <c r="P9" s="1437"/>
      <c r="Q9" s="1437"/>
      <c r="R9" s="1437"/>
      <c r="S9" s="1437"/>
      <c r="T9" s="1437"/>
      <c r="U9" s="1437"/>
      <c r="V9" s="1437"/>
      <c r="W9" s="1437"/>
      <c r="X9" s="1437"/>
      <c r="Y9" s="1437"/>
      <c r="Z9" s="1437"/>
      <c r="AA9" s="1438"/>
      <c r="AB9" s="1438"/>
      <c r="AC9" s="1438"/>
      <c r="AD9" s="1438"/>
      <c r="AE9" s="1438"/>
      <c r="AF9" s="1438"/>
      <c r="AG9" s="1438"/>
      <c r="AH9" s="1438"/>
      <c r="AI9" s="1438"/>
      <c r="AJ9" s="1438"/>
      <c r="AK9" s="1438"/>
      <c r="AL9" s="1438"/>
      <c r="AM9" s="1438"/>
      <c r="AN9" s="1438"/>
      <c r="AO9" s="1438"/>
      <c r="AP9" s="1438"/>
      <c r="AQ9" s="1438"/>
      <c r="AR9" s="1438"/>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c r="BP9" s="1438"/>
      <c r="BQ9" s="1438"/>
      <c r="BR9" s="1438"/>
      <c r="BS9" s="1438"/>
      <c r="BT9" s="1438"/>
      <c r="BU9" s="1438"/>
      <c r="BV9" s="1438"/>
      <c r="BW9" s="1438"/>
      <c r="BX9" s="1438"/>
      <c r="BY9" s="1438"/>
      <c r="BZ9" s="1438"/>
      <c r="CA9" s="1438"/>
      <c r="CB9" s="1438"/>
      <c r="CC9" s="1438"/>
      <c r="CD9" s="1438"/>
      <c r="CE9" s="1438"/>
      <c r="CF9" s="1438"/>
      <c r="CG9" s="1438"/>
      <c r="CH9" s="1438"/>
      <c r="CI9" s="1438"/>
      <c r="CJ9" s="1438"/>
      <c r="CK9" s="1438"/>
      <c r="CL9" s="1438"/>
      <c r="CM9" s="1438"/>
      <c r="CN9" s="1438"/>
      <c r="CO9" s="1438"/>
      <c r="CP9" s="1438"/>
      <c r="CQ9" s="1438"/>
      <c r="CR9" s="1438"/>
      <c r="CS9" s="1438"/>
      <c r="CT9" s="1438"/>
      <c r="CU9" s="1438"/>
      <c r="CV9" s="1438"/>
      <c r="CW9" s="1438"/>
      <c r="CX9" s="1438"/>
      <c r="CY9" s="1438"/>
      <c r="CZ9" s="1438"/>
      <c r="DA9" s="1438"/>
      <c r="DB9" s="1438"/>
      <c r="DC9" s="1438"/>
      <c r="DD9" s="1438"/>
      <c r="DE9" s="1438"/>
      <c r="DF9" s="1438"/>
      <c r="DG9" s="1438"/>
      <c r="DH9" s="1438"/>
      <c r="DI9" s="1438"/>
      <c r="DJ9" s="1438"/>
      <c r="DK9" s="1438"/>
      <c r="DL9" s="1438"/>
      <c r="DM9" s="1438"/>
      <c r="DN9" s="1438"/>
      <c r="DO9" s="1438"/>
      <c r="DP9" s="1438"/>
      <c r="DQ9" s="1438"/>
      <c r="DR9" s="1438"/>
      <c r="DS9" s="1438"/>
      <c r="DT9" s="1438"/>
      <c r="DU9" s="1438"/>
      <c r="DV9" s="1438"/>
      <c r="DW9" s="1438"/>
      <c r="DX9" s="1438"/>
      <c r="DY9" s="1438"/>
      <c r="DZ9" s="1438"/>
      <c r="EA9" s="1438"/>
      <c r="EB9" s="1438"/>
      <c r="EC9" s="1438"/>
      <c r="ED9" s="1438"/>
      <c r="EE9" s="1438"/>
      <c r="EF9" s="1438"/>
      <c r="EG9" s="1438"/>
      <c r="EH9" s="1438"/>
      <c r="EI9" s="1438"/>
      <c r="EJ9" s="1438"/>
      <c r="EK9" s="1438"/>
      <c r="EL9" s="1438"/>
      <c r="EM9" s="1438"/>
      <c r="EN9" s="1438"/>
      <c r="EO9" s="1438"/>
      <c r="EP9" s="1438"/>
      <c r="EQ9" s="1438"/>
      <c r="ER9" s="1438"/>
      <c r="ES9" s="1438"/>
      <c r="ET9" s="1438"/>
      <c r="EU9" s="1438"/>
      <c r="EV9" s="1438"/>
      <c r="EW9" s="1438"/>
      <c r="EX9" s="1438"/>
      <c r="EY9" s="1438"/>
      <c r="EZ9" s="1438"/>
      <c r="FA9" s="1438"/>
      <c r="FB9" s="1438"/>
      <c r="FC9" s="1438"/>
      <c r="FD9" s="1438"/>
      <c r="FE9" s="1438"/>
      <c r="FF9" s="1438"/>
      <c r="FG9" s="1438"/>
      <c r="FH9" s="1438"/>
      <c r="FI9" s="1438"/>
      <c r="FJ9" s="1438"/>
      <c r="FK9" s="1438"/>
      <c r="FL9" s="1438"/>
      <c r="FM9" s="1438"/>
      <c r="FN9" s="1438"/>
      <c r="FO9" s="1438"/>
      <c r="FP9" s="1438"/>
      <c r="FQ9" s="1438"/>
      <c r="FR9" s="1438"/>
      <c r="FS9" s="1438"/>
      <c r="FT9" s="1438"/>
      <c r="FU9" s="1438"/>
      <c r="FV9" s="1438"/>
      <c r="FW9" s="1438"/>
      <c r="FX9" s="1438"/>
      <c r="FY9" s="1438"/>
      <c r="FZ9" s="1438"/>
      <c r="GA9" s="1438"/>
      <c r="GB9" s="1438"/>
      <c r="GC9" s="1438"/>
      <c r="GD9" s="1438"/>
      <c r="GE9" s="1438"/>
      <c r="GF9" s="1438"/>
      <c r="GG9" s="1438"/>
      <c r="GH9" s="1438"/>
      <c r="GI9" s="1438"/>
      <c r="GJ9" s="1438"/>
      <c r="GK9" s="1438"/>
      <c r="GL9" s="1438"/>
      <c r="GM9" s="1438"/>
      <c r="GN9" s="1438"/>
      <c r="GO9" s="1438"/>
      <c r="GP9" s="1438"/>
      <c r="GQ9" s="1438"/>
      <c r="GR9" s="1438"/>
      <c r="GS9" s="1438"/>
      <c r="GT9" s="1438"/>
      <c r="GU9" s="1438"/>
      <c r="GV9" s="1438"/>
      <c r="GW9" s="1438"/>
      <c r="GX9" s="1438"/>
      <c r="GY9" s="1438"/>
      <c r="GZ9" s="1438"/>
      <c r="HA9" s="1438"/>
      <c r="HB9" s="1438"/>
      <c r="HC9" s="1438"/>
      <c r="HD9" s="1438"/>
      <c r="HE9" s="1438"/>
      <c r="HF9" s="1438"/>
      <c r="HG9" s="1438"/>
      <c r="HH9" s="1438"/>
      <c r="HI9" s="1438"/>
      <c r="HJ9" s="1438"/>
      <c r="HK9" s="1438"/>
      <c r="HL9" s="1438"/>
      <c r="HM9" s="1438"/>
      <c r="HN9" s="1438"/>
      <c r="HO9" s="1438"/>
      <c r="HP9" s="1438"/>
      <c r="HQ9" s="1438"/>
      <c r="HR9" s="1438"/>
      <c r="HS9" s="1438"/>
      <c r="HT9" s="1438"/>
      <c r="HU9" s="1438"/>
      <c r="HV9" s="1438"/>
      <c r="HW9" s="1438"/>
      <c r="HX9" s="1438"/>
      <c r="HY9" s="1438"/>
      <c r="HZ9" s="1438"/>
      <c r="IA9" s="1438"/>
      <c r="IB9" s="1438"/>
      <c r="IC9" s="1438"/>
      <c r="ID9" s="1438"/>
      <c r="IE9" s="1438"/>
      <c r="IF9" s="1438"/>
      <c r="IG9" s="1438"/>
      <c r="IH9" s="1438"/>
      <c r="II9" s="1438"/>
      <c r="IJ9" s="1438"/>
      <c r="IK9" s="1438"/>
      <c r="IL9" s="1438"/>
      <c r="IM9" s="1438"/>
      <c r="IN9" s="1438"/>
      <c r="IO9" s="1438"/>
      <c r="IP9" s="1438"/>
      <c r="IQ9" s="1438"/>
      <c r="IR9" s="1438"/>
      <c r="IS9" s="1438"/>
      <c r="IT9" s="1438"/>
      <c r="IU9" s="1438"/>
      <c r="IV9" s="1438"/>
      <c r="IW9" s="1439"/>
    </row>
    <row r="10" spans="1:257" ht="22.2">
      <c r="A10" s="1440"/>
      <c r="B10" s="1441" t="s">
        <v>1278</v>
      </c>
      <c r="C10" s="1440"/>
      <c r="D10" s="1440"/>
      <c r="E10" s="1440"/>
      <c r="F10" s="1440"/>
      <c r="G10" s="1440"/>
      <c r="H10" s="1440"/>
      <c r="I10" s="1414"/>
      <c r="J10" s="1414"/>
      <c r="K10" s="1440"/>
      <c r="L10" s="1441" t="s">
        <v>1279</v>
      </c>
      <c r="M10" s="1440"/>
      <c r="N10" s="1440"/>
      <c r="O10" s="1440"/>
      <c r="P10" s="1440"/>
      <c r="Q10" s="1440"/>
      <c r="R10" s="1440"/>
      <c r="S10" s="1440"/>
      <c r="T10" s="1440"/>
      <c r="U10" s="1440"/>
      <c r="V10" s="1440"/>
      <c r="W10" s="1440"/>
      <c r="X10" s="1440"/>
      <c r="Y10" s="1440"/>
      <c r="Z10" s="1440"/>
      <c r="AA10" s="1442"/>
      <c r="AB10" s="1442"/>
      <c r="AC10" s="1442"/>
      <c r="AD10" s="1442"/>
      <c r="AE10" s="1442"/>
      <c r="AF10" s="1442"/>
      <c r="AG10" s="1442"/>
      <c r="AH10" s="1442"/>
      <c r="AI10" s="1442"/>
      <c r="AJ10" s="1442"/>
      <c r="AK10" s="1442"/>
      <c r="AL10" s="1442"/>
      <c r="AM10" s="1442"/>
      <c r="AN10" s="1442"/>
      <c r="AO10" s="1442"/>
      <c r="AP10" s="1442"/>
      <c r="AQ10" s="1442"/>
      <c r="AR10" s="1442"/>
      <c r="AS10" s="1442"/>
      <c r="AT10" s="1442"/>
      <c r="AU10" s="1442"/>
      <c r="AV10" s="1442"/>
      <c r="AW10" s="1442"/>
      <c r="AX10" s="1442"/>
      <c r="AY10" s="1442"/>
      <c r="AZ10" s="1442"/>
      <c r="BA10" s="1442"/>
      <c r="BB10" s="1442"/>
      <c r="BC10" s="1442"/>
      <c r="BD10" s="1442"/>
      <c r="BE10" s="1442"/>
      <c r="BF10" s="1442"/>
      <c r="BG10" s="1442"/>
      <c r="BH10" s="1442"/>
      <c r="BI10" s="1442"/>
      <c r="BJ10" s="1442"/>
      <c r="BK10" s="1442"/>
      <c r="BL10" s="1442"/>
      <c r="BM10" s="1442"/>
      <c r="BN10" s="1442"/>
      <c r="BO10" s="1442"/>
      <c r="BP10" s="1442"/>
      <c r="BQ10" s="1442"/>
      <c r="BR10" s="1442"/>
      <c r="BS10" s="1442"/>
      <c r="BT10" s="1442"/>
      <c r="BU10" s="1442"/>
      <c r="BV10" s="1442"/>
      <c r="BW10" s="1442"/>
      <c r="BX10" s="1442"/>
      <c r="BY10" s="1442"/>
      <c r="BZ10" s="1442"/>
      <c r="CA10" s="1442"/>
      <c r="CB10" s="1442"/>
      <c r="CC10" s="1442"/>
      <c r="CD10" s="1442"/>
      <c r="CE10" s="1442"/>
      <c r="CF10" s="1442"/>
      <c r="CG10" s="1442"/>
      <c r="CH10" s="1442"/>
      <c r="CI10" s="1442"/>
      <c r="CJ10" s="1442"/>
      <c r="CK10" s="1442"/>
      <c r="CL10" s="1442"/>
      <c r="CM10" s="1442"/>
      <c r="CN10" s="1442"/>
      <c r="CO10" s="1442"/>
      <c r="CP10" s="1442"/>
      <c r="CQ10" s="1442"/>
      <c r="CR10" s="1442"/>
      <c r="CS10" s="1442"/>
      <c r="CT10" s="1442"/>
      <c r="CU10" s="1442"/>
      <c r="CV10" s="1442"/>
      <c r="CW10" s="1442"/>
      <c r="CX10" s="1442"/>
      <c r="CY10" s="1442"/>
      <c r="CZ10" s="1442"/>
      <c r="DA10" s="1442"/>
      <c r="DB10" s="1442"/>
      <c r="DC10" s="1442"/>
      <c r="DD10" s="1442"/>
      <c r="DE10" s="1442"/>
      <c r="DF10" s="1442"/>
      <c r="DG10" s="1442"/>
      <c r="DH10" s="1442"/>
      <c r="DI10" s="1442"/>
      <c r="DJ10" s="1442"/>
      <c r="DK10" s="1442"/>
      <c r="DL10" s="1442"/>
      <c r="DM10" s="1442"/>
      <c r="DN10" s="1442"/>
      <c r="DO10" s="1442"/>
      <c r="DP10" s="1442"/>
      <c r="DQ10" s="1442"/>
      <c r="DR10" s="1442"/>
      <c r="DS10" s="1442"/>
      <c r="DT10" s="1442"/>
      <c r="DU10" s="1442"/>
      <c r="DV10" s="1442"/>
      <c r="DW10" s="1442"/>
      <c r="DX10" s="1442"/>
      <c r="DY10" s="1442"/>
      <c r="DZ10" s="1442"/>
      <c r="EA10" s="1442"/>
      <c r="EB10" s="1442"/>
      <c r="EC10" s="1442"/>
      <c r="ED10" s="1442"/>
      <c r="EE10" s="1442"/>
      <c r="EF10" s="1442"/>
      <c r="EG10" s="1442"/>
      <c r="EH10" s="1442"/>
      <c r="EI10" s="1442"/>
      <c r="EJ10" s="1442"/>
      <c r="EK10" s="1442"/>
      <c r="EL10" s="1442"/>
      <c r="EM10" s="1442"/>
      <c r="EN10" s="1442"/>
      <c r="EO10" s="1442"/>
      <c r="EP10" s="1442"/>
      <c r="EQ10" s="1442"/>
      <c r="ER10" s="1442"/>
      <c r="ES10" s="1442"/>
      <c r="ET10" s="1442"/>
      <c r="EU10" s="1442"/>
      <c r="EV10" s="1442"/>
      <c r="EW10" s="1442"/>
      <c r="EX10" s="1442"/>
      <c r="EY10" s="1442"/>
      <c r="EZ10" s="1442"/>
      <c r="FA10" s="1442"/>
      <c r="FB10" s="1442"/>
      <c r="FC10" s="1442"/>
      <c r="FD10" s="1442"/>
      <c r="FE10" s="1442"/>
      <c r="FF10" s="1442"/>
      <c r="FG10" s="1442"/>
      <c r="FH10" s="1442"/>
      <c r="FI10" s="1442"/>
      <c r="FJ10" s="1442"/>
      <c r="FK10" s="1442"/>
      <c r="FL10" s="1442"/>
      <c r="FM10" s="1442"/>
      <c r="FN10" s="1442"/>
      <c r="FO10" s="1442"/>
      <c r="FP10" s="1442"/>
      <c r="FQ10" s="1442"/>
      <c r="FR10" s="1442"/>
      <c r="FS10" s="1442"/>
      <c r="FT10" s="1442"/>
      <c r="FU10" s="1442"/>
      <c r="FV10" s="1442"/>
      <c r="FW10" s="1442"/>
      <c r="FX10" s="1442"/>
      <c r="FY10" s="1442"/>
      <c r="FZ10" s="1442"/>
      <c r="GA10" s="1442"/>
      <c r="GB10" s="1442"/>
      <c r="GC10" s="1442"/>
      <c r="GD10" s="1442"/>
      <c r="GE10" s="1442"/>
      <c r="GF10" s="1442"/>
      <c r="GG10" s="1442"/>
      <c r="GH10" s="1442"/>
      <c r="GI10" s="1442"/>
      <c r="GJ10" s="1442"/>
      <c r="GK10" s="1442"/>
      <c r="GL10" s="1442"/>
      <c r="GM10" s="1442"/>
      <c r="GN10" s="1442"/>
      <c r="GO10" s="1442"/>
      <c r="GP10" s="1442"/>
      <c r="GQ10" s="1442"/>
      <c r="GR10" s="1442"/>
      <c r="GS10" s="1442"/>
      <c r="GT10" s="1442"/>
      <c r="GU10" s="1442"/>
      <c r="GV10" s="1442"/>
      <c r="GW10" s="1442"/>
      <c r="GX10" s="1442"/>
      <c r="GY10" s="1442"/>
      <c r="GZ10" s="1442"/>
      <c r="HA10" s="1442"/>
      <c r="HB10" s="1442"/>
      <c r="HC10" s="1442"/>
      <c r="HD10" s="1442"/>
      <c r="HE10" s="1442"/>
      <c r="HF10" s="1442"/>
      <c r="HG10" s="1442"/>
      <c r="HH10" s="1442"/>
      <c r="HI10" s="1442"/>
      <c r="HJ10" s="1442"/>
      <c r="HK10" s="1442"/>
      <c r="HL10" s="1442"/>
      <c r="HM10" s="1442"/>
      <c r="HN10" s="1442"/>
      <c r="HO10" s="1442"/>
      <c r="HP10" s="1442"/>
      <c r="HQ10" s="1442"/>
      <c r="HR10" s="1442"/>
      <c r="HS10" s="1442"/>
      <c r="HT10" s="1442"/>
      <c r="HU10" s="1442"/>
      <c r="HV10" s="1442"/>
      <c r="HW10" s="1442"/>
      <c r="HX10" s="1442"/>
      <c r="HY10" s="1442"/>
      <c r="HZ10" s="1442"/>
      <c r="IA10" s="1442"/>
      <c r="IB10" s="1442"/>
      <c r="IC10" s="1442"/>
      <c r="ID10" s="1442"/>
      <c r="IE10" s="1442"/>
      <c r="IF10" s="1442"/>
      <c r="IG10" s="1442"/>
      <c r="IH10" s="1442"/>
      <c r="II10" s="1442"/>
      <c r="IJ10" s="1442"/>
      <c r="IK10" s="1442"/>
      <c r="IL10" s="1442"/>
      <c r="IM10" s="1442"/>
      <c r="IN10" s="1442"/>
      <c r="IO10" s="1442"/>
      <c r="IP10" s="1442"/>
      <c r="IQ10" s="1442"/>
      <c r="IR10" s="1442"/>
      <c r="IS10" s="1442"/>
      <c r="IT10" s="1442"/>
      <c r="IU10" s="1442"/>
      <c r="IV10" s="1442"/>
    </row>
    <row r="11" spans="1:257">
      <c r="A11" s="1443"/>
      <c r="B11" s="1444" t="s">
        <v>1280</v>
      </c>
      <c r="C11" s="1445" t="s">
        <v>1281</v>
      </c>
      <c r="D11" s="1446" t="s">
        <v>1282</v>
      </c>
      <c r="E11" s="1447"/>
      <c r="F11" s="1446" t="s">
        <v>1283</v>
      </c>
      <c r="G11" s="1448"/>
      <c r="H11" s="1447"/>
      <c r="I11" s="1446" t="s">
        <v>1284</v>
      </c>
      <c r="J11" s="1447"/>
      <c r="K11" s="1443"/>
      <c r="L11" s="1444" t="s">
        <v>1280</v>
      </c>
      <c r="M11" s="1445" t="s">
        <v>1281</v>
      </c>
      <c r="N11" s="1444" t="s">
        <v>1285</v>
      </c>
      <c r="O11" s="1446" t="s">
        <v>1286</v>
      </c>
      <c r="P11" s="1448"/>
      <c r="Q11" s="1448"/>
      <c r="R11" s="1448"/>
      <c r="S11" s="1448"/>
      <c r="T11" s="1447"/>
      <c r="U11" s="1446" t="s">
        <v>1287</v>
      </c>
      <c r="V11" s="1448"/>
      <c r="W11" s="1447"/>
      <c r="X11" s="1444" t="s">
        <v>1288</v>
      </c>
      <c r="Y11" s="1444" t="s">
        <v>1289</v>
      </c>
      <c r="Z11" s="1444" t="s">
        <v>1290</v>
      </c>
      <c r="AA11" s="1449"/>
      <c r="AB11" s="1449"/>
      <c r="AC11" s="1449"/>
      <c r="AD11" s="1449"/>
      <c r="AE11" s="1449"/>
      <c r="AF11" s="1449"/>
      <c r="AG11" s="1449"/>
      <c r="AH11" s="1449"/>
      <c r="AI11" s="1449"/>
      <c r="AJ11" s="1449"/>
      <c r="AK11" s="1449"/>
      <c r="AL11" s="1449"/>
      <c r="AM11" s="1449"/>
      <c r="AN11" s="1449"/>
      <c r="AO11" s="1449"/>
      <c r="AP11" s="1449"/>
      <c r="AQ11" s="1449"/>
      <c r="AR11" s="1449"/>
      <c r="AS11" s="1449"/>
      <c r="AT11" s="1449"/>
      <c r="AU11" s="1449"/>
      <c r="AV11" s="1449"/>
      <c r="AW11" s="1449"/>
      <c r="AX11" s="1449"/>
      <c r="AY11" s="1449"/>
      <c r="AZ11" s="1449"/>
      <c r="BA11" s="1449"/>
      <c r="BB11" s="1449"/>
      <c r="BC11" s="1449"/>
      <c r="BD11" s="1449"/>
      <c r="BE11" s="1449"/>
      <c r="BF11" s="1449"/>
      <c r="BG11" s="1449"/>
      <c r="BH11" s="1449"/>
      <c r="BI11" s="1449"/>
      <c r="BJ11" s="1449"/>
      <c r="BK11" s="1449"/>
      <c r="BL11" s="1449"/>
      <c r="BM11" s="1449"/>
      <c r="BN11" s="1449"/>
      <c r="BO11" s="1449"/>
      <c r="BP11" s="1449"/>
      <c r="BQ11" s="1449"/>
      <c r="BR11" s="1449"/>
      <c r="BS11" s="1449"/>
      <c r="BT11" s="1449"/>
      <c r="BU11" s="1449"/>
      <c r="BV11" s="1449"/>
      <c r="BW11" s="1449"/>
      <c r="BX11" s="1449"/>
      <c r="BY11" s="1449"/>
      <c r="BZ11" s="1449"/>
      <c r="CA11" s="1449"/>
      <c r="CB11" s="1449"/>
      <c r="CC11" s="1449"/>
      <c r="CD11" s="1449"/>
      <c r="CE11" s="1449"/>
      <c r="CF11" s="1449"/>
      <c r="CG11" s="1449"/>
      <c r="CH11" s="1449"/>
      <c r="CI11" s="1449"/>
      <c r="CJ11" s="1449"/>
      <c r="CK11" s="1449"/>
      <c r="CL11" s="1449"/>
      <c r="CM11" s="1449"/>
      <c r="CN11" s="1449"/>
      <c r="CO11" s="1449"/>
      <c r="CP11" s="1449"/>
      <c r="CQ11" s="1449"/>
      <c r="CR11" s="1449"/>
      <c r="CS11" s="1449"/>
      <c r="CT11" s="1449"/>
      <c r="CU11" s="1449"/>
      <c r="CV11" s="1449"/>
      <c r="CW11" s="1449"/>
      <c r="CX11" s="1449"/>
      <c r="CY11" s="1449"/>
      <c r="CZ11" s="1449"/>
      <c r="DA11" s="1449"/>
      <c r="DB11" s="1449"/>
      <c r="DC11" s="1449"/>
      <c r="DD11" s="1449"/>
      <c r="DE11" s="1449"/>
      <c r="DF11" s="1449"/>
      <c r="DG11" s="1449"/>
      <c r="DH11" s="1449"/>
      <c r="DI11" s="1449"/>
      <c r="DJ11" s="1449"/>
      <c r="DK11" s="1449"/>
      <c r="DL11" s="1449"/>
      <c r="DM11" s="1449"/>
      <c r="DN11" s="1449"/>
      <c r="DO11" s="1449"/>
      <c r="DP11" s="1449"/>
      <c r="DQ11" s="1449"/>
      <c r="DR11" s="1449"/>
      <c r="DS11" s="1449"/>
      <c r="DT11" s="1449"/>
      <c r="DU11" s="1449"/>
      <c r="DV11" s="1449"/>
      <c r="DW11" s="1449"/>
      <c r="DX11" s="1449"/>
      <c r="DY11" s="1449"/>
      <c r="DZ11" s="1449"/>
      <c r="EA11" s="1449"/>
      <c r="EB11" s="1449"/>
      <c r="EC11" s="1449"/>
      <c r="ED11" s="1449"/>
      <c r="EE11" s="1449"/>
      <c r="EF11" s="1449"/>
      <c r="EG11" s="1449"/>
      <c r="EH11" s="1449"/>
      <c r="EI11" s="1449"/>
      <c r="EJ11" s="1449"/>
      <c r="EK11" s="1449"/>
      <c r="EL11" s="1449"/>
      <c r="EM11" s="1449"/>
      <c r="EN11" s="1449"/>
      <c r="EO11" s="1449"/>
      <c r="EP11" s="1449"/>
      <c r="EQ11" s="1449"/>
      <c r="ER11" s="1449"/>
      <c r="ES11" s="1449"/>
      <c r="ET11" s="1449"/>
      <c r="EU11" s="1449"/>
      <c r="EV11" s="1449"/>
      <c r="EW11" s="1449"/>
      <c r="EX11" s="1449"/>
      <c r="EY11" s="1449"/>
      <c r="EZ11" s="1449"/>
      <c r="FA11" s="1449"/>
      <c r="FB11" s="1449"/>
      <c r="FC11" s="1449"/>
      <c r="FD11" s="1449"/>
      <c r="FE11" s="1449"/>
      <c r="FF11" s="1449"/>
      <c r="FG11" s="1449"/>
      <c r="FH11" s="1449"/>
      <c r="FI11" s="1449"/>
      <c r="FJ11" s="1449"/>
      <c r="FK11" s="1449"/>
      <c r="FL11" s="1449"/>
      <c r="FM11" s="1449"/>
      <c r="FN11" s="1449"/>
      <c r="FO11" s="1449"/>
      <c r="FP11" s="1449"/>
      <c r="FQ11" s="1449"/>
      <c r="FR11" s="1449"/>
      <c r="FS11" s="1449"/>
      <c r="FT11" s="1449"/>
      <c r="FU11" s="1449"/>
      <c r="FV11" s="1449"/>
      <c r="FW11" s="1449"/>
      <c r="FX11" s="1449"/>
      <c r="FY11" s="1449"/>
      <c r="FZ11" s="1449"/>
      <c r="GA11" s="1449"/>
      <c r="GB11" s="1449"/>
      <c r="GC11" s="1449"/>
      <c r="GD11" s="1449"/>
      <c r="GE11" s="1449"/>
      <c r="GF11" s="1449"/>
      <c r="GG11" s="1449"/>
      <c r="GH11" s="1449"/>
      <c r="GI11" s="1449"/>
      <c r="GJ11" s="1449"/>
      <c r="GK11" s="1449"/>
      <c r="GL11" s="1449"/>
      <c r="GM11" s="1449"/>
      <c r="GN11" s="1449"/>
      <c r="GO11" s="1449"/>
      <c r="GP11" s="1449"/>
      <c r="GQ11" s="1449"/>
      <c r="GR11" s="1449"/>
      <c r="GS11" s="1449"/>
      <c r="GT11" s="1449"/>
      <c r="GU11" s="1449"/>
      <c r="GV11" s="1449"/>
      <c r="GW11" s="1449"/>
      <c r="GX11" s="1449"/>
      <c r="GY11" s="1449"/>
      <c r="GZ11" s="1449"/>
      <c r="HA11" s="1449"/>
      <c r="HB11" s="1449"/>
      <c r="HC11" s="1449"/>
      <c r="HD11" s="1449"/>
      <c r="HE11" s="1449"/>
      <c r="HF11" s="1449"/>
      <c r="HG11" s="1449"/>
      <c r="HH11" s="1449"/>
      <c r="HI11" s="1449"/>
      <c r="HJ11" s="1449"/>
      <c r="HK11" s="1449"/>
      <c r="HL11" s="1449"/>
      <c r="HM11" s="1449"/>
      <c r="HN11" s="1449"/>
      <c r="HO11" s="1449"/>
      <c r="HP11" s="1449"/>
      <c r="HQ11" s="1449"/>
      <c r="HR11" s="1449"/>
      <c r="HS11" s="1449"/>
      <c r="HT11" s="1449"/>
      <c r="HU11" s="1449"/>
      <c r="HV11" s="1449"/>
      <c r="HW11" s="1449"/>
      <c r="HX11" s="1449"/>
      <c r="HY11" s="1449"/>
      <c r="HZ11" s="1449"/>
      <c r="IA11" s="1449"/>
      <c r="IB11" s="1449"/>
      <c r="IC11" s="1449"/>
      <c r="ID11" s="1449"/>
      <c r="IE11" s="1449"/>
      <c r="IF11" s="1449"/>
      <c r="IG11" s="1449"/>
      <c r="IH11" s="1449"/>
      <c r="II11" s="1449"/>
      <c r="IJ11" s="1449"/>
      <c r="IK11" s="1449"/>
      <c r="IL11" s="1449"/>
      <c r="IM11" s="1449"/>
      <c r="IN11" s="1449"/>
      <c r="IO11" s="1449"/>
      <c r="IP11" s="1449"/>
      <c r="IQ11" s="1449"/>
      <c r="IR11" s="1449"/>
      <c r="IS11" s="1449"/>
      <c r="IT11" s="1449"/>
      <c r="IU11" s="1449"/>
      <c r="IV11" s="1449"/>
    </row>
    <row r="12" spans="1:257">
      <c r="A12" s="1450"/>
      <c r="B12" s="1451"/>
      <c r="C12" s="1452"/>
      <c r="D12" s="1453" t="s">
        <v>1291</v>
      </c>
      <c r="E12" s="1453" t="s">
        <v>1292</v>
      </c>
      <c r="F12" s="1453" t="s">
        <v>1293</v>
      </c>
      <c r="G12" s="1453" t="s">
        <v>1294</v>
      </c>
      <c r="H12" s="1453" t="s">
        <v>1276</v>
      </c>
      <c r="I12" s="1454" t="s">
        <v>1295</v>
      </c>
      <c r="J12" s="1454" t="s">
        <v>1295</v>
      </c>
      <c r="K12" s="1450"/>
      <c r="L12" s="1451"/>
      <c r="M12" s="1452"/>
      <c r="N12" s="1451"/>
      <c r="O12" s="1454" t="s">
        <v>1296</v>
      </c>
      <c r="P12" s="1454">
        <v>0.5</v>
      </c>
      <c r="Q12" s="1454">
        <v>1</v>
      </c>
      <c r="R12" s="1454">
        <v>2</v>
      </c>
      <c r="S12" s="1454">
        <v>3</v>
      </c>
      <c r="T12" s="1454">
        <v>5</v>
      </c>
      <c r="U12" s="1454">
        <v>1</v>
      </c>
      <c r="V12" s="1454">
        <v>3</v>
      </c>
      <c r="W12" s="1454">
        <v>5</v>
      </c>
      <c r="X12" s="1451"/>
      <c r="Y12" s="1451"/>
      <c r="Z12" s="1451"/>
      <c r="AA12" s="1455"/>
      <c r="AB12" s="1455"/>
      <c r="AC12" s="1455"/>
      <c r="AD12" s="1455"/>
      <c r="AE12" s="1455"/>
      <c r="AF12" s="1455"/>
      <c r="AG12" s="1455"/>
      <c r="AH12" s="1455"/>
      <c r="AI12" s="1455"/>
      <c r="AJ12" s="1455"/>
      <c r="AK12" s="1455"/>
      <c r="AL12" s="1455"/>
      <c r="AM12" s="1455"/>
      <c r="AN12" s="1455"/>
      <c r="AO12" s="1455"/>
      <c r="AP12" s="1455"/>
      <c r="AQ12" s="1455"/>
      <c r="AR12" s="1455"/>
      <c r="AS12" s="1455"/>
      <c r="AT12" s="1455"/>
      <c r="AU12" s="1455"/>
      <c r="AV12" s="1455"/>
      <c r="AW12" s="1455"/>
      <c r="AX12" s="1455"/>
      <c r="AY12" s="1455"/>
      <c r="AZ12" s="1455"/>
      <c r="BA12" s="1455"/>
      <c r="BB12" s="1455"/>
      <c r="BC12" s="1455"/>
      <c r="BD12" s="1455"/>
      <c r="BE12" s="1455"/>
      <c r="BF12" s="1455"/>
      <c r="BG12" s="1455"/>
      <c r="BH12" s="1455"/>
      <c r="BI12" s="1455"/>
      <c r="BJ12" s="1455"/>
      <c r="BK12" s="1455"/>
      <c r="BL12" s="1455"/>
      <c r="BM12" s="1455"/>
      <c r="BN12" s="1455"/>
      <c r="BO12" s="1455"/>
      <c r="BP12" s="1455"/>
      <c r="BQ12" s="1455"/>
      <c r="BR12" s="1455"/>
      <c r="BS12" s="1455"/>
      <c r="BT12" s="1455"/>
      <c r="BU12" s="1455"/>
      <c r="BV12" s="1455"/>
      <c r="BW12" s="1455"/>
      <c r="BX12" s="1455"/>
      <c r="BY12" s="1455"/>
      <c r="BZ12" s="1455"/>
      <c r="CA12" s="1455"/>
      <c r="CB12" s="1455"/>
      <c r="CC12" s="1455"/>
      <c r="CD12" s="1455"/>
      <c r="CE12" s="1455"/>
      <c r="CF12" s="1455"/>
      <c r="CG12" s="1455"/>
      <c r="CH12" s="1455"/>
      <c r="CI12" s="1455"/>
      <c r="CJ12" s="1455"/>
      <c r="CK12" s="1455"/>
      <c r="CL12" s="1455"/>
      <c r="CM12" s="1455"/>
      <c r="CN12" s="1455"/>
      <c r="CO12" s="1455"/>
      <c r="CP12" s="1455"/>
      <c r="CQ12" s="1455"/>
      <c r="CR12" s="1455"/>
      <c r="CS12" s="1455"/>
      <c r="CT12" s="1455"/>
      <c r="CU12" s="1455"/>
      <c r="CV12" s="1455"/>
      <c r="CW12" s="1455"/>
      <c r="CX12" s="1455"/>
      <c r="CY12" s="1455"/>
      <c r="CZ12" s="1455"/>
      <c r="DA12" s="1455"/>
      <c r="DB12" s="1455"/>
      <c r="DC12" s="1455"/>
      <c r="DD12" s="1455"/>
      <c r="DE12" s="1455"/>
      <c r="DF12" s="1455"/>
      <c r="DG12" s="1455"/>
      <c r="DH12" s="1455"/>
      <c r="DI12" s="1455"/>
      <c r="DJ12" s="1455"/>
      <c r="DK12" s="1455"/>
      <c r="DL12" s="1455"/>
      <c r="DM12" s="1455"/>
      <c r="DN12" s="1455"/>
      <c r="DO12" s="1455"/>
      <c r="DP12" s="1455"/>
      <c r="DQ12" s="1455"/>
      <c r="DR12" s="1455"/>
      <c r="DS12" s="1455"/>
      <c r="DT12" s="1455"/>
      <c r="DU12" s="1455"/>
      <c r="DV12" s="1455"/>
      <c r="DW12" s="1455"/>
      <c r="DX12" s="1455"/>
      <c r="DY12" s="1455"/>
      <c r="DZ12" s="1455"/>
      <c r="EA12" s="1455"/>
      <c r="EB12" s="1455"/>
      <c r="EC12" s="1455"/>
      <c r="ED12" s="1455"/>
      <c r="EE12" s="1455"/>
      <c r="EF12" s="1455"/>
      <c r="EG12" s="1455"/>
      <c r="EH12" s="1455"/>
      <c r="EI12" s="1455"/>
      <c r="EJ12" s="1455"/>
      <c r="EK12" s="1455"/>
      <c r="EL12" s="1455"/>
      <c r="EM12" s="1455"/>
      <c r="EN12" s="1455"/>
      <c r="EO12" s="1455"/>
      <c r="EP12" s="1455"/>
      <c r="EQ12" s="1455"/>
      <c r="ER12" s="1455"/>
      <c r="ES12" s="1455"/>
      <c r="ET12" s="1455"/>
      <c r="EU12" s="1455"/>
      <c r="EV12" s="1455"/>
      <c r="EW12" s="1455"/>
      <c r="EX12" s="1455"/>
      <c r="EY12" s="1455"/>
      <c r="EZ12" s="1455"/>
      <c r="FA12" s="1455"/>
      <c r="FB12" s="1455"/>
      <c r="FC12" s="1455"/>
      <c r="FD12" s="1455"/>
      <c r="FE12" s="1455"/>
      <c r="FF12" s="1455"/>
      <c r="FG12" s="1455"/>
      <c r="FH12" s="1455"/>
      <c r="FI12" s="1455"/>
      <c r="FJ12" s="1455"/>
      <c r="FK12" s="1455"/>
      <c r="FL12" s="1455"/>
      <c r="FM12" s="1455"/>
      <c r="FN12" s="1455"/>
      <c r="FO12" s="1455"/>
      <c r="FP12" s="1455"/>
      <c r="FQ12" s="1455"/>
      <c r="FR12" s="1455"/>
      <c r="FS12" s="1455"/>
      <c r="FT12" s="1455"/>
      <c r="FU12" s="1455"/>
      <c r="FV12" s="1455"/>
      <c r="FW12" s="1455"/>
      <c r="FX12" s="1455"/>
      <c r="FY12" s="1455"/>
      <c r="FZ12" s="1455"/>
      <c r="GA12" s="1455"/>
      <c r="GB12" s="1455"/>
      <c r="GC12" s="1455"/>
      <c r="GD12" s="1455"/>
      <c r="GE12" s="1455"/>
      <c r="GF12" s="1455"/>
      <c r="GG12" s="1455"/>
      <c r="GH12" s="1455"/>
      <c r="GI12" s="1455"/>
      <c r="GJ12" s="1455"/>
      <c r="GK12" s="1455"/>
      <c r="GL12" s="1455"/>
      <c r="GM12" s="1455"/>
      <c r="GN12" s="1455"/>
      <c r="GO12" s="1455"/>
      <c r="GP12" s="1455"/>
      <c r="GQ12" s="1455"/>
      <c r="GR12" s="1455"/>
      <c r="GS12" s="1455"/>
      <c r="GT12" s="1455"/>
      <c r="GU12" s="1455"/>
      <c r="GV12" s="1455"/>
      <c r="GW12" s="1455"/>
      <c r="GX12" s="1455"/>
      <c r="GY12" s="1455"/>
      <c r="GZ12" s="1455"/>
      <c r="HA12" s="1455"/>
      <c r="HB12" s="1455"/>
      <c r="HC12" s="1455"/>
      <c r="HD12" s="1455"/>
      <c r="HE12" s="1455"/>
      <c r="HF12" s="1455"/>
      <c r="HG12" s="1455"/>
      <c r="HH12" s="1455"/>
      <c r="HI12" s="1455"/>
      <c r="HJ12" s="1455"/>
      <c r="HK12" s="1455"/>
      <c r="HL12" s="1455"/>
      <c r="HM12" s="1455"/>
      <c r="HN12" s="1455"/>
      <c r="HO12" s="1455"/>
      <c r="HP12" s="1455"/>
      <c r="HQ12" s="1455"/>
      <c r="HR12" s="1455"/>
      <c r="HS12" s="1455"/>
      <c r="HT12" s="1455"/>
      <c r="HU12" s="1455"/>
      <c r="HV12" s="1455"/>
      <c r="HW12" s="1455"/>
      <c r="HX12" s="1455"/>
      <c r="HY12" s="1455"/>
      <c r="HZ12" s="1455"/>
      <c r="IA12" s="1455"/>
      <c r="IB12" s="1455"/>
      <c r="IC12" s="1455"/>
      <c r="ID12" s="1455"/>
      <c r="IE12" s="1455"/>
      <c r="IF12" s="1455"/>
      <c r="IG12" s="1455"/>
      <c r="IH12" s="1455"/>
      <c r="II12" s="1455"/>
      <c r="IJ12" s="1455"/>
      <c r="IK12" s="1455"/>
      <c r="IL12" s="1455"/>
      <c r="IM12" s="1455"/>
      <c r="IN12" s="1455"/>
      <c r="IO12" s="1455"/>
      <c r="IP12" s="1455"/>
      <c r="IQ12" s="1455"/>
      <c r="IR12" s="1455"/>
      <c r="IS12" s="1455"/>
      <c r="IT12" s="1455"/>
      <c r="IU12" s="1455"/>
      <c r="IV12" s="1455"/>
    </row>
    <row r="13" spans="1:257" ht="31.2">
      <c r="A13" s="1456"/>
      <c r="B13" s="1457" t="s">
        <v>1297</v>
      </c>
      <c r="C13" s="1458">
        <v>42301</v>
      </c>
      <c r="D13" s="1459">
        <v>4.3499999999999996</v>
      </c>
      <c r="E13" s="1459">
        <v>4.3499999999999996</v>
      </c>
      <c r="F13" s="1459">
        <v>4.75</v>
      </c>
      <c r="G13" s="1459">
        <v>4.75</v>
      </c>
      <c r="H13" s="1459">
        <v>4.9000000000000004</v>
      </c>
      <c r="I13" s="1459">
        <v>2.75</v>
      </c>
      <c r="J13" s="1459">
        <v>3.25</v>
      </c>
      <c r="K13" s="1456"/>
      <c r="L13" s="1457" t="s">
        <v>1297</v>
      </c>
      <c r="M13" s="1460">
        <v>42301</v>
      </c>
      <c r="N13" s="1459">
        <v>0.35</v>
      </c>
      <c r="O13" s="1459">
        <v>1.1000000000000001</v>
      </c>
      <c r="P13" s="1459">
        <v>1.3</v>
      </c>
      <c r="Q13" s="1459">
        <v>1.5</v>
      </c>
      <c r="R13" s="1459">
        <v>2.1</v>
      </c>
      <c r="S13" s="1459">
        <v>2.75</v>
      </c>
      <c r="T13" s="1459"/>
      <c r="U13" s="1459"/>
      <c r="V13" s="1459"/>
      <c r="W13" s="1459"/>
      <c r="X13" s="1459"/>
      <c r="Y13" s="1459"/>
      <c r="Z13" s="1459"/>
      <c r="AA13" s="1461"/>
      <c r="AB13" s="1461"/>
      <c r="AC13" s="1461"/>
      <c r="AD13" s="1461"/>
      <c r="AE13" s="1461"/>
      <c r="AF13" s="1461"/>
      <c r="AG13" s="1461"/>
      <c r="AH13" s="1461"/>
      <c r="AI13" s="1461"/>
      <c r="AJ13" s="1461"/>
      <c r="AK13" s="1461"/>
      <c r="AL13" s="1461"/>
      <c r="AM13" s="1461"/>
      <c r="AN13" s="1461"/>
      <c r="AO13" s="1461"/>
      <c r="AP13" s="1461"/>
      <c r="AQ13" s="1461"/>
      <c r="AR13" s="1461"/>
      <c r="AS13" s="1461"/>
      <c r="AT13" s="1461"/>
      <c r="AU13" s="1461"/>
      <c r="AV13" s="1461"/>
      <c r="AW13" s="1461"/>
      <c r="AX13" s="1461"/>
      <c r="AY13" s="1461"/>
      <c r="AZ13" s="1461"/>
      <c r="BA13" s="1461"/>
      <c r="BB13" s="1461"/>
      <c r="BC13" s="1461"/>
      <c r="BD13" s="1461"/>
      <c r="BE13" s="1461"/>
      <c r="BF13" s="1461"/>
      <c r="BG13" s="1461"/>
      <c r="BH13" s="1461"/>
      <c r="BI13" s="1461"/>
      <c r="BJ13" s="1461"/>
      <c r="BK13" s="1461"/>
      <c r="BL13" s="1461"/>
      <c r="BM13" s="1461"/>
      <c r="BN13" s="1461"/>
      <c r="BO13" s="1461"/>
      <c r="BP13" s="1461"/>
      <c r="BQ13" s="1461"/>
      <c r="BR13" s="1461"/>
      <c r="BS13" s="1461"/>
      <c r="BT13" s="1461"/>
      <c r="BU13" s="1461"/>
      <c r="BV13" s="1461"/>
      <c r="BW13" s="1461"/>
      <c r="BX13" s="1461"/>
      <c r="BY13" s="1461"/>
      <c r="BZ13" s="1461"/>
      <c r="CA13" s="1461"/>
      <c r="CB13" s="1461"/>
      <c r="CC13" s="1461"/>
      <c r="CD13" s="1461"/>
      <c r="CE13" s="1461"/>
      <c r="CF13" s="1461"/>
      <c r="CG13" s="1461"/>
      <c r="CH13" s="1461"/>
      <c r="CI13" s="1461"/>
      <c r="CJ13" s="1461"/>
      <c r="CK13" s="1461"/>
      <c r="CL13" s="1461"/>
      <c r="CM13" s="1461"/>
      <c r="CN13" s="1461"/>
      <c r="CO13" s="1461"/>
      <c r="CP13" s="1461"/>
      <c r="CQ13" s="1461"/>
      <c r="CR13" s="1461"/>
      <c r="CS13" s="1461"/>
      <c r="CT13" s="1461"/>
      <c r="CU13" s="1461"/>
      <c r="CV13" s="1461"/>
      <c r="CW13" s="1461"/>
      <c r="CX13" s="1461"/>
      <c r="CY13" s="1461"/>
      <c r="CZ13" s="1461"/>
      <c r="DA13" s="1461"/>
      <c r="DB13" s="1461"/>
      <c r="DC13" s="1461"/>
      <c r="DD13" s="1461"/>
      <c r="DE13" s="1461"/>
      <c r="DF13" s="1461"/>
      <c r="DG13" s="1461"/>
      <c r="DH13" s="1461"/>
      <c r="DI13" s="1461"/>
      <c r="DJ13" s="1461"/>
      <c r="DK13" s="1461"/>
      <c r="DL13" s="1461"/>
      <c r="DM13" s="1461"/>
      <c r="DN13" s="1461"/>
      <c r="DO13" s="1461"/>
      <c r="DP13" s="1461"/>
      <c r="DQ13" s="1461"/>
      <c r="DR13" s="1461"/>
      <c r="DS13" s="1461"/>
      <c r="DT13" s="1461"/>
      <c r="DU13" s="1461"/>
      <c r="DV13" s="1461"/>
      <c r="DW13" s="1461"/>
      <c r="DX13" s="1461"/>
      <c r="DY13" s="1461"/>
      <c r="DZ13" s="1461"/>
      <c r="EA13" s="1461"/>
      <c r="EB13" s="1461"/>
      <c r="EC13" s="1461"/>
      <c r="ED13" s="1461"/>
      <c r="EE13" s="1461"/>
      <c r="EF13" s="1461"/>
      <c r="EG13" s="1461"/>
      <c r="EH13" s="1461"/>
      <c r="EI13" s="1461"/>
      <c r="EJ13" s="1461"/>
      <c r="EK13" s="1461"/>
      <c r="EL13" s="1461"/>
      <c r="EM13" s="1461"/>
      <c r="EN13" s="1461"/>
      <c r="EO13" s="1461"/>
      <c r="EP13" s="1461"/>
      <c r="EQ13" s="1461"/>
      <c r="ER13" s="1461"/>
      <c r="ES13" s="1461"/>
      <c r="ET13" s="1461"/>
      <c r="EU13" s="1461"/>
      <c r="EV13" s="1461"/>
      <c r="EW13" s="1461"/>
      <c r="EX13" s="1461"/>
      <c r="EY13" s="1461"/>
      <c r="EZ13" s="1461"/>
      <c r="FA13" s="1461"/>
      <c r="FB13" s="1461"/>
      <c r="FC13" s="1461"/>
      <c r="FD13" s="1461"/>
      <c r="FE13" s="1461"/>
      <c r="FF13" s="1461"/>
      <c r="FG13" s="1461"/>
      <c r="FH13" s="1461"/>
      <c r="FI13" s="1461"/>
      <c r="FJ13" s="1461"/>
      <c r="FK13" s="1461"/>
      <c r="FL13" s="1461"/>
      <c r="FM13" s="1461"/>
      <c r="FN13" s="1461"/>
      <c r="FO13" s="1461"/>
      <c r="FP13" s="1461"/>
      <c r="FQ13" s="1461"/>
      <c r="FR13" s="1461"/>
      <c r="FS13" s="1461"/>
      <c r="FT13" s="1461"/>
      <c r="FU13" s="1461"/>
      <c r="FV13" s="1461"/>
      <c r="FW13" s="1461"/>
      <c r="FX13" s="1461"/>
      <c r="FY13" s="1461"/>
      <c r="FZ13" s="1461"/>
      <c r="GA13" s="1461"/>
      <c r="GB13" s="1461"/>
      <c r="GC13" s="1461"/>
      <c r="GD13" s="1461"/>
      <c r="GE13" s="1461"/>
      <c r="GF13" s="1461"/>
      <c r="GG13" s="1461"/>
      <c r="GH13" s="1461"/>
      <c r="GI13" s="1461"/>
      <c r="GJ13" s="1461"/>
      <c r="GK13" s="1461"/>
      <c r="GL13" s="1461"/>
      <c r="GM13" s="1461"/>
      <c r="GN13" s="1461"/>
      <c r="GO13" s="1461"/>
      <c r="GP13" s="1461"/>
      <c r="GQ13" s="1461"/>
      <c r="GR13" s="1461"/>
      <c r="GS13" s="1461"/>
      <c r="GT13" s="1461"/>
      <c r="GU13" s="1461"/>
      <c r="GV13" s="1461"/>
      <c r="GW13" s="1461"/>
      <c r="GX13" s="1461"/>
      <c r="GY13" s="1461"/>
      <c r="GZ13" s="1461"/>
      <c r="HA13" s="1461"/>
      <c r="HB13" s="1461"/>
      <c r="HC13" s="1461"/>
      <c r="HD13" s="1461"/>
      <c r="HE13" s="1461"/>
      <c r="HF13" s="1461"/>
      <c r="HG13" s="1461"/>
      <c r="HH13" s="1461"/>
      <c r="HI13" s="1461"/>
      <c r="HJ13" s="1461"/>
      <c r="HK13" s="1461"/>
      <c r="HL13" s="1461"/>
      <c r="HM13" s="1461"/>
      <c r="HN13" s="1461"/>
      <c r="HO13" s="1461"/>
      <c r="HP13" s="1461"/>
      <c r="HQ13" s="1461"/>
      <c r="HR13" s="1461"/>
      <c r="HS13" s="1461"/>
      <c r="HT13" s="1461"/>
      <c r="HU13" s="1461"/>
      <c r="HV13" s="1461"/>
      <c r="HW13" s="1461"/>
      <c r="HX13" s="1461"/>
      <c r="HY13" s="1461"/>
      <c r="HZ13" s="1461"/>
      <c r="IA13" s="1461"/>
      <c r="IB13" s="1461"/>
      <c r="IC13" s="1461"/>
      <c r="ID13" s="1461"/>
      <c r="IE13" s="1461"/>
      <c r="IF13" s="1461"/>
      <c r="IG13" s="1461"/>
      <c r="IH13" s="1461"/>
      <c r="II13" s="1461"/>
      <c r="IJ13" s="1461"/>
      <c r="IK13" s="1461"/>
      <c r="IL13" s="1461"/>
      <c r="IM13" s="1461"/>
      <c r="IN13" s="1461"/>
      <c r="IO13" s="1461"/>
      <c r="IP13" s="1461"/>
      <c r="IQ13" s="1461"/>
      <c r="IR13" s="1461"/>
      <c r="IS13" s="1461"/>
      <c r="IT13" s="1461"/>
      <c r="IU13" s="1461"/>
      <c r="IV13" s="1461"/>
      <c r="IW13" s="1462"/>
    </row>
    <row r="14" spans="1:257">
      <c r="B14" s="1463"/>
      <c r="C14" s="1464">
        <v>42242</v>
      </c>
      <c r="D14" s="1463">
        <v>4.5999999999999996</v>
      </c>
      <c r="E14" s="1463">
        <v>4.5999999999999996</v>
      </c>
      <c r="F14" s="1463">
        <v>5</v>
      </c>
      <c r="G14" s="1463">
        <v>5</v>
      </c>
      <c r="H14" s="1463">
        <v>5.15</v>
      </c>
      <c r="I14" s="1463">
        <v>2.75</v>
      </c>
      <c r="J14" s="1463">
        <v>3.25</v>
      </c>
      <c r="L14" s="1463"/>
      <c r="M14" s="1464">
        <v>42242</v>
      </c>
      <c r="N14" s="1463">
        <v>0.35</v>
      </c>
      <c r="O14" s="1463">
        <v>1.35</v>
      </c>
      <c r="P14" s="1463">
        <v>1.55</v>
      </c>
      <c r="Q14" s="1463">
        <v>1.75</v>
      </c>
      <c r="R14" s="1463">
        <v>2.35</v>
      </c>
      <c r="S14" s="1463">
        <v>3</v>
      </c>
      <c r="T14" s="1463"/>
      <c r="U14" s="1463"/>
      <c r="V14" s="1463"/>
      <c r="W14" s="1463"/>
      <c r="X14" s="1463"/>
      <c r="Y14" s="1463"/>
      <c r="Z14" s="1463"/>
    </row>
    <row r="15" spans="1:257">
      <c r="B15" s="1463"/>
      <c r="C15" s="1464">
        <v>42183</v>
      </c>
      <c r="D15" s="1463">
        <v>4.8499999999999996</v>
      </c>
      <c r="E15" s="1463">
        <v>4.8499999999999996</v>
      </c>
      <c r="F15" s="1463">
        <v>5.25</v>
      </c>
      <c r="G15" s="1463">
        <v>5.25</v>
      </c>
      <c r="H15" s="1463">
        <v>5.4</v>
      </c>
      <c r="I15" s="1463">
        <v>3</v>
      </c>
      <c r="J15" s="1463">
        <v>3.5</v>
      </c>
      <c r="L15" s="1463"/>
      <c r="M15" s="1464">
        <v>42183</v>
      </c>
      <c r="N15" s="1463">
        <v>0.35</v>
      </c>
      <c r="O15" s="1463">
        <v>1.6</v>
      </c>
      <c r="P15" s="1463">
        <v>1.8</v>
      </c>
      <c r="Q15" s="1463">
        <v>2</v>
      </c>
      <c r="R15" s="1463">
        <v>2.6</v>
      </c>
      <c r="S15" s="1463">
        <v>3.25</v>
      </c>
      <c r="T15" s="1463"/>
      <c r="U15" s="1463"/>
      <c r="V15" s="1463"/>
      <c r="W15" s="1463"/>
      <c r="X15" s="1463"/>
      <c r="Y15" s="1463"/>
      <c r="Z15" s="1463"/>
    </row>
    <row r="16" spans="1:257">
      <c r="B16" s="1463"/>
      <c r="C16" s="1464">
        <v>42135</v>
      </c>
      <c r="D16" s="1463">
        <v>5.0999999999999996</v>
      </c>
      <c r="E16" s="1463">
        <v>5.0999999999999996</v>
      </c>
      <c r="F16" s="1463">
        <v>5.5</v>
      </c>
      <c r="G16" s="1463">
        <v>5.5</v>
      </c>
      <c r="H16" s="1463">
        <v>5.65</v>
      </c>
      <c r="I16" s="1463">
        <v>3.25</v>
      </c>
      <c r="J16" s="1463">
        <v>3.75</v>
      </c>
      <c r="L16" s="1463"/>
      <c r="M16" s="1464">
        <v>42135</v>
      </c>
      <c r="N16" s="1463">
        <v>0.35</v>
      </c>
      <c r="O16" s="1463">
        <v>1.85</v>
      </c>
      <c r="P16" s="1463">
        <v>2.0499999999999998</v>
      </c>
      <c r="Q16" s="1463">
        <v>2.25</v>
      </c>
      <c r="R16" s="1463">
        <v>2.85</v>
      </c>
      <c r="S16" s="1463">
        <v>3.5</v>
      </c>
      <c r="T16" s="1463"/>
      <c r="U16" s="1463"/>
      <c r="V16" s="1463"/>
      <c r="W16" s="1463"/>
      <c r="X16" s="1463"/>
      <c r="Y16" s="1463"/>
      <c r="Z16" s="1463"/>
    </row>
    <row r="17" spans="2:26">
      <c r="B17" s="1463"/>
      <c r="C17" s="1464">
        <v>42064</v>
      </c>
      <c r="D17" s="1463">
        <v>5.35</v>
      </c>
      <c r="E17" s="1463">
        <v>5.35</v>
      </c>
      <c r="F17" s="1463">
        <v>5.75</v>
      </c>
      <c r="G17" s="1463">
        <v>5.75</v>
      </c>
      <c r="H17" s="1463">
        <v>5.9</v>
      </c>
      <c r="I17" s="1463"/>
      <c r="J17" s="1463"/>
      <c r="L17" s="1463"/>
      <c r="M17" s="1464">
        <v>42064</v>
      </c>
      <c r="N17" s="1463">
        <v>0.35</v>
      </c>
      <c r="O17" s="1463">
        <v>2.1</v>
      </c>
      <c r="P17" s="1463">
        <v>2.2999999999999998</v>
      </c>
      <c r="Q17" s="1463">
        <v>2.5</v>
      </c>
      <c r="R17" s="1463">
        <v>3.1</v>
      </c>
      <c r="S17" s="1463">
        <v>3.75</v>
      </c>
      <c r="T17" s="1463">
        <v>4.5</v>
      </c>
      <c r="U17" s="1463">
        <v>2.35</v>
      </c>
      <c r="V17" s="1463">
        <v>2.5499999999999998</v>
      </c>
      <c r="W17" s="1463">
        <v>2.75</v>
      </c>
      <c r="X17" s="1463"/>
      <c r="Y17" s="1463">
        <v>0.8</v>
      </c>
      <c r="Z17" s="1463">
        <v>1.35</v>
      </c>
    </row>
    <row r="18" spans="2:26" ht="16.8">
      <c r="B18" s="1463"/>
      <c r="C18" s="1464">
        <v>41965</v>
      </c>
      <c r="D18" s="1463">
        <v>5.6</v>
      </c>
      <c r="E18" s="1463">
        <v>5.6</v>
      </c>
      <c r="F18" s="1463">
        <v>6</v>
      </c>
      <c r="G18" s="1463">
        <v>6</v>
      </c>
      <c r="H18" s="1463">
        <v>6.15</v>
      </c>
      <c r="I18" s="1463"/>
      <c r="J18" s="1463"/>
      <c r="L18" s="1463"/>
      <c r="M18" s="1464">
        <v>41965</v>
      </c>
      <c r="N18" s="1463">
        <v>0.35</v>
      </c>
      <c r="O18" s="1463">
        <v>2.35</v>
      </c>
      <c r="P18" s="1463">
        <v>2.5499999999999998</v>
      </c>
      <c r="Q18" s="1463">
        <v>2.75</v>
      </c>
      <c r="R18" s="1463">
        <v>3.35</v>
      </c>
      <c r="S18" s="1463">
        <v>4</v>
      </c>
      <c r="T18" s="1463">
        <v>4.75</v>
      </c>
      <c r="U18" s="1465">
        <v>2.35</v>
      </c>
      <c r="V18" s="1465">
        <v>2.5499999999999998</v>
      </c>
      <c r="W18" s="1465">
        <v>2.75</v>
      </c>
      <c r="X18" s="1463"/>
      <c r="Y18" s="1465">
        <v>0.8</v>
      </c>
      <c r="Z18" s="1465">
        <v>1.35</v>
      </c>
    </row>
    <row r="19" spans="2:26">
      <c r="B19" s="1463"/>
      <c r="C19" s="1464">
        <v>41096</v>
      </c>
      <c r="D19" s="1463">
        <v>5.6</v>
      </c>
      <c r="E19" s="1463">
        <v>6</v>
      </c>
      <c r="F19" s="1463">
        <v>6.15</v>
      </c>
      <c r="G19" s="1463">
        <v>6.4</v>
      </c>
      <c r="H19" s="1463">
        <v>6.55</v>
      </c>
      <c r="I19" s="1463">
        <v>4</v>
      </c>
      <c r="J19" s="1463">
        <v>4.5</v>
      </c>
      <c r="L19" s="1463"/>
      <c r="M19" s="1464">
        <v>41096</v>
      </c>
      <c r="N19" s="1463">
        <v>0.35</v>
      </c>
      <c r="O19" s="1463">
        <v>2.6</v>
      </c>
      <c r="P19" s="1463">
        <v>2.8</v>
      </c>
      <c r="Q19" s="1463">
        <v>3</v>
      </c>
      <c r="R19" s="1463">
        <v>3.75</v>
      </c>
      <c r="S19" s="1463">
        <v>4.25</v>
      </c>
      <c r="T19" s="1463">
        <v>4.75</v>
      </c>
      <c r="U19" s="1463">
        <v>2.85</v>
      </c>
      <c r="V19" s="1463">
        <v>2.9</v>
      </c>
      <c r="W19" s="1463">
        <v>3</v>
      </c>
      <c r="X19" s="1463">
        <v>1.1499999999999999</v>
      </c>
      <c r="Y19" s="1463">
        <v>0.8</v>
      </c>
      <c r="Z19" s="1463">
        <v>1.35</v>
      </c>
    </row>
    <row r="20" spans="2:26">
      <c r="B20" s="1463"/>
      <c r="C20" s="1464">
        <v>41068</v>
      </c>
      <c r="D20" s="1463">
        <v>5.85</v>
      </c>
      <c r="E20" s="1463">
        <v>6.31</v>
      </c>
      <c r="F20" s="1463">
        <v>6.4</v>
      </c>
      <c r="G20" s="1463">
        <v>6.65</v>
      </c>
      <c r="H20" s="1463">
        <v>6.8</v>
      </c>
      <c r="I20" s="1463">
        <v>4.2</v>
      </c>
      <c r="J20" s="1463">
        <v>4.7</v>
      </c>
      <c r="L20" s="1463"/>
      <c r="M20" s="1464">
        <v>41068</v>
      </c>
      <c r="N20" s="1463">
        <v>0.4</v>
      </c>
      <c r="O20" s="1463">
        <v>2.85</v>
      </c>
      <c r="P20" s="1463">
        <v>3.05</v>
      </c>
      <c r="Q20" s="1463">
        <v>3.25</v>
      </c>
      <c r="R20" s="1463">
        <v>4.0999999999999996</v>
      </c>
      <c r="S20" s="1463">
        <v>4.6500000000000004</v>
      </c>
      <c r="T20" s="1463">
        <v>5.0999999999999996</v>
      </c>
      <c r="U20" s="1463">
        <v>3.1</v>
      </c>
      <c r="V20" s="1463">
        <v>3.15</v>
      </c>
      <c r="W20" s="1463">
        <v>3.25</v>
      </c>
      <c r="X20" s="1463">
        <v>1.31</v>
      </c>
      <c r="Y20" s="1463">
        <v>0.94</v>
      </c>
      <c r="Z20" s="1463">
        <v>1.49</v>
      </c>
    </row>
    <row r="21" spans="2:26">
      <c r="B21" s="1463"/>
      <c r="C21" s="1464">
        <v>40731</v>
      </c>
      <c r="D21" s="1463">
        <v>6.1</v>
      </c>
      <c r="E21" s="1463">
        <v>6.56</v>
      </c>
      <c r="F21" s="1463">
        <v>6.65</v>
      </c>
      <c r="G21" s="1463">
        <v>6.9</v>
      </c>
      <c r="H21" s="1463">
        <v>7.05</v>
      </c>
      <c r="I21" s="1463">
        <v>4.45</v>
      </c>
      <c r="J21" s="1463">
        <v>4.9000000000000004</v>
      </c>
      <c r="L21" s="1463"/>
      <c r="M21" s="1464">
        <v>40731</v>
      </c>
      <c r="N21" s="1463">
        <v>0.5</v>
      </c>
      <c r="O21" s="1463">
        <v>3.1</v>
      </c>
      <c r="P21" s="1463">
        <v>3.3</v>
      </c>
      <c r="Q21" s="1463">
        <v>3.5</v>
      </c>
      <c r="R21" s="1463">
        <v>4.4000000000000004</v>
      </c>
      <c r="S21" s="1463">
        <v>5</v>
      </c>
      <c r="T21" s="1463">
        <v>5.5</v>
      </c>
      <c r="U21" s="1463">
        <v>3.1</v>
      </c>
      <c r="V21" s="1463">
        <v>3.3</v>
      </c>
      <c r="W21" s="1463">
        <v>3.5</v>
      </c>
      <c r="X21" s="1463">
        <v>1.31</v>
      </c>
      <c r="Y21" s="1463">
        <v>0.95</v>
      </c>
      <c r="Z21" s="1463">
        <v>1.49</v>
      </c>
    </row>
    <row r="22" spans="2:26">
      <c r="B22" s="1463"/>
      <c r="C22" s="1464">
        <v>40639</v>
      </c>
      <c r="D22" s="1463">
        <v>5.85</v>
      </c>
      <c r="E22" s="1463">
        <v>6.31</v>
      </c>
      <c r="F22" s="1463">
        <v>6.4</v>
      </c>
      <c r="G22" s="1463">
        <v>6.65</v>
      </c>
      <c r="H22" s="1463">
        <v>6.8</v>
      </c>
      <c r="I22" s="1463">
        <v>4.2</v>
      </c>
      <c r="J22" s="1463">
        <v>4.7</v>
      </c>
      <c r="L22" s="1463"/>
      <c r="M22" s="1464">
        <v>40639</v>
      </c>
      <c r="N22" s="1463">
        <v>0.5</v>
      </c>
      <c r="O22" s="1463">
        <v>2.85</v>
      </c>
      <c r="P22" s="1463">
        <v>3.05</v>
      </c>
      <c r="Q22" s="1463">
        <v>3.25</v>
      </c>
      <c r="R22" s="1463">
        <v>4.1500000000000004</v>
      </c>
      <c r="S22" s="1463">
        <v>4.75</v>
      </c>
      <c r="T22" s="1463">
        <v>5.25</v>
      </c>
      <c r="U22" s="1463">
        <v>2.85</v>
      </c>
      <c r="V22" s="1463">
        <v>3.05</v>
      </c>
      <c r="W22" s="1463">
        <v>3.25</v>
      </c>
      <c r="X22" s="1463">
        <v>1.31</v>
      </c>
      <c r="Y22" s="1463">
        <v>0.95</v>
      </c>
      <c r="Z22" s="1463">
        <v>1.49</v>
      </c>
    </row>
    <row r="23" spans="2:26">
      <c r="B23" s="1463"/>
      <c r="C23" s="1464">
        <v>40583</v>
      </c>
      <c r="D23" s="1463">
        <v>5.6</v>
      </c>
      <c r="E23" s="1463">
        <v>6.06</v>
      </c>
      <c r="F23" s="1463">
        <v>6.1</v>
      </c>
      <c r="G23" s="1463">
        <v>6.45</v>
      </c>
      <c r="H23" s="1463">
        <v>6.6</v>
      </c>
      <c r="I23" s="1463">
        <v>4</v>
      </c>
      <c r="J23" s="1463">
        <v>4.5</v>
      </c>
      <c r="L23" s="1463"/>
      <c r="M23" s="1464">
        <v>40583</v>
      </c>
      <c r="N23" s="1463">
        <v>0.4</v>
      </c>
      <c r="O23" s="1463">
        <v>2.6</v>
      </c>
      <c r="P23" s="1463">
        <v>2.8</v>
      </c>
      <c r="Q23" s="1463">
        <v>3</v>
      </c>
      <c r="R23" s="1463">
        <v>3.9</v>
      </c>
      <c r="S23" s="1463">
        <v>4.5</v>
      </c>
      <c r="T23" s="1463">
        <v>5</v>
      </c>
      <c r="U23" s="1463">
        <v>2.6</v>
      </c>
      <c r="V23" s="1463">
        <v>2.8</v>
      </c>
      <c r="W23" s="1463">
        <v>3</v>
      </c>
      <c r="X23" s="1463">
        <v>1.21</v>
      </c>
      <c r="Y23" s="1463">
        <v>0.85</v>
      </c>
      <c r="Z23" s="1463">
        <v>1.39</v>
      </c>
    </row>
    <row r="24" spans="2:26">
      <c r="B24" s="1463"/>
      <c r="C24" s="1464">
        <v>40538</v>
      </c>
      <c r="D24" s="1463">
        <v>5.35</v>
      </c>
      <c r="E24" s="1463">
        <v>5.81</v>
      </c>
      <c r="F24" s="1463">
        <v>5.85</v>
      </c>
      <c r="G24" s="1463">
        <v>6.22</v>
      </c>
      <c r="H24" s="1463">
        <v>6.4</v>
      </c>
      <c r="I24" s="1463">
        <v>3.75</v>
      </c>
      <c r="J24" s="1463">
        <v>4.3</v>
      </c>
      <c r="L24" s="1463"/>
      <c r="M24" s="1464">
        <v>40538</v>
      </c>
      <c r="N24" s="1463">
        <v>0.36</v>
      </c>
      <c r="O24" s="1463">
        <v>2.25</v>
      </c>
      <c r="P24" s="1463">
        <v>2.5</v>
      </c>
      <c r="Q24" s="1463">
        <v>2.75</v>
      </c>
      <c r="R24" s="1463">
        <v>3.55</v>
      </c>
      <c r="S24" s="1463">
        <v>4.1500000000000004</v>
      </c>
      <c r="T24" s="1463">
        <v>4.55</v>
      </c>
      <c r="U24" s="1463">
        <v>2.16</v>
      </c>
      <c r="V24" s="1463">
        <v>2.5</v>
      </c>
      <c r="W24" s="1463">
        <v>2.85</v>
      </c>
      <c r="X24" s="1463">
        <v>1.17</v>
      </c>
      <c r="Y24" s="1463">
        <v>0.81</v>
      </c>
      <c r="Z24" s="1463">
        <v>1.35</v>
      </c>
    </row>
    <row r="25" spans="2:26">
      <c r="B25" s="1463"/>
      <c r="C25" s="1464">
        <v>40471</v>
      </c>
      <c r="D25" s="1463">
        <v>5.0999999999999996</v>
      </c>
      <c r="E25" s="1463">
        <v>5.56</v>
      </c>
      <c r="F25" s="1463">
        <v>5.6</v>
      </c>
      <c r="G25" s="1463">
        <v>5.96</v>
      </c>
      <c r="H25" s="1463">
        <v>6.14</v>
      </c>
      <c r="I25" s="1463">
        <v>3.5</v>
      </c>
      <c r="J25" s="1463">
        <v>4.05</v>
      </c>
      <c r="L25" s="1463"/>
      <c r="M25" s="1464">
        <v>40471</v>
      </c>
      <c r="N25" s="1463">
        <v>0.36</v>
      </c>
      <c r="O25" s="1463">
        <v>1.91</v>
      </c>
      <c r="P25" s="1463">
        <v>2.2000000000000002</v>
      </c>
      <c r="Q25" s="1463">
        <v>2.5</v>
      </c>
      <c r="R25" s="1463">
        <v>3.25</v>
      </c>
      <c r="S25" s="1463">
        <v>3.85</v>
      </c>
      <c r="T25" s="1463">
        <v>4.2</v>
      </c>
      <c r="U25" s="1463">
        <v>1.91</v>
      </c>
      <c r="V25" s="1463">
        <v>2.2000000000000002</v>
      </c>
      <c r="W25" s="1463">
        <v>2.5</v>
      </c>
      <c r="X25" s="1463">
        <v>1.17</v>
      </c>
      <c r="Y25" s="1463">
        <v>0.81</v>
      </c>
      <c r="Z25" s="1463">
        <v>1.35</v>
      </c>
    </row>
    <row r="26" spans="2:26">
      <c r="B26" s="1463"/>
      <c r="C26" s="1464">
        <v>39805</v>
      </c>
      <c r="D26" s="1463">
        <v>4.8600000000000003</v>
      </c>
      <c r="E26" s="1463">
        <v>5.31</v>
      </c>
      <c r="F26" s="1463">
        <v>5.4</v>
      </c>
      <c r="G26" s="1463">
        <v>5.76</v>
      </c>
      <c r="H26" s="1463">
        <v>5.94</v>
      </c>
      <c r="I26" s="1463">
        <v>3.33</v>
      </c>
      <c r="J26" s="1463">
        <v>3.87</v>
      </c>
      <c r="L26" s="1463"/>
      <c r="M26" s="1464">
        <v>39805</v>
      </c>
      <c r="N26" s="1463">
        <v>0.36</v>
      </c>
      <c r="O26" s="1463">
        <v>1.71</v>
      </c>
      <c r="P26" s="1463">
        <v>1.98</v>
      </c>
      <c r="Q26" s="1463">
        <v>2.25</v>
      </c>
      <c r="R26" s="1463">
        <v>2.79</v>
      </c>
      <c r="S26" s="1463">
        <v>3.33</v>
      </c>
      <c r="T26" s="1463">
        <v>3.6</v>
      </c>
      <c r="U26" s="1463">
        <v>1.71</v>
      </c>
      <c r="V26" s="1463">
        <v>1.98</v>
      </c>
      <c r="W26" s="1463">
        <v>2.25</v>
      </c>
      <c r="X26" s="1463">
        <v>1.17</v>
      </c>
      <c r="Y26" s="1463">
        <v>0.81</v>
      </c>
      <c r="Z26" s="1463">
        <v>1.35</v>
      </c>
    </row>
    <row r="27" spans="2:26">
      <c r="B27" s="1463"/>
      <c r="C27" s="1464">
        <v>39779</v>
      </c>
      <c r="D27" s="1463">
        <v>5.04</v>
      </c>
      <c r="E27" s="1463">
        <v>5.58</v>
      </c>
      <c r="F27" s="1463">
        <v>5.67</v>
      </c>
      <c r="G27" s="1463">
        <v>5.94</v>
      </c>
      <c r="H27" s="1463">
        <v>6.12</v>
      </c>
      <c r="I27" s="1463">
        <v>3.51</v>
      </c>
      <c r="J27" s="1463">
        <v>4.05</v>
      </c>
      <c r="L27" s="1463"/>
      <c r="M27" s="1464">
        <v>39779</v>
      </c>
      <c r="N27" s="1463">
        <v>0.36</v>
      </c>
      <c r="O27" s="1463">
        <v>1.98</v>
      </c>
      <c r="P27" s="1463">
        <v>2.25</v>
      </c>
      <c r="Q27" s="1463">
        <v>2.52</v>
      </c>
      <c r="R27" s="1463">
        <v>3.06</v>
      </c>
      <c r="S27" s="1463">
        <v>3.6</v>
      </c>
      <c r="T27" s="1463">
        <v>3.87</v>
      </c>
      <c r="U27" s="1463">
        <v>1.98</v>
      </c>
      <c r="V27" s="1463">
        <v>2.25</v>
      </c>
      <c r="W27" s="1463">
        <v>2.52</v>
      </c>
      <c r="X27" s="1463">
        <v>1.17</v>
      </c>
      <c r="Y27" s="1463">
        <v>0.81</v>
      </c>
      <c r="Z27" s="1463">
        <v>1.35</v>
      </c>
    </row>
    <row r="28" spans="2:26">
      <c r="B28" s="1463"/>
      <c r="C28" s="1464">
        <v>39751</v>
      </c>
      <c r="D28" s="1463">
        <v>6.03</v>
      </c>
      <c r="E28" s="1463">
        <v>6.66</v>
      </c>
      <c r="F28" s="1463">
        <v>6.75</v>
      </c>
      <c r="G28" s="1463">
        <v>7.02</v>
      </c>
      <c r="H28" s="1463">
        <v>7.2</v>
      </c>
      <c r="I28" s="1463">
        <v>4.05</v>
      </c>
      <c r="J28" s="1463">
        <v>4.59</v>
      </c>
      <c r="L28" s="1463"/>
      <c r="M28" s="1464">
        <v>39751</v>
      </c>
      <c r="N28" s="1463">
        <v>0.72</v>
      </c>
      <c r="O28" s="1463">
        <v>2.88</v>
      </c>
      <c r="P28" s="1463">
        <v>3.24</v>
      </c>
      <c r="Q28" s="1463">
        <v>3.6</v>
      </c>
      <c r="R28" s="1463">
        <v>4.1399999999999997</v>
      </c>
      <c r="S28" s="1463">
        <v>4.7699999999999996</v>
      </c>
      <c r="T28" s="1463">
        <v>5.13</v>
      </c>
      <c r="U28" s="1463">
        <v>2.88</v>
      </c>
      <c r="V28" s="1463">
        <v>3.24</v>
      </c>
      <c r="W28" s="1463">
        <v>3.6</v>
      </c>
      <c r="X28" s="1463">
        <v>1.53</v>
      </c>
      <c r="Y28" s="1463">
        <v>1.17</v>
      </c>
      <c r="Z28" s="1463">
        <v>1.71</v>
      </c>
    </row>
    <row r="29" spans="2:26">
      <c r="B29" s="1463"/>
      <c r="C29" s="1466">
        <v>39748</v>
      </c>
      <c r="D29" s="1463">
        <v>6.12</v>
      </c>
      <c r="E29" s="1463">
        <v>6.93</v>
      </c>
      <c r="F29" s="1463">
        <v>7.02</v>
      </c>
      <c r="G29" s="1463">
        <v>7.29</v>
      </c>
      <c r="H29" s="1463">
        <v>7.47</v>
      </c>
      <c r="I29" s="1463">
        <v>4.05</v>
      </c>
      <c r="J29" s="1463">
        <v>4.59</v>
      </c>
      <c r="L29" s="1463"/>
      <c r="M29" s="1466">
        <v>39736</v>
      </c>
      <c r="N29" s="1463">
        <v>0.72</v>
      </c>
      <c r="O29" s="1463">
        <v>3.15</v>
      </c>
      <c r="P29" s="1463">
        <v>3.51</v>
      </c>
      <c r="Q29" s="1463">
        <v>3.87</v>
      </c>
      <c r="R29" s="1463">
        <v>4.41</v>
      </c>
      <c r="S29" s="1463">
        <v>5.13</v>
      </c>
      <c r="T29" s="1463">
        <v>5.58</v>
      </c>
      <c r="U29" s="1463">
        <v>3.15</v>
      </c>
      <c r="V29" s="1463">
        <v>3.51</v>
      </c>
      <c r="W29" s="1463">
        <v>3.87</v>
      </c>
      <c r="X29" s="1463">
        <v>1.53</v>
      </c>
      <c r="Y29" s="1463">
        <v>1.17</v>
      </c>
      <c r="Z29" s="1463">
        <v>1.71</v>
      </c>
    </row>
    <row r="30" spans="2:26">
      <c r="B30" s="1463"/>
      <c r="C30" s="1464">
        <v>39730</v>
      </c>
      <c r="D30" s="1463">
        <v>6.12</v>
      </c>
      <c r="E30" s="1463">
        <v>6.93</v>
      </c>
      <c r="F30" s="1463">
        <v>7.02</v>
      </c>
      <c r="G30" s="1463">
        <v>7.29</v>
      </c>
      <c r="H30" s="1463">
        <v>7.47</v>
      </c>
      <c r="I30" s="1463">
        <v>4.32</v>
      </c>
      <c r="J30" s="1463">
        <v>4.8600000000000003</v>
      </c>
      <c r="L30" s="1463"/>
      <c r="M30" s="1464">
        <v>39730</v>
      </c>
      <c r="N30" s="1463">
        <v>0.72</v>
      </c>
      <c r="O30" s="1463">
        <v>3.15</v>
      </c>
      <c r="P30" s="1463">
        <v>3.51</v>
      </c>
      <c r="Q30" s="1463">
        <v>3.87</v>
      </c>
      <c r="R30" s="1463">
        <v>4.41</v>
      </c>
      <c r="S30" s="1463">
        <v>5.13</v>
      </c>
      <c r="T30" s="1463">
        <v>5.58</v>
      </c>
      <c r="U30" s="1463">
        <v>3.15</v>
      </c>
      <c r="V30" s="1463">
        <v>3.51</v>
      </c>
      <c r="W30" s="1463">
        <v>3.87</v>
      </c>
      <c r="X30" s="1463">
        <v>1.53</v>
      </c>
      <c r="Y30" s="1463">
        <v>1.17</v>
      </c>
      <c r="Z30" s="1463">
        <v>1.71</v>
      </c>
    </row>
    <row r="31" spans="2:26">
      <c r="B31" s="1463"/>
      <c r="C31" s="1464">
        <v>39707</v>
      </c>
      <c r="D31" s="1463">
        <v>6.21</v>
      </c>
      <c r="E31" s="1463">
        <v>7.2</v>
      </c>
      <c r="F31" s="1463">
        <v>7.29</v>
      </c>
      <c r="G31" s="1463">
        <v>7.56</v>
      </c>
      <c r="H31" s="1463">
        <v>7.74</v>
      </c>
      <c r="I31" s="1463">
        <v>4.59</v>
      </c>
      <c r="J31" s="1463">
        <v>5.13</v>
      </c>
      <c r="L31" s="1463"/>
      <c r="M31" s="1464">
        <v>39437</v>
      </c>
      <c r="N31" s="1463">
        <v>0.72</v>
      </c>
      <c r="O31" s="1463">
        <v>3.33</v>
      </c>
      <c r="P31" s="1463">
        <v>3.78</v>
      </c>
      <c r="Q31" s="1463">
        <v>4.1399999999999997</v>
      </c>
      <c r="R31" s="1463">
        <v>4.68</v>
      </c>
      <c r="S31" s="1463">
        <v>5.4</v>
      </c>
      <c r="T31" s="1463">
        <v>5.85</v>
      </c>
      <c r="U31" s="1463">
        <v>3.33</v>
      </c>
      <c r="V31" s="1463">
        <v>3.78</v>
      </c>
      <c r="W31" s="1463">
        <v>4.1399999999999997</v>
      </c>
      <c r="X31" s="1463">
        <v>1.53</v>
      </c>
      <c r="Y31" s="1463">
        <v>1.17</v>
      </c>
      <c r="Z31" s="1463">
        <v>1.71</v>
      </c>
    </row>
    <row r="32" spans="2:26">
      <c r="B32" s="1463"/>
      <c r="C32" s="1464">
        <v>39437</v>
      </c>
      <c r="D32" s="1463">
        <v>6.57</v>
      </c>
      <c r="E32" s="1463">
        <v>7.47</v>
      </c>
      <c r="F32" s="1463">
        <v>7.56</v>
      </c>
      <c r="G32" s="1463">
        <v>7.74</v>
      </c>
      <c r="H32" s="1463">
        <v>7.83</v>
      </c>
      <c r="I32" s="1463">
        <v>4.7699999999999996</v>
      </c>
      <c r="J32" s="1463">
        <v>5.22</v>
      </c>
      <c r="L32" s="1463"/>
      <c r="M32" s="1464">
        <v>39340</v>
      </c>
      <c r="N32" s="1463">
        <v>0.81</v>
      </c>
      <c r="O32" s="1463">
        <v>2.88</v>
      </c>
      <c r="P32" s="1463">
        <v>3.42</v>
      </c>
      <c r="Q32" s="1463">
        <v>3.87</v>
      </c>
      <c r="R32" s="1463">
        <v>4.5</v>
      </c>
      <c r="S32" s="1463">
        <v>5.22</v>
      </c>
      <c r="T32" s="1463">
        <v>5.76</v>
      </c>
      <c r="U32" s="1463">
        <v>2.88</v>
      </c>
      <c r="V32" s="1463">
        <v>3.42</v>
      </c>
      <c r="W32" s="1463">
        <v>3.87</v>
      </c>
      <c r="X32" s="1463">
        <v>1.53</v>
      </c>
      <c r="Y32" s="1463">
        <v>1.17</v>
      </c>
      <c r="Z32" s="1463">
        <v>1.71</v>
      </c>
    </row>
    <row r="33" spans="2:26">
      <c r="B33" s="1463"/>
      <c r="C33" s="1464">
        <v>39340</v>
      </c>
      <c r="D33" s="1463">
        <v>6.48</v>
      </c>
      <c r="E33" s="1463">
        <v>7.29</v>
      </c>
      <c r="F33" s="1463">
        <v>7.47</v>
      </c>
      <c r="G33" s="1463">
        <v>7.65</v>
      </c>
      <c r="H33" s="1463">
        <v>7.83</v>
      </c>
      <c r="I33" s="1463">
        <v>4.7699999999999996</v>
      </c>
      <c r="J33" s="1463">
        <v>5.22</v>
      </c>
      <c r="L33" s="1463"/>
      <c r="M33" s="1464">
        <v>39316</v>
      </c>
      <c r="N33" s="1463">
        <v>0.81</v>
      </c>
      <c r="O33" s="1463">
        <v>2.61</v>
      </c>
      <c r="P33" s="1463">
        <v>3.15</v>
      </c>
      <c r="Q33" s="1463">
        <v>3.6</v>
      </c>
      <c r="R33" s="1463">
        <v>4.2300000000000004</v>
      </c>
      <c r="S33" s="1463">
        <v>4.95</v>
      </c>
      <c r="T33" s="1463">
        <v>5.49</v>
      </c>
      <c r="U33" s="1463">
        <v>2.61</v>
      </c>
      <c r="V33" s="1463">
        <v>3.15</v>
      </c>
      <c r="W33" s="1463">
        <v>3.6</v>
      </c>
      <c r="X33" s="1463">
        <v>1.53</v>
      </c>
      <c r="Y33" s="1463">
        <v>1.17</v>
      </c>
      <c r="Z33" s="1463">
        <v>1.71</v>
      </c>
    </row>
    <row r="34" spans="2:26">
      <c r="B34" s="1463"/>
      <c r="C34" s="1464">
        <v>39316</v>
      </c>
      <c r="D34" s="1463">
        <v>6.21</v>
      </c>
      <c r="E34" s="1463">
        <v>7.02</v>
      </c>
      <c r="F34" s="1463">
        <v>7.2</v>
      </c>
      <c r="G34" s="1463">
        <v>7.38</v>
      </c>
      <c r="H34" s="1463">
        <v>7.56</v>
      </c>
      <c r="I34" s="1463">
        <v>4.59</v>
      </c>
      <c r="J34" s="1463">
        <v>5.04</v>
      </c>
      <c r="L34" s="1463"/>
      <c r="M34" s="1464">
        <v>39284</v>
      </c>
      <c r="N34" s="1463">
        <v>0.81</v>
      </c>
      <c r="O34" s="1463">
        <v>2.34</v>
      </c>
      <c r="P34" s="1463">
        <v>2.88</v>
      </c>
      <c r="Q34" s="1463">
        <v>3.33</v>
      </c>
      <c r="R34" s="1463">
        <v>3.96</v>
      </c>
      <c r="S34" s="1463">
        <v>4.68</v>
      </c>
      <c r="T34" s="1463">
        <v>5.22</v>
      </c>
      <c r="U34" s="1463">
        <v>2.34</v>
      </c>
      <c r="V34" s="1463">
        <v>2.88</v>
      </c>
      <c r="W34" s="1463">
        <v>3.33</v>
      </c>
      <c r="X34" s="1463">
        <v>1.53</v>
      </c>
      <c r="Y34" s="1463">
        <v>1.17</v>
      </c>
      <c r="Z34" s="1463">
        <v>1.71</v>
      </c>
    </row>
    <row r="35" spans="2:26">
      <c r="B35" s="1463"/>
      <c r="C35" s="1464">
        <v>39284</v>
      </c>
      <c r="D35" s="1463">
        <v>6.03</v>
      </c>
      <c r="E35" s="1463">
        <v>6.84</v>
      </c>
      <c r="F35" s="1463">
        <v>7.02</v>
      </c>
      <c r="G35" s="1463">
        <v>7.2</v>
      </c>
      <c r="H35" s="1463">
        <v>7.38</v>
      </c>
      <c r="I35" s="1463">
        <v>4.5</v>
      </c>
      <c r="J35" s="1463">
        <v>4.95</v>
      </c>
      <c r="L35" s="1463"/>
      <c r="M35" s="1464">
        <v>39221</v>
      </c>
      <c r="N35" s="1463">
        <v>0.72</v>
      </c>
      <c r="O35" s="1463">
        <v>2.0699999999999998</v>
      </c>
      <c r="P35" s="1463">
        <v>2.61</v>
      </c>
      <c r="Q35" s="1463">
        <v>3.06</v>
      </c>
      <c r="R35" s="1463">
        <v>3.69</v>
      </c>
      <c r="S35" s="1463">
        <v>4.41</v>
      </c>
      <c r="T35" s="1463">
        <v>4.95</v>
      </c>
      <c r="U35" s="1463">
        <v>2.0699999999999998</v>
      </c>
      <c r="V35" s="1463">
        <v>2.61</v>
      </c>
      <c r="W35" s="1463">
        <v>3.06</v>
      </c>
      <c r="X35" s="1463">
        <v>1.44</v>
      </c>
      <c r="Y35" s="1463">
        <v>1.08</v>
      </c>
      <c r="Z35" s="1463">
        <v>1.62</v>
      </c>
    </row>
    <row r="36" spans="2:26">
      <c r="B36" s="1463"/>
      <c r="C36" s="1464">
        <v>39221</v>
      </c>
      <c r="D36" s="1463">
        <v>5.85</v>
      </c>
      <c r="E36" s="1463">
        <v>6.57</v>
      </c>
      <c r="F36" s="1463">
        <v>6.75</v>
      </c>
      <c r="G36" s="1463">
        <v>6.93</v>
      </c>
      <c r="H36" s="1463">
        <v>7.2</v>
      </c>
      <c r="I36" s="1463">
        <v>4.41</v>
      </c>
      <c r="J36" s="1463">
        <v>4.8600000000000003</v>
      </c>
      <c r="L36" s="1463"/>
      <c r="M36" s="1464">
        <v>39159</v>
      </c>
      <c r="N36" s="1463">
        <v>0.72</v>
      </c>
      <c r="O36" s="1463">
        <v>1.98</v>
      </c>
      <c r="P36" s="1463">
        <v>2.4300000000000002</v>
      </c>
      <c r="Q36" s="1463">
        <v>2.79</v>
      </c>
      <c r="R36" s="1463">
        <v>3.33</v>
      </c>
      <c r="S36" s="1463">
        <v>3.96</v>
      </c>
      <c r="T36" s="1463">
        <v>4.41</v>
      </c>
      <c r="U36" s="1463">
        <v>1.98</v>
      </c>
      <c r="V36" s="1463">
        <v>2.4300000000000002</v>
      </c>
      <c r="W36" s="1463">
        <v>2.79</v>
      </c>
      <c r="X36" s="1463">
        <v>1.44</v>
      </c>
      <c r="Y36" s="1463">
        <v>1.08</v>
      </c>
      <c r="Z36" s="1463">
        <v>1.62</v>
      </c>
    </row>
    <row r="37" spans="2:26">
      <c r="B37" s="1463"/>
      <c r="C37" s="1464">
        <v>39159</v>
      </c>
      <c r="D37" s="1463">
        <v>5.67</v>
      </c>
      <c r="E37" s="1463">
        <v>6.39</v>
      </c>
      <c r="F37" s="1463">
        <v>6.57</v>
      </c>
      <c r="G37" s="1463">
        <v>6.75</v>
      </c>
      <c r="H37" s="1463">
        <v>7.11</v>
      </c>
      <c r="I37" s="1463">
        <v>4.32</v>
      </c>
      <c r="J37" s="1463">
        <v>4.7699999999999996</v>
      </c>
      <c r="L37" s="1463"/>
      <c r="M37" s="1464">
        <v>38948</v>
      </c>
      <c r="N37" s="1463">
        <v>0.72</v>
      </c>
      <c r="O37" s="1463">
        <v>1.8</v>
      </c>
      <c r="P37" s="1463">
        <v>2.25</v>
      </c>
      <c r="Q37" s="1463">
        <v>2.52</v>
      </c>
      <c r="R37" s="1463">
        <v>3.06</v>
      </c>
      <c r="S37" s="1463">
        <v>3.69</v>
      </c>
      <c r="T37" s="1463">
        <v>4.1399999999999997</v>
      </c>
      <c r="U37" s="1463">
        <v>1.8</v>
      </c>
      <c r="V37" s="1463">
        <v>2.25</v>
      </c>
      <c r="W37" s="1463">
        <v>2.52</v>
      </c>
      <c r="X37" s="1463">
        <v>1.44</v>
      </c>
      <c r="Y37" s="1463">
        <v>1.08</v>
      </c>
      <c r="Z37" s="1463">
        <v>1.62</v>
      </c>
    </row>
    <row r="38" spans="2:26">
      <c r="B38" s="1463"/>
      <c r="C38" s="1464">
        <v>38948</v>
      </c>
      <c r="D38" s="1463">
        <v>5.58</v>
      </c>
      <c r="E38" s="1463">
        <v>6.12</v>
      </c>
      <c r="F38" s="1463">
        <v>6.3</v>
      </c>
      <c r="G38" s="1463">
        <v>6.48</v>
      </c>
      <c r="H38" s="1463">
        <v>6.84</v>
      </c>
      <c r="I38" s="1463">
        <v>4.1399999999999997</v>
      </c>
      <c r="J38" s="1463">
        <v>4.59</v>
      </c>
      <c r="L38" s="1463"/>
      <c r="M38" s="1464">
        <v>38289</v>
      </c>
      <c r="N38" s="1463">
        <v>0.72</v>
      </c>
      <c r="O38" s="1463">
        <v>1.71</v>
      </c>
      <c r="P38" s="1463">
        <v>2.0699999999999998</v>
      </c>
      <c r="Q38" s="1463">
        <v>2.25</v>
      </c>
      <c r="R38" s="1463">
        <v>2.7</v>
      </c>
      <c r="S38" s="1463">
        <v>3.24</v>
      </c>
      <c r="T38" s="1463">
        <v>3.6</v>
      </c>
      <c r="U38" s="1463">
        <v>1.71</v>
      </c>
      <c r="V38" s="1463">
        <v>2.0699999999999998</v>
      </c>
      <c r="W38" s="1463">
        <v>2.25</v>
      </c>
      <c r="X38" s="1463">
        <v>1.44</v>
      </c>
      <c r="Y38" s="1463">
        <v>1.08</v>
      </c>
      <c r="Z38" s="1463">
        <v>1.62</v>
      </c>
    </row>
    <row r="39" spans="2:26">
      <c r="B39" s="1463"/>
      <c r="C39" s="1464">
        <v>38835</v>
      </c>
      <c r="D39" s="1463">
        <v>5.4</v>
      </c>
      <c r="E39" s="1463">
        <v>5.85</v>
      </c>
      <c r="F39" s="1463">
        <v>6.03</v>
      </c>
      <c r="G39" s="1463">
        <v>6.12</v>
      </c>
      <c r="H39" s="1463">
        <v>6.39</v>
      </c>
      <c r="I39" s="1463">
        <v>4.1399999999999997</v>
      </c>
      <c r="J39" s="1463">
        <v>4.59</v>
      </c>
      <c r="L39" s="1463"/>
      <c r="M39" s="1464">
        <v>37308</v>
      </c>
      <c r="N39" s="1463">
        <v>0.72</v>
      </c>
      <c r="O39" s="1463">
        <v>1.71</v>
      </c>
      <c r="P39" s="1463">
        <v>1.89</v>
      </c>
      <c r="Q39" s="1463">
        <v>1.98</v>
      </c>
      <c r="R39" s="1463">
        <v>2.25</v>
      </c>
      <c r="S39" s="1463">
        <v>2.52</v>
      </c>
      <c r="T39" s="1463">
        <v>2.79</v>
      </c>
      <c r="U39" s="1463">
        <v>1.71</v>
      </c>
      <c r="V39" s="1463">
        <v>1.89</v>
      </c>
      <c r="W39" s="1463">
        <v>1.98</v>
      </c>
      <c r="X39" s="1463">
        <v>1.44</v>
      </c>
      <c r="Y39" s="1463">
        <v>1.08</v>
      </c>
      <c r="Z39" s="1463">
        <v>1.62</v>
      </c>
    </row>
    <row r="40" spans="2:26">
      <c r="B40" s="1463"/>
      <c r="C40" s="1464">
        <v>38428</v>
      </c>
      <c r="D40" s="1463">
        <v>5.22</v>
      </c>
      <c r="E40" s="1463">
        <v>5.58</v>
      </c>
      <c r="F40" s="1463">
        <v>5.76</v>
      </c>
      <c r="G40" s="1463">
        <v>5.85</v>
      </c>
      <c r="H40" s="1463">
        <v>6.12</v>
      </c>
      <c r="I40" s="1463">
        <v>3.96</v>
      </c>
      <c r="J40" s="1463">
        <v>4.41</v>
      </c>
      <c r="L40" s="1463"/>
      <c r="M40" s="1464">
        <v>36321</v>
      </c>
      <c r="N40" s="1463">
        <v>0.99</v>
      </c>
      <c r="O40" s="1463">
        <v>1.98</v>
      </c>
      <c r="P40" s="1463">
        <v>2.16</v>
      </c>
      <c r="Q40" s="1463">
        <v>2.25</v>
      </c>
      <c r="R40" s="1463">
        <v>2.4300000000000002</v>
      </c>
      <c r="S40" s="1463">
        <v>2.7</v>
      </c>
      <c r="T40" s="1463">
        <v>2.88</v>
      </c>
      <c r="U40" s="1463">
        <v>1.98</v>
      </c>
      <c r="V40" s="1463">
        <v>2.16</v>
      </c>
      <c r="W40" s="1463">
        <v>2.25</v>
      </c>
      <c r="X40" s="1463">
        <v>1.71</v>
      </c>
      <c r="Y40" s="1463">
        <v>1.35</v>
      </c>
      <c r="Z40" s="1463">
        <v>1.89</v>
      </c>
    </row>
    <row r="41" spans="2:26">
      <c r="B41" s="1463"/>
      <c r="C41" s="1464">
        <v>38289</v>
      </c>
      <c r="D41" s="1463">
        <v>5.22</v>
      </c>
      <c r="E41" s="1463">
        <v>5.58</v>
      </c>
      <c r="F41" s="1463">
        <v>5.76</v>
      </c>
      <c r="G41" s="1463">
        <v>5.85</v>
      </c>
      <c r="H41" s="1463">
        <v>6.12</v>
      </c>
      <c r="I41" s="1463">
        <v>3.78</v>
      </c>
      <c r="J41" s="1463">
        <v>4.2300000000000004</v>
      </c>
      <c r="L41" s="1463"/>
      <c r="M41" s="1464">
        <v>36136</v>
      </c>
      <c r="N41" s="1463">
        <v>1.44</v>
      </c>
      <c r="O41" s="1463">
        <v>2.79</v>
      </c>
      <c r="P41" s="1463">
        <v>3.33</v>
      </c>
      <c r="Q41" s="1463">
        <v>3.78</v>
      </c>
      <c r="R41" s="1463">
        <v>3.96</v>
      </c>
      <c r="S41" s="1463">
        <v>4.1399999999999997</v>
      </c>
      <c r="T41" s="1463">
        <v>4.5</v>
      </c>
      <c r="U41" s="1463">
        <v>3.33</v>
      </c>
      <c r="V41" s="1463">
        <v>3.78</v>
      </c>
      <c r="W41" s="1463">
        <v>4.1399999999999997</v>
      </c>
      <c r="X41" s="1463">
        <v>2.16</v>
      </c>
      <c r="Y41" s="1463">
        <v>1.8</v>
      </c>
      <c r="Z41" s="1463">
        <v>2.34</v>
      </c>
    </row>
    <row r="42" spans="2:26">
      <c r="B42" s="1463"/>
      <c r="C42" s="1464">
        <v>37308</v>
      </c>
      <c r="D42" s="1463">
        <v>5.04</v>
      </c>
      <c r="E42" s="1463">
        <v>5.31</v>
      </c>
      <c r="F42" s="1463">
        <v>5.49</v>
      </c>
      <c r="G42" s="1463">
        <v>5.58</v>
      </c>
      <c r="H42" s="1463">
        <v>5.76</v>
      </c>
      <c r="I42" s="1463">
        <v>3.6</v>
      </c>
      <c r="J42" s="1463">
        <v>4.05</v>
      </c>
      <c r="L42" s="1463"/>
      <c r="M42" s="1464">
        <v>35977</v>
      </c>
      <c r="N42" s="1463">
        <v>1.44</v>
      </c>
      <c r="O42" s="1463">
        <v>2.79</v>
      </c>
      <c r="P42" s="1463">
        <v>3.96</v>
      </c>
      <c r="Q42" s="1463">
        <v>4.7699999999999996</v>
      </c>
      <c r="R42" s="1463">
        <v>4.8600000000000003</v>
      </c>
      <c r="S42" s="1463">
        <v>4.95</v>
      </c>
      <c r="T42" s="1463">
        <v>5.22</v>
      </c>
      <c r="U42" s="1463">
        <v>3.96</v>
      </c>
      <c r="V42" s="1463">
        <v>4.7699999999999996</v>
      </c>
      <c r="W42" s="1463">
        <v>4.95</v>
      </c>
      <c r="X42" s="1463" t="s">
        <v>1298</v>
      </c>
      <c r="Y42" s="1463" t="s">
        <v>1298</v>
      </c>
      <c r="Z42" s="1463" t="s">
        <v>1298</v>
      </c>
    </row>
    <row r="43" spans="2:26">
      <c r="B43" s="1463"/>
      <c r="C43" s="1464">
        <v>36321</v>
      </c>
      <c r="D43" s="1463">
        <v>5.58</v>
      </c>
      <c r="E43" s="1463">
        <v>5.85</v>
      </c>
      <c r="F43" s="1463">
        <v>5.94</v>
      </c>
      <c r="G43" s="1463">
        <v>6.03</v>
      </c>
      <c r="H43" s="1463">
        <v>6.21</v>
      </c>
      <c r="I43" s="1463">
        <v>4.1399999999999997</v>
      </c>
      <c r="J43" s="1463">
        <v>4.59</v>
      </c>
      <c r="L43" s="1463"/>
      <c r="M43" s="1464">
        <v>35879</v>
      </c>
      <c r="N43" s="1463">
        <v>1.71</v>
      </c>
      <c r="O43" s="1463">
        <v>2.88</v>
      </c>
      <c r="P43" s="1463">
        <v>4.1399999999999997</v>
      </c>
      <c r="Q43" s="1463">
        <v>5.22</v>
      </c>
      <c r="R43" s="1463">
        <v>5.58</v>
      </c>
      <c r="S43" s="1463">
        <v>6.21</v>
      </c>
      <c r="T43" s="1463">
        <v>6.66</v>
      </c>
      <c r="U43" s="1463">
        <v>4.1399999999999997</v>
      </c>
      <c r="V43" s="1463">
        <v>5.22</v>
      </c>
      <c r="W43" s="1463">
        <v>6.21</v>
      </c>
      <c r="X43" s="1463" t="s">
        <v>1298</v>
      </c>
      <c r="Y43" s="1463" t="s">
        <v>1298</v>
      </c>
      <c r="Z43" s="1463" t="s">
        <v>1298</v>
      </c>
    </row>
    <row r="44" spans="2:26">
      <c r="B44" s="1463"/>
      <c r="C44" s="1464">
        <v>36136</v>
      </c>
      <c r="D44" s="1463">
        <v>6.12</v>
      </c>
      <c r="E44" s="1463">
        <v>6.39</v>
      </c>
      <c r="F44" s="1463">
        <v>6.66</v>
      </c>
      <c r="G44" s="1463">
        <v>7.2</v>
      </c>
      <c r="H44" s="1463">
        <v>7.56</v>
      </c>
      <c r="I44" s="1463">
        <v>0</v>
      </c>
      <c r="J44" s="1463">
        <v>0</v>
      </c>
      <c r="L44" s="1463"/>
      <c r="M44" s="1464">
        <v>35726</v>
      </c>
      <c r="N44" s="1463">
        <v>1.71</v>
      </c>
      <c r="O44" s="1463">
        <v>2.88</v>
      </c>
      <c r="P44" s="1463">
        <v>4.1399999999999997</v>
      </c>
      <c r="Q44" s="1463">
        <v>5.67</v>
      </c>
      <c r="R44" s="1463">
        <v>5.94</v>
      </c>
      <c r="S44" s="1463">
        <v>6.21</v>
      </c>
      <c r="T44" s="1463">
        <v>6.66</v>
      </c>
      <c r="U44" s="1463">
        <v>4.1399999999999997</v>
      </c>
      <c r="V44" s="1463">
        <v>5.67</v>
      </c>
      <c r="W44" s="1463">
        <v>6.21</v>
      </c>
      <c r="X44" s="1463" t="s">
        <v>1298</v>
      </c>
      <c r="Y44" s="1463" t="s">
        <v>1298</v>
      </c>
      <c r="Z44" s="1463" t="s">
        <v>1298</v>
      </c>
    </row>
    <row r="45" spans="2:26">
      <c r="B45" s="1463"/>
      <c r="C45" s="1464">
        <v>35977</v>
      </c>
      <c r="D45" s="1463">
        <v>6.57</v>
      </c>
      <c r="E45" s="1463">
        <v>6.93</v>
      </c>
      <c r="F45" s="1463">
        <v>7.11</v>
      </c>
      <c r="G45" s="1463">
        <v>7.65</v>
      </c>
      <c r="H45" s="1463">
        <v>8.01</v>
      </c>
      <c r="I45" s="1463">
        <v>0</v>
      </c>
      <c r="J45" s="1463">
        <v>0</v>
      </c>
      <c r="L45" s="1463"/>
      <c r="M45" s="1464">
        <v>35300</v>
      </c>
      <c r="N45" s="1463">
        <v>1.98</v>
      </c>
      <c r="O45" s="1463">
        <v>3.33</v>
      </c>
      <c r="P45" s="1463">
        <v>5.4</v>
      </c>
      <c r="Q45" s="1463">
        <v>7.47</v>
      </c>
      <c r="R45" s="1463">
        <v>7.92</v>
      </c>
      <c r="S45" s="1463">
        <v>8.2799999999999994</v>
      </c>
      <c r="T45" s="1463">
        <v>9</v>
      </c>
      <c r="U45" s="1463">
        <v>5.4</v>
      </c>
      <c r="V45" s="1463">
        <v>7.47</v>
      </c>
      <c r="W45" s="1463">
        <v>8.2799999999999994</v>
      </c>
      <c r="X45" s="1463" t="s">
        <v>1298</v>
      </c>
      <c r="Y45" s="1463" t="s">
        <v>1298</v>
      </c>
      <c r="Z45" s="1463" t="s">
        <v>1298</v>
      </c>
    </row>
    <row r="46" spans="2:26">
      <c r="B46" s="1463"/>
      <c r="C46" s="1464">
        <v>35879</v>
      </c>
      <c r="D46" s="1463">
        <v>7.02</v>
      </c>
      <c r="E46" s="1463">
        <v>7.92</v>
      </c>
      <c r="F46" s="1463">
        <v>9</v>
      </c>
      <c r="G46" s="1463">
        <v>9.7200000000000006</v>
      </c>
      <c r="H46" s="1463">
        <v>10.35</v>
      </c>
      <c r="I46" s="1463">
        <v>0</v>
      </c>
      <c r="J46" s="1463">
        <v>0</v>
      </c>
      <c r="L46" s="1463"/>
      <c r="M46" s="1464">
        <v>35186</v>
      </c>
      <c r="N46" s="1463">
        <v>2.97</v>
      </c>
      <c r="O46" s="1463">
        <v>4.8600000000000003</v>
      </c>
      <c r="P46" s="1463">
        <v>7.2</v>
      </c>
      <c r="Q46" s="1463">
        <v>9.18</v>
      </c>
      <c r="R46" s="1463">
        <v>9.9</v>
      </c>
      <c r="S46" s="1463">
        <v>10.8</v>
      </c>
      <c r="T46" s="1463">
        <v>12.06</v>
      </c>
      <c r="U46" s="1463">
        <v>7.2</v>
      </c>
      <c r="V46" s="1463">
        <v>9.18</v>
      </c>
      <c r="W46" s="1463">
        <v>10.8</v>
      </c>
      <c r="X46" s="1463" t="s">
        <v>1298</v>
      </c>
      <c r="Y46" s="1463" t="s">
        <v>1298</v>
      </c>
      <c r="Z46" s="1463" t="s">
        <v>1298</v>
      </c>
    </row>
    <row r="47" spans="2:26">
      <c r="B47" s="1463"/>
      <c r="C47" s="1464">
        <v>35726</v>
      </c>
      <c r="D47" s="1463">
        <v>7.65</v>
      </c>
      <c r="E47" s="1463">
        <v>8.64</v>
      </c>
      <c r="F47" s="1463">
        <v>9.36</v>
      </c>
      <c r="G47" s="1463">
        <v>9.9</v>
      </c>
      <c r="H47" s="1463">
        <v>10.53</v>
      </c>
      <c r="I47" s="1463">
        <v>0</v>
      </c>
      <c r="J47" s="1463">
        <v>0</v>
      </c>
      <c r="L47" s="1463"/>
      <c r="M47" s="1464">
        <v>34161</v>
      </c>
      <c r="N47" s="1463">
        <v>3.15</v>
      </c>
      <c r="O47" s="1463">
        <v>6.66</v>
      </c>
      <c r="P47" s="1463">
        <v>9</v>
      </c>
      <c r="Q47" s="1463">
        <v>10.98</v>
      </c>
      <c r="R47" s="1463">
        <v>11.7</v>
      </c>
      <c r="S47" s="1463">
        <v>12.24</v>
      </c>
      <c r="T47" s="1463">
        <v>13.86</v>
      </c>
      <c r="U47" s="1463">
        <v>9</v>
      </c>
      <c r="V47" s="1463">
        <v>10.98</v>
      </c>
      <c r="W47" s="1463">
        <v>12.24</v>
      </c>
      <c r="X47" s="1463" t="s">
        <v>1298</v>
      </c>
      <c r="Y47" s="1463" t="s">
        <v>1298</v>
      </c>
      <c r="Z47" s="1463" t="s">
        <v>1298</v>
      </c>
    </row>
    <row r="48" spans="2:26">
      <c r="B48" s="1463"/>
      <c r="C48" s="1464">
        <v>35300</v>
      </c>
      <c r="D48" s="1463">
        <v>9.18</v>
      </c>
      <c r="E48" s="1463">
        <v>10.08</v>
      </c>
      <c r="F48" s="1463">
        <v>10.98</v>
      </c>
      <c r="G48" s="1463">
        <v>11.7</v>
      </c>
      <c r="H48" s="1463">
        <v>12.42</v>
      </c>
      <c r="I48" s="1463">
        <v>0</v>
      </c>
      <c r="J48" s="1463">
        <v>0</v>
      </c>
      <c r="L48" s="1463"/>
      <c r="M48" s="1464">
        <v>34104</v>
      </c>
      <c r="N48" s="1463">
        <v>2.16</v>
      </c>
      <c r="O48" s="1463">
        <v>4.8600000000000003</v>
      </c>
      <c r="P48" s="1463">
        <v>7.2</v>
      </c>
      <c r="Q48" s="1463">
        <v>9.18</v>
      </c>
      <c r="R48" s="1463">
        <v>9.9</v>
      </c>
      <c r="S48" s="1463">
        <v>10.8</v>
      </c>
      <c r="T48" s="1463">
        <v>12.06</v>
      </c>
      <c r="U48" s="1463">
        <v>7.2</v>
      </c>
      <c r="V48" s="1463">
        <v>9.18</v>
      </c>
      <c r="W48" s="1463">
        <v>10.8</v>
      </c>
      <c r="X48" s="1463" t="s">
        <v>1298</v>
      </c>
      <c r="Y48" s="1463" t="s">
        <v>1298</v>
      </c>
      <c r="Z48" s="1463" t="s">
        <v>1298</v>
      </c>
    </row>
    <row r="49" spans="2:26">
      <c r="B49" s="1463"/>
      <c r="C49" s="1464">
        <v>35186</v>
      </c>
      <c r="D49" s="1463">
        <v>9.7200000000000006</v>
      </c>
      <c r="E49" s="1463">
        <v>10.98</v>
      </c>
      <c r="F49" s="1463">
        <v>13.14</v>
      </c>
      <c r="G49" s="1463">
        <v>14.94</v>
      </c>
      <c r="H49" s="1463">
        <v>15.12</v>
      </c>
      <c r="I49" s="1463">
        <v>0</v>
      </c>
      <c r="J49" s="1463">
        <v>0</v>
      </c>
      <c r="L49" s="1463"/>
      <c r="M49" s="1464">
        <v>33349</v>
      </c>
      <c r="N49" s="1463">
        <v>1.8</v>
      </c>
      <c r="O49" s="1463">
        <v>3.24</v>
      </c>
      <c r="P49" s="1463">
        <v>5.4</v>
      </c>
      <c r="Q49" s="1463">
        <v>7.56</v>
      </c>
      <c r="R49" s="1463">
        <v>7.92</v>
      </c>
      <c r="S49" s="1463">
        <v>8.2799999999999994</v>
      </c>
      <c r="T49" s="1463">
        <v>9</v>
      </c>
      <c r="U49" s="1463">
        <v>6.12</v>
      </c>
      <c r="V49" s="1463">
        <v>6.84</v>
      </c>
      <c r="W49" s="1463">
        <v>7.56</v>
      </c>
      <c r="X49" s="1463" t="s">
        <v>1298</v>
      </c>
      <c r="Y49" s="1463" t="s">
        <v>1298</v>
      </c>
      <c r="Z49" s="1463" t="s">
        <v>1298</v>
      </c>
    </row>
    <row r="50" spans="2:26">
      <c r="B50" s="1463"/>
      <c r="C50" s="1464">
        <v>34881</v>
      </c>
      <c r="D50" s="1463">
        <v>10.08</v>
      </c>
      <c r="E50" s="1463">
        <v>12.06</v>
      </c>
      <c r="F50" s="1463">
        <v>13.5</v>
      </c>
      <c r="G50" s="1463">
        <v>15.12</v>
      </c>
      <c r="H50" s="1463">
        <v>15.3</v>
      </c>
      <c r="I50" s="1463">
        <v>0</v>
      </c>
      <c r="J50" s="1463">
        <v>0</v>
      </c>
      <c r="L50" s="1463"/>
      <c r="M50" s="1464">
        <v>33106</v>
      </c>
      <c r="N50" s="1463">
        <v>2.16</v>
      </c>
      <c r="O50" s="1463">
        <v>4.32</v>
      </c>
      <c r="P50" s="1463">
        <v>6.48</v>
      </c>
      <c r="Q50" s="1463">
        <v>8.64</v>
      </c>
      <c r="R50" s="1463">
        <v>9.36</v>
      </c>
      <c r="S50" s="1463">
        <v>10.08</v>
      </c>
      <c r="T50" s="1463">
        <v>11.52</v>
      </c>
      <c r="U50" s="1463">
        <v>7.2</v>
      </c>
      <c r="V50" s="1463">
        <v>8.64</v>
      </c>
      <c r="W50" s="1463">
        <v>10.08</v>
      </c>
      <c r="X50" s="1463" t="s">
        <v>1298</v>
      </c>
      <c r="Y50" s="1463" t="s">
        <v>1298</v>
      </c>
      <c r="Z50" s="1463" t="s">
        <v>1298</v>
      </c>
    </row>
    <row r="51" spans="2:26">
      <c r="B51" s="1463"/>
      <c r="C51" s="1464">
        <v>34700</v>
      </c>
      <c r="D51" s="1463">
        <v>9</v>
      </c>
      <c r="E51" s="1463">
        <v>10.98</v>
      </c>
      <c r="F51" s="1463">
        <v>12.96</v>
      </c>
      <c r="G51" s="1463">
        <v>14.58</v>
      </c>
      <c r="H51" s="1463">
        <v>14.76</v>
      </c>
      <c r="I51" s="1463">
        <v>0</v>
      </c>
      <c r="J51" s="1463">
        <v>0</v>
      </c>
      <c r="L51" s="1463"/>
      <c r="M51" s="1464">
        <v>32978</v>
      </c>
      <c r="N51" s="1463">
        <v>2.88</v>
      </c>
      <c r="O51" s="1463">
        <v>6.3</v>
      </c>
      <c r="P51" s="1463">
        <v>7.74</v>
      </c>
      <c r="Q51" s="1463">
        <v>10.08</v>
      </c>
      <c r="R51" s="1463">
        <v>10.98</v>
      </c>
      <c r="S51" s="1463">
        <v>11.88</v>
      </c>
      <c r="T51" s="1463">
        <v>13.68</v>
      </c>
      <c r="U51" s="1463" t="s">
        <v>1298</v>
      </c>
      <c r="V51" s="1463" t="s">
        <v>1298</v>
      </c>
      <c r="W51" s="1463" t="s">
        <v>1298</v>
      </c>
      <c r="X51" s="1463" t="s">
        <v>1298</v>
      </c>
      <c r="Y51" s="1463" t="s">
        <v>1298</v>
      </c>
      <c r="Z51" s="1463" t="s">
        <v>1298</v>
      </c>
    </row>
    <row r="52" spans="2:26">
      <c r="B52" s="1463"/>
      <c r="C52" s="1464">
        <v>34161</v>
      </c>
      <c r="D52" s="1463">
        <v>9</v>
      </c>
      <c r="E52" s="1463">
        <v>10.98</v>
      </c>
      <c r="F52" s="1463">
        <v>12.24</v>
      </c>
      <c r="G52" s="1463">
        <v>13.86</v>
      </c>
      <c r="H52" s="1463">
        <v>14.04</v>
      </c>
      <c r="I52" s="1463">
        <v>0</v>
      </c>
      <c r="J52" s="1463">
        <v>0</v>
      </c>
      <c r="L52" s="1463"/>
      <c r="M52" s="1464"/>
      <c r="N52" s="1463"/>
      <c r="O52" s="1463"/>
      <c r="P52" s="1463"/>
      <c r="Q52" s="1463"/>
      <c r="R52" s="1463"/>
      <c r="S52" s="1463"/>
      <c r="T52" s="1463"/>
      <c r="U52" s="1463"/>
      <c r="V52" s="1463"/>
      <c r="W52" s="1463"/>
      <c r="X52" s="1463"/>
      <c r="Y52" s="1463"/>
      <c r="Z52" s="1463"/>
    </row>
    <row r="53" spans="2:26">
      <c r="B53" s="1463"/>
      <c r="C53" s="1464">
        <v>34104</v>
      </c>
      <c r="D53" s="1463">
        <v>8.82</v>
      </c>
      <c r="E53" s="1463">
        <v>9.36</v>
      </c>
      <c r="F53" s="1463">
        <v>10.8</v>
      </c>
      <c r="G53" s="1463">
        <v>12.06</v>
      </c>
      <c r="H53" s="1463">
        <v>12.24</v>
      </c>
      <c r="I53" s="1463">
        <v>0</v>
      </c>
      <c r="J53" s="1463">
        <v>0</v>
      </c>
      <c r="L53" s="1463"/>
      <c r="M53" s="1464"/>
      <c r="N53" s="1463"/>
      <c r="O53" s="1463"/>
      <c r="P53" s="1463"/>
      <c r="Q53" s="1463"/>
      <c r="R53" s="1463"/>
      <c r="S53" s="1463"/>
      <c r="T53" s="1463"/>
      <c r="U53" s="1463"/>
      <c r="V53" s="1463"/>
      <c r="W53" s="1463"/>
      <c r="X53" s="1463"/>
      <c r="Y53" s="1463"/>
      <c r="Z53" s="1463"/>
    </row>
    <row r="54" spans="2:26">
      <c r="B54" s="1463"/>
      <c r="C54" s="1464">
        <v>33349</v>
      </c>
      <c r="D54" s="1463">
        <v>8.1</v>
      </c>
      <c r="E54" s="1463">
        <v>8.64</v>
      </c>
      <c r="F54" s="1463">
        <v>9</v>
      </c>
      <c r="G54" s="1463">
        <v>9.5399999999999991</v>
      </c>
      <c r="H54" s="1463">
        <v>9.7200000000000006</v>
      </c>
      <c r="I54" s="1463">
        <v>0</v>
      </c>
      <c r="J54" s="1463">
        <v>0</v>
      </c>
      <c r="L54" s="1463"/>
      <c r="M54" s="1464"/>
      <c r="N54" s="1463"/>
      <c r="O54" s="1463"/>
      <c r="P54" s="1463"/>
      <c r="Q54" s="1463"/>
      <c r="R54" s="1463"/>
      <c r="S54" s="1463"/>
      <c r="T54" s="1463"/>
      <c r="U54" s="1463"/>
      <c r="V54" s="1463"/>
      <c r="W54" s="1463"/>
      <c r="X54" s="1463"/>
      <c r="Y54" s="1463"/>
      <c r="Z54" s="1463"/>
    </row>
    <row r="55" spans="2:26">
      <c r="B55" s="1463"/>
      <c r="C55" s="1464">
        <v>33318</v>
      </c>
      <c r="D55" s="1463">
        <v>9</v>
      </c>
      <c r="E55" s="1463">
        <v>10.08</v>
      </c>
      <c r="F55" s="1463">
        <v>10.8</v>
      </c>
      <c r="G55" s="1463">
        <v>11.52</v>
      </c>
      <c r="H55" s="1463">
        <v>11.88</v>
      </c>
      <c r="I55" s="1463" t="s">
        <v>1298</v>
      </c>
      <c r="J55" s="1463" t="s">
        <v>1298</v>
      </c>
      <c r="L55" s="1463"/>
      <c r="M55" s="1464"/>
      <c r="N55" s="1463"/>
      <c r="O55" s="1463"/>
      <c r="P55" s="1463"/>
      <c r="Q55" s="1463"/>
      <c r="R55" s="1463"/>
      <c r="S55" s="1463"/>
      <c r="T55" s="1463"/>
      <c r="U55" s="1463"/>
      <c r="V55" s="1463"/>
      <c r="W55" s="1463"/>
      <c r="X55" s="1463"/>
      <c r="Y55" s="1463"/>
      <c r="Z55" s="1463"/>
    </row>
    <row r="56" spans="2:26">
      <c r="B56" s="1463"/>
      <c r="C56" s="1464">
        <v>33106</v>
      </c>
      <c r="D56" s="1463">
        <v>8.64</v>
      </c>
      <c r="E56" s="1463">
        <v>9.36</v>
      </c>
      <c r="F56" s="1463">
        <v>10.08</v>
      </c>
      <c r="G56" s="1463">
        <v>10.8</v>
      </c>
      <c r="H56" s="1463">
        <v>11.16</v>
      </c>
      <c r="I56" s="1463">
        <v>0</v>
      </c>
      <c r="J56" s="1463">
        <v>0</v>
      </c>
      <c r="L56" s="1463"/>
      <c r="M56" s="1464"/>
      <c r="N56" s="1463"/>
      <c r="O56" s="1463"/>
      <c r="P56" s="1463"/>
      <c r="Q56" s="1463"/>
      <c r="R56" s="1463"/>
      <c r="S56" s="1463"/>
      <c r="T56" s="1463"/>
      <c r="U56" s="1463"/>
      <c r="V56" s="1463"/>
      <c r="W56" s="1463"/>
      <c r="X56" s="1463"/>
      <c r="Y56" s="1463"/>
      <c r="Z56" s="1463"/>
    </row>
    <row r="57" spans="2:26">
      <c r="B57" s="1463"/>
      <c r="C57" s="1464">
        <v>32540</v>
      </c>
      <c r="D57" s="1463">
        <v>11.34</v>
      </c>
      <c r="E57" s="1463">
        <v>11.34</v>
      </c>
      <c r="F57" s="1463">
        <v>12.78</v>
      </c>
      <c r="G57" s="1463">
        <v>14.4</v>
      </c>
      <c r="H57" s="1463">
        <v>19.260000000000002</v>
      </c>
      <c r="I57" s="1463">
        <v>0</v>
      </c>
      <c r="J57" s="1463">
        <v>0</v>
      </c>
      <c r="L57" s="1463"/>
      <c r="M57" s="1464"/>
      <c r="N57" s="1463"/>
      <c r="O57" s="1463"/>
      <c r="P57" s="1463"/>
      <c r="Q57" s="1463"/>
      <c r="R57" s="1463"/>
      <c r="S57" s="1463"/>
      <c r="T57" s="1463"/>
      <c r="U57" s="1463"/>
      <c r="V57" s="1463"/>
      <c r="W57" s="1463"/>
      <c r="X57" s="1463"/>
      <c r="Y57" s="1463"/>
      <c r="Z57" s="1463"/>
    </row>
    <row r="58" spans="2:26">
      <c r="B58" s="1463"/>
      <c r="C58" s="1464"/>
      <c r="D58" s="1463"/>
      <c r="E58" s="1463"/>
      <c r="F58" s="1463"/>
      <c r="G58" s="1463"/>
      <c r="H58" s="1463"/>
      <c r="I58" s="1463"/>
      <c r="J58" s="1463"/>
    </row>
    <row r="59" spans="2:26">
      <c r="B59" s="1467"/>
      <c r="C59" s="1468"/>
      <c r="D59" s="1467"/>
      <c r="E59" s="1467"/>
      <c r="F59" s="1467"/>
      <c r="G59" s="1467"/>
      <c r="H59" s="1467"/>
      <c r="I59" s="1467"/>
      <c r="J59" s="1467"/>
    </row>
    <row r="60" spans="2:26">
      <c r="B60" s="1467"/>
      <c r="C60" s="1468"/>
      <c r="D60" s="1467"/>
      <c r="E60" s="1467"/>
      <c r="F60" s="1467"/>
      <c r="G60" s="1467"/>
      <c r="H60" s="1467"/>
      <c r="I60" s="1467"/>
      <c r="J60" s="1467"/>
    </row>
    <row r="61" spans="2:26">
      <c r="B61" s="1467"/>
      <c r="C61" s="1468"/>
      <c r="D61" s="1467"/>
      <c r="E61" s="1467"/>
      <c r="F61" s="1467"/>
      <c r="G61" s="1467"/>
      <c r="H61" s="1467"/>
      <c r="I61" s="1467"/>
      <c r="J61" s="1467"/>
    </row>
    <row r="62" spans="2:26">
      <c r="B62" s="1414"/>
      <c r="C62" s="1414"/>
      <c r="D62" s="1414"/>
      <c r="E62" s="1414"/>
      <c r="F62" s="1414"/>
      <c r="G62" s="1414"/>
      <c r="H62" s="1414"/>
      <c r="I62" s="1414"/>
      <c r="J62" s="1414"/>
    </row>
    <row r="63" spans="2:26">
      <c r="B63" s="1414"/>
      <c r="C63" s="1414"/>
      <c r="D63" s="1414"/>
      <c r="E63" s="1414"/>
      <c r="F63" s="1414"/>
      <c r="G63" s="1414"/>
      <c r="H63" s="1414"/>
      <c r="I63" s="1414"/>
      <c r="J63" s="1414"/>
    </row>
  </sheetData>
  <sheetProtection sheet="1" objects="1" scenarios="1"/>
  <phoneticPr fontId="14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24" t="s">
        <v>1338</v>
      </c>
      <c r="E1" s="1518" t="s">
        <v>1342</v>
      </c>
      <c r="F1" s="1519" t="s">
        <v>1346</v>
      </c>
    </row>
    <row r="2" spans="1:13" ht="19.8">
      <c r="A2" s="1525" t="s">
        <v>1339</v>
      </c>
    </row>
    <row r="3" spans="1:13" ht="15.6">
      <c r="A3" s="1526" t="s">
        <v>1340</v>
      </c>
    </row>
    <row r="4" spans="1:13">
      <c r="A4" s="1516" t="s">
        <v>1341</v>
      </c>
      <c r="B4" s="1521" t="s">
        <v>1343</v>
      </c>
      <c r="C4" s="1522"/>
      <c r="D4" s="1523"/>
      <c r="E4" s="1521" t="s">
        <v>27</v>
      </c>
      <c r="F4" s="1522"/>
      <c r="G4" s="1523"/>
      <c r="H4" s="1521" t="s">
        <v>1344</v>
      </c>
      <c r="I4" s="1522"/>
      <c r="J4" s="1523"/>
      <c r="K4" s="1521" t="s">
        <v>6</v>
      </c>
      <c r="L4" s="1522"/>
      <c r="M4" s="1523"/>
    </row>
    <row r="5" spans="1:13">
      <c r="A5" s="1517" t="s">
        <v>1345</v>
      </c>
      <c r="B5" s="1516" t="s">
        <v>1347</v>
      </c>
      <c r="C5" s="1516" t="s">
        <v>1348</v>
      </c>
      <c r="D5" s="1516" t="s">
        <v>1349</v>
      </c>
      <c r="E5" s="1516" t="s">
        <v>1347</v>
      </c>
      <c r="F5" s="1516" t="s">
        <v>1348</v>
      </c>
      <c r="G5" s="1516" t="s">
        <v>1349</v>
      </c>
      <c r="H5" s="1516" t="s">
        <v>1347</v>
      </c>
      <c r="I5" s="1516" t="s">
        <v>1348</v>
      </c>
      <c r="J5" s="1516" t="s">
        <v>1349</v>
      </c>
      <c r="K5" s="1516" t="s">
        <v>1347</v>
      </c>
      <c r="L5" s="1516" t="s">
        <v>1348</v>
      </c>
      <c r="M5" s="1516" t="s">
        <v>1349</v>
      </c>
    </row>
    <row r="6" spans="1:13">
      <c r="A6" s="1520" t="s">
        <v>212</v>
      </c>
      <c r="B6" s="1527">
        <v>26980</v>
      </c>
      <c r="C6" s="1527">
        <v>32980</v>
      </c>
      <c r="D6" s="1527">
        <v>29980</v>
      </c>
      <c r="E6" s="1527">
        <v>26170</v>
      </c>
      <c r="F6" s="1527">
        <v>31990</v>
      </c>
      <c r="G6" s="1527">
        <v>29080</v>
      </c>
      <c r="H6" s="1527">
        <v>25850</v>
      </c>
      <c r="I6" s="1527">
        <v>31590</v>
      </c>
      <c r="J6" s="1527">
        <v>28720</v>
      </c>
      <c r="K6" s="1527">
        <v>9860</v>
      </c>
      <c r="L6" s="1528">
        <v>13340</v>
      </c>
      <c r="M6" s="1527">
        <v>11600</v>
      </c>
    </row>
    <row r="7" spans="1:13">
      <c r="A7" s="1520" t="s">
        <v>269</v>
      </c>
      <c r="B7" s="1527">
        <v>21970</v>
      </c>
      <c r="C7" s="1527">
        <v>28730</v>
      </c>
      <c r="D7" s="1527">
        <v>25350</v>
      </c>
      <c r="E7" s="1527">
        <v>21480</v>
      </c>
      <c r="F7" s="1527">
        <v>28080</v>
      </c>
      <c r="G7" s="1527">
        <v>24780</v>
      </c>
      <c r="H7" s="1527">
        <v>21250</v>
      </c>
      <c r="I7" s="1527">
        <v>27790</v>
      </c>
      <c r="J7" s="1527">
        <v>24520</v>
      </c>
      <c r="K7" s="1527">
        <v>6660</v>
      </c>
      <c r="L7" s="1528">
        <v>10000</v>
      </c>
      <c r="M7" s="1527">
        <v>8330</v>
      </c>
    </row>
    <row r="8" spans="1:13">
      <c r="A8" s="1520" t="s">
        <v>442</v>
      </c>
      <c r="B8" s="1527">
        <v>17430</v>
      </c>
      <c r="C8" s="1527">
        <v>24410</v>
      </c>
      <c r="D8" s="1527">
        <v>20920</v>
      </c>
      <c r="E8" s="1527">
        <v>17140</v>
      </c>
      <c r="F8" s="1527">
        <v>24000</v>
      </c>
      <c r="G8" s="1527">
        <v>20570</v>
      </c>
      <c r="H8" s="1527">
        <v>16990</v>
      </c>
      <c r="I8" s="1527">
        <v>23790</v>
      </c>
      <c r="J8" s="1527">
        <v>20390</v>
      </c>
      <c r="K8" s="1527">
        <v>4530</v>
      </c>
      <c r="L8" s="1528">
        <v>6790</v>
      </c>
      <c r="M8" s="1527">
        <v>5660</v>
      </c>
    </row>
    <row r="9" spans="1:13">
      <c r="A9" s="1520" t="s">
        <v>137</v>
      </c>
      <c r="B9" s="1527">
        <v>13330</v>
      </c>
      <c r="C9" s="1527">
        <v>19990</v>
      </c>
      <c r="D9" s="1527">
        <v>16660</v>
      </c>
      <c r="E9" s="1527">
        <v>13160</v>
      </c>
      <c r="F9" s="1527">
        <v>19740</v>
      </c>
      <c r="G9" s="1527">
        <v>16450</v>
      </c>
      <c r="H9" s="1527">
        <v>13060</v>
      </c>
      <c r="I9" s="1527">
        <v>19600</v>
      </c>
      <c r="J9" s="1527">
        <v>16330</v>
      </c>
      <c r="K9" s="1527">
        <v>3090</v>
      </c>
      <c r="L9" s="1528">
        <v>4650</v>
      </c>
      <c r="M9" s="1527">
        <v>3870</v>
      </c>
    </row>
    <row r="10" spans="1:13">
      <c r="A10" s="1520" t="s">
        <v>523</v>
      </c>
      <c r="B10" s="1527">
        <v>10420</v>
      </c>
      <c r="C10" s="1527">
        <v>15620</v>
      </c>
      <c r="D10" s="1527">
        <v>13020</v>
      </c>
      <c r="E10" s="1527">
        <v>10310</v>
      </c>
      <c r="F10" s="1527">
        <v>15470</v>
      </c>
      <c r="G10" s="1527">
        <v>12890</v>
      </c>
      <c r="H10" s="1527">
        <v>10250</v>
      </c>
      <c r="I10" s="1527">
        <v>15370</v>
      </c>
      <c r="J10" s="1527">
        <v>12810</v>
      </c>
      <c r="K10" s="1527">
        <v>2140</v>
      </c>
      <c r="L10" s="1528">
        <v>3200</v>
      </c>
      <c r="M10" s="1527">
        <v>2670</v>
      </c>
    </row>
    <row r="11" spans="1:13">
      <c r="A11" s="1520" t="s">
        <v>56</v>
      </c>
      <c r="B11" s="1527">
        <v>8130</v>
      </c>
      <c r="C11" s="1527">
        <v>12190</v>
      </c>
      <c r="D11" s="1527">
        <v>10160</v>
      </c>
      <c r="E11" s="1527">
        <v>8060</v>
      </c>
      <c r="F11" s="1527">
        <v>12080</v>
      </c>
      <c r="G11" s="1527">
        <v>10070</v>
      </c>
      <c r="H11" s="1527">
        <v>8010</v>
      </c>
      <c r="I11" s="1527">
        <v>12010</v>
      </c>
      <c r="J11" s="1527">
        <v>10010</v>
      </c>
      <c r="K11" s="1527">
        <v>1490</v>
      </c>
      <c r="L11" s="1528">
        <v>2250</v>
      </c>
      <c r="M11" s="1527">
        <v>1870</v>
      </c>
    </row>
    <row r="12" spans="1:13">
      <c r="A12" s="1520" t="s">
        <v>526</v>
      </c>
      <c r="B12" s="1527">
        <v>5940</v>
      </c>
      <c r="C12" s="1527">
        <v>8900</v>
      </c>
      <c r="D12" s="1527">
        <v>7420</v>
      </c>
      <c r="E12" s="1527">
        <v>5880</v>
      </c>
      <c r="F12" s="1527">
        <v>8820</v>
      </c>
      <c r="G12" s="1527">
        <v>7350</v>
      </c>
      <c r="H12" s="1527">
        <v>5840</v>
      </c>
      <c r="I12" s="1527">
        <v>8760</v>
      </c>
      <c r="J12" s="1527">
        <v>7300</v>
      </c>
      <c r="K12" s="1527">
        <v>1060</v>
      </c>
      <c r="L12" s="1528">
        <v>1600</v>
      </c>
      <c r="M12" s="1527">
        <v>1330</v>
      </c>
    </row>
    <row r="13" spans="1:13">
      <c r="A13" s="1520" t="s">
        <v>528</v>
      </c>
      <c r="B13" s="1527">
        <v>3970</v>
      </c>
      <c r="C13" s="1527">
        <v>6330</v>
      </c>
      <c r="D13" s="1527">
        <v>5150</v>
      </c>
      <c r="E13" s="1527">
        <v>3920</v>
      </c>
      <c r="F13" s="1527">
        <v>6260</v>
      </c>
      <c r="G13" s="1527">
        <v>5090</v>
      </c>
      <c r="H13" s="1527">
        <v>3890</v>
      </c>
      <c r="I13" s="1527">
        <v>6210</v>
      </c>
      <c r="J13" s="1527">
        <v>5050</v>
      </c>
      <c r="K13" s="1527">
        <v>780</v>
      </c>
      <c r="L13" s="1528">
        <v>1160</v>
      </c>
      <c r="M13" s="1527">
        <v>970</v>
      </c>
    </row>
    <row r="14" spans="1:13">
      <c r="A14" s="1520" t="s">
        <v>530</v>
      </c>
      <c r="B14" s="1527">
        <v>2680</v>
      </c>
      <c r="C14" s="1527">
        <v>4280</v>
      </c>
      <c r="D14" s="1527">
        <v>3480</v>
      </c>
      <c r="E14" s="1527">
        <v>2640</v>
      </c>
      <c r="F14" s="1527">
        <v>4220</v>
      </c>
      <c r="G14" s="1527">
        <v>3430</v>
      </c>
      <c r="H14" s="1527">
        <v>2620</v>
      </c>
      <c r="I14" s="1527">
        <v>4180</v>
      </c>
      <c r="J14" s="1527">
        <v>3400</v>
      </c>
      <c r="K14" s="1527">
        <v>580</v>
      </c>
      <c r="L14" s="1528">
        <v>880</v>
      </c>
      <c r="M14" s="1527">
        <v>730</v>
      </c>
    </row>
    <row r="15" spans="1:13">
      <c r="A15" s="1520" t="s">
        <v>534</v>
      </c>
      <c r="B15" s="1527">
        <v>1700</v>
      </c>
      <c r="C15" s="1527">
        <v>2840</v>
      </c>
      <c r="D15" s="1527">
        <v>2270</v>
      </c>
      <c r="E15" s="1527">
        <v>1670</v>
      </c>
      <c r="F15" s="1527">
        <v>2790</v>
      </c>
      <c r="G15" s="1527">
        <v>2230</v>
      </c>
      <c r="H15" s="1527">
        <v>1650</v>
      </c>
      <c r="I15" s="1527">
        <v>2750</v>
      </c>
      <c r="J15" s="1527">
        <v>2200</v>
      </c>
      <c r="K15" s="1527">
        <v>450</v>
      </c>
      <c r="L15" s="1528">
        <v>670</v>
      </c>
      <c r="M15" s="1527">
        <v>560</v>
      </c>
    </row>
    <row r="16" spans="1:13">
      <c r="A16" s="1520" t="s">
        <v>814</v>
      </c>
      <c r="B16" s="1527">
        <v>1070</v>
      </c>
      <c r="C16" s="1527">
        <v>1790</v>
      </c>
      <c r="D16" s="1527">
        <v>1430</v>
      </c>
      <c r="E16" s="1527">
        <v>1050</v>
      </c>
      <c r="F16" s="1527">
        <v>1750</v>
      </c>
      <c r="G16" s="1527">
        <v>1400</v>
      </c>
      <c r="H16" s="1527">
        <v>1030</v>
      </c>
      <c r="I16" s="1527">
        <v>1730</v>
      </c>
      <c r="J16" s="1527">
        <v>1380</v>
      </c>
      <c r="K16" s="1527">
        <v>350</v>
      </c>
      <c r="L16" s="1528">
        <v>530</v>
      </c>
      <c r="M16" s="1527">
        <v>440</v>
      </c>
    </row>
    <row r="17" spans="1:13">
      <c r="A17" s="1520" t="s">
        <v>815</v>
      </c>
      <c r="B17" s="1527">
        <v>680</v>
      </c>
      <c r="C17" s="1527">
        <v>1120</v>
      </c>
      <c r="D17" s="1527">
        <v>900</v>
      </c>
      <c r="E17" s="1527">
        <v>650</v>
      </c>
      <c r="F17" s="1527">
        <v>1090</v>
      </c>
      <c r="G17" s="1527">
        <v>870</v>
      </c>
      <c r="H17" s="1527">
        <v>630</v>
      </c>
      <c r="I17" s="1527">
        <v>1070</v>
      </c>
      <c r="J17" s="1527">
        <v>850</v>
      </c>
      <c r="K17" s="1527">
        <v>280</v>
      </c>
      <c r="L17" s="1528">
        <v>420</v>
      </c>
      <c r="M17" s="1527">
        <v>350</v>
      </c>
    </row>
  </sheetData>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4"/>
  <sheetViews>
    <sheetView topLeftCell="V1" workbookViewId="0">
      <selection activeCell="AO23" sqref="AO23"/>
    </sheetView>
  </sheetViews>
  <sheetFormatPr defaultRowHeight="14.4"/>
  <cols>
    <col min="1" max="1" width="43.44140625" bestFit="1" customWidth="1"/>
  </cols>
  <sheetData>
    <row r="1" spans="1:46" s="3029" customFormat="1">
      <c r="A1" s="3029" t="s">
        <v>3065</v>
      </c>
      <c r="B1" s="3029" t="s">
        <v>3066</v>
      </c>
      <c r="C1" s="3029" t="s">
        <v>3067</v>
      </c>
      <c r="D1" s="3029" t="s">
        <v>3068</v>
      </c>
      <c r="E1" s="3029" t="s">
        <v>3069</v>
      </c>
      <c r="F1" s="3029" t="s">
        <v>3070</v>
      </c>
      <c r="G1" s="3029" t="s">
        <v>3071</v>
      </c>
      <c r="H1" s="3029" t="s">
        <v>3072</v>
      </c>
      <c r="I1" s="3029" t="s">
        <v>3073</v>
      </c>
      <c r="J1" s="3029" t="s">
        <v>3074</v>
      </c>
      <c r="K1" s="3029" t="s">
        <v>3075</v>
      </c>
      <c r="L1" s="3029" t="s">
        <v>3076</v>
      </c>
      <c r="M1" s="3029" t="s">
        <v>3077</v>
      </c>
      <c r="N1" s="3029" t="s">
        <v>3078</v>
      </c>
      <c r="O1" s="3029" t="s">
        <v>3079</v>
      </c>
      <c r="P1" s="3029" t="s">
        <v>3080</v>
      </c>
      <c r="Q1" s="3029" t="s">
        <v>3081</v>
      </c>
      <c r="R1" s="3029" t="s">
        <v>3082</v>
      </c>
      <c r="S1" s="3029" t="s">
        <v>3083</v>
      </c>
      <c r="T1" s="3029" t="s">
        <v>3084</v>
      </c>
      <c r="U1" s="3029" t="s">
        <v>3085</v>
      </c>
      <c r="V1" s="3029" t="s">
        <v>3086</v>
      </c>
      <c r="W1" s="3029" t="s">
        <v>3087</v>
      </c>
      <c r="X1" s="3029" t="s">
        <v>3088</v>
      </c>
      <c r="Y1" s="3029" t="s">
        <v>3089</v>
      </c>
      <c r="Z1" s="3029" t="s">
        <v>3090</v>
      </c>
      <c r="AA1" s="3029" t="s">
        <v>3091</v>
      </c>
      <c r="AB1" s="3029" t="s">
        <v>3092</v>
      </c>
      <c r="AC1" s="3029" t="s">
        <v>3093</v>
      </c>
      <c r="AD1" s="3029" t="s">
        <v>3094</v>
      </c>
      <c r="AE1" s="3029" t="s">
        <v>3095</v>
      </c>
      <c r="AF1" s="3029" t="s">
        <v>3096</v>
      </c>
      <c r="AG1" s="3029" t="s">
        <v>3097</v>
      </c>
      <c r="AH1" s="3029" t="s">
        <v>3098</v>
      </c>
      <c r="AI1" s="3029" t="s">
        <v>3099</v>
      </c>
      <c r="AJ1" s="3029" t="s">
        <v>3100</v>
      </c>
      <c r="AK1" s="3029" t="s">
        <v>3101</v>
      </c>
      <c r="AL1" s="3030" t="s">
        <v>3102</v>
      </c>
      <c r="AM1" s="3029" t="s">
        <v>3103</v>
      </c>
      <c r="AN1" s="3029" t="s">
        <v>3104</v>
      </c>
      <c r="AO1" s="3029" t="s">
        <v>3105</v>
      </c>
      <c r="AP1" s="3029" t="s">
        <v>3106</v>
      </c>
      <c r="AQ1" s="3029" t="s">
        <v>3107</v>
      </c>
      <c r="AR1" s="3029" t="s">
        <v>3108</v>
      </c>
      <c r="AS1" s="3029" t="s">
        <v>3109</v>
      </c>
      <c r="AT1" s="3029" t="s">
        <v>3110</v>
      </c>
    </row>
    <row r="2" spans="1:46" s="3106" customFormat="1">
      <c r="A2" s="3106" t="s">
        <v>4379</v>
      </c>
      <c r="B2" s="3106" t="s">
        <v>3111</v>
      </c>
      <c r="C2" s="3106" t="s">
        <v>3112</v>
      </c>
      <c r="D2" s="3106" t="s">
        <v>3113</v>
      </c>
      <c r="E2" s="3106" t="s">
        <v>1298</v>
      </c>
      <c r="F2" s="3106" t="s">
        <v>4380</v>
      </c>
      <c r="G2" s="3106" t="s">
        <v>3114</v>
      </c>
      <c r="H2" s="3106" t="s">
        <v>4381</v>
      </c>
      <c r="I2" s="3106" t="s">
        <v>3904</v>
      </c>
      <c r="J2" s="3106">
        <v>30911.9</v>
      </c>
      <c r="K2" s="3106">
        <v>52550.23</v>
      </c>
      <c r="L2" s="3106" t="s">
        <v>4382</v>
      </c>
      <c r="M2" s="3106" t="s">
        <v>1298</v>
      </c>
      <c r="N2" s="3106" t="s">
        <v>4383</v>
      </c>
      <c r="O2" s="3106" t="s">
        <v>4384</v>
      </c>
      <c r="P2" s="3106" t="s">
        <v>1298</v>
      </c>
      <c r="Q2" s="3106" t="s">
        <v>1298</v>
      </c>
      <c r="R2" s="3106" t="s">
        <v>1298</v>
      </c>
      <c r="S2" s="3106" t="s">
        <v>1298</v>
      </c>
      <c r="T2" s="3106" t="s">
        <v>1298</v>
      </c>
      <c r="U2" s="3106" t="s">
        <v>1298</v>
      </c>
      <c r="V2" s="3106" t="s">
        <v>1298</v>
      </c>
      <c r="W2" s="3106" t="s">
        <v>3116</v>
      </c>
      <c r="X2" s="3106" t="s">
        <v>4385</v>
      </c>
      <c r="Y2" s="3106" t="s">
        <v>4386</v>
      </c>
      <c r="Z2" s="3106" t="s">
        <v>4387</v>
      </c>
      <c r="AA2" s="3106" t="s">
        <v>4387</v>
      </c>
      <c r="AB2" s="3106" t="s">
        <v>4381</v>
      </c>
      <c r="AC2" s="3106" t="s">
        <v>3120</v>
      </c>
      <c r="AD2" s="3106" t="s">
        <v>4388</v>
      </c>
      <c r="AE2" s="3106">
        <v>800</v>
      </c>
      <c r="AF2" s="3106">
        <v>3815.15</v>
      </c>
      <c r="AG2" s="3106">
        <v>3815.15</v>
      </c>
      <c r="AH2" s="3106">
        <v>82.28</v>
      </c>
      <c r="AI2" s="3106">
        <v>82.28</v>
      </c>
      <c r="AJ2" s="3106">
        <v>726</v>
      </c>
      <c r="AK2" s="3106">
        <v>726</v>
      </c>
      <c r="AL2" s="3106">
        <v>1234</v>
      </c>
      <c r="AM2" s="3106" t="s">
        <v>1298</v>
      </c>
      <c r="AN2" s="3106" t="s">
        <v>1298</v>
      </c>
      <c r="AO2" s="3106">
        <v>0</v>
      </c>
      <c r="AP2" s="3106" t="s">
        <v>3121</v>
      </c>
      <c r="AQ2" s="3106" t="s">
        <v>1298</v>
      </c>
      <c r="AR2" s="3106" t="s">
        <v>1298</v>
      </c>
      <c r="AS2" s="3106" t="s">
        <v>1298</v>
      </c>
      <c r="AT2" s="3106" t="s">
        <v>3122</v>
      </c>
    </row>
    <row r="3" spans="1:46" s="3106" customFormat="1">
      <c r="A3" s="3106" t="s">
        <v>4389</v>
      </c>
      <c r="B3" s="3106" t="s">
        <v>3111</v>
      </c>
      <c r="C3" s="3106" t="s">
        <v>3112</v>
      </c>
      <c r="D3" s="3106" t="s">
        <v>3113</v>
      </c>
      <c r="E3" s="3106" t="s">
        <v>1298</v>
      </c>
      <c r="F3" s="3106" t="s">
        <v>4390</v>
      </c>
      <c r="G3" s="3106" t="s">
        <v>3114</v>
      </c>
      <c r="H3" s="3106" t="s">
        <v>4391</v>
      </c>
      <c r="I3" s="3106" t="s">
        <v>3112</v>
      </c>
      <c r="J3" s="3106">
        <v>10730.4</v>
      </c>
      <c r="K3" s="3106">
        <v>21460.799999999999</v>
      </c>
      <c r="L3" s="3106" t="s">
        <v>3463</v>
      </c>
      <c r="M3" s="3106" t="s">
        <v>1298</v>
      </c>
      <c r="N3" s="3106" t="s">
        <v>3115</v>
      </c>
      <c r="O3" s="3106" t="s">
        <v>4392</v>
      </c>
      <c r="P3" s="3106" t="s">
        <v>1298</v>
      </c>
      <c r="Q3" s="3106" t="s">
        <v>1298</v>
      </c>
      <c r="R3" s="3106" t="s">
        <v>1298</v>
      </c>
      <c r="S3" s="3106" t="s">
        <v>1298</v>
      </c>
      <c r="T3" s="3106" t="s">
        <v>1298</v>
      </c>
      <c r="U3" s="3106" t="s">
        <v>1298</v>
      </c>
      <c r="V3" s="3106" t="s">
        <v>1298</v>
      </c>
      <c r="W3" s="3106" t="s">
        <v>3116</v>
      </c>
      <c r="X3" s="3106" t="s">
        <v>3117</v>
      </c>
      <c r="Y3" s="3106" t="s">
        <v>3118</v>
      </c>
      <c r="Z3" s="3106" t="s">
        <v>3119</v>
      </c>
      <c r="AA3" s="3106" t="s">
        <v>3119</v>
      </c>
      <c r="AB3" s="3106" t="s">
        <v>4391</v>
      </c>
      <c r="AC3" s="3106" t="s">
        <v>3120</v>
      </c>
      <c r="AD3" s="3106" t="s">
        <v>4393</v>
      </c>
      <c r="AE3" s="3106">
        <v>320</v>
      </c>
      <c r="AF3" s="3106">
        <v>1558.04</v>
      </c>
      <c r="AG3" s="3106">
        <v>1558.04</v>
      </c>
      <c r="AH3" s="3106">
        <v>96.8</v>
      </c>
      <c r="AI3" s="3106">
        <v>96.8</v>
      </c>
      <c r="AJ3" s="3106">
        <v>725.99</v>
      </c>
      <c r="AK3" s="3106">
        <v>726</v>
      </c>
      <c r="AL3" s="3106">
        <v>1452</v>
      </c>
      <c r="AM3" s="3106" t="s">
        <v>1298</v>
      </c>
      <c r="AN3" s="3106" t="s">
        <v>1298</v>
      </c>
      <c r="AO3" s="3106">
        <v>0</v>
      </c>
      <c r="AP3" s="3106" t="s">
        <v>3121</v>
      </c>
      <c r="AQ3" s="3106" t="s">
        <v>1298</v>
      </c>
      <c r="AR3" s="3106" t="s">
        <v>1298</v>
      </c>
      <c r="AS3" s="3106" t="s">
        <v>1298</v>
      </c>
      <c r="AT3" s="3106" t="s">
        <v>3122</v>
      </c>
    </row>
    <row r="4" spans="1:46" s="3106" customFormat="1">
      <c r="A4" s="3106" t="s">
        <v>3429</v>
      </c>
      <c r="B4" s="3106" t="s">
        <v>3111</v>
      </c>
      <c r="C4" s="3106" t="s">
        <v>3112</v>
      </c>
      <c r="D4" s="3106" t="s">
        <v>3113</v>
      </c>
      <c r="E4" s="3106" t="s">
        <v>1298</v>
      </c>
      <c r="F4" s="3106" t="s">
        <v>3430</v>
      </c>
      <c r="G4" s="3106" t="s">
        <v>3114</v>
      </c>
      <c r="H4" s="3106" t="s">
        <v>3431</v>
      </c>
      <c r="I4" s="3106" t="s">
        <v>3112</v>
      </c>
      <c r="J4" s="3106">
        <v>6828.9</v>
      </c>
      <c r="K4" s="3106">
        <v>10243.35</v>
      </c>
      <c r="L4" s="3106" t="s">
        <v>3306</v>
      </c>
      <c r="M4" s="3106" t="s">
        <v>1298</v>
      </c>
      <c r="N4" s="3106" t="s">
        <v>1298</v>
      </c>
      <c r="O4" s="3106" t="s">
        <v>1298</v>
      </c>
      <c r="P4" s="3106" t="s">
        <v>1298</v>
      </c>
      <c r="Q4" s="3106" t="s">
        <v>1298</v>
      </c>
      <c r="R4" s="3106" t="s">
        <v>1298</v>
      </c>
      <c r="S4" s="3106" t="s">
        <v>1298</v>
      </c>
      <c r="T4" s="3106" t="s">
        <v>1298</v>
      </c>
      <c r="U4" s="3106" t="s">
        <v>1298</v>
      </c>
      <c r="V4" s="3106" t="s">
        <v>1298</v>
      </c>
      <c r="W4" s="3106" t="s">
        <v>3125</v>
      </c>
      <c r="X4" s="3106" t="s">
        <v>4394</v>
      </c>
      <c r="Y4" s="3106" t="s">
        <v>4395</v>
      </c>
      <c r="Z4" s="3106" t="s">
        <v>3432</v>
      </c>
      <c r="AA4" s="3106" t="s">
        <v>3432</v>
      </c>
      <c r="AB4" s="3106" t="s">
        <v>3431</v>
      </c>
      <c r="AC4" s="3106" t="s">
        <v>3120</v>
      </c>
      <c r="AD4" s="3106" t="s">
        <v>3433</v>
      </c>
      <c r="AE4" s="3106">
        <v>150</v>
      </c>
      <c r="AF4" s="3106">
        <v>743.66</v>
      </c>
      <c r="AG4" s="3106">
        <v>743.66</v>
      </c>
      <c r="AH4" s="3106">
        <v>72.599999999999994</v>
      </c>
      <c r="AI4" s="3106">
        <v>72.599999999999994</v>
      </c>
      <c r="AJ4" s="3106">
        <v>726</v>
      </c>
      <c r="AK4" s="3106">
        <v>726</v>
      </c>
      <c r="AL4" s="3106">
        <v>1089</v>
      </c>
      <c r="AM4" s="3106" t="s">
        <v>1298</v>
      </c>
      <c r="AN4" s="3106" t="s">
        <v>1298</v>
      </c>
      <c r="AO4" s="3106">
        <v>0</v>
      </c>
      <c r="AP4" s="3106" t="s">
        <v>3121</v>
      </c>
      <c r="AQ4" s="3106" t="s">
        <v>1298</v>
      </c>
      <c r="AR4" s="3106" t="s">
        <v>1298</v>
      </c>
      <c r="AS4" s="3106" t="s">
        <v>1298</v>
      </c>
      <c r="AT4" s="3106" t="s">
        <v>3122</v>
      </c>
    </row>
  </sheetData>
  <phoneticPr fontId="140" type="noConversion"/>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04" workbookViewId="0">
      <selection activeCell="W323" sqref="W323"/>
    </sheetView>
  </sheetViews>
  <sheetFormatPr defaultColWidth="9" defaultRowHeight="14.4"/>
  <cols>
    <col min="1" max="1" width="9" style="3053"/>
    <col min="2" max="16384" width="9" style="3051"/>
  </cols>
  <sheetData>
    <row r="1" spans="1:14" ht="15.6">
      <c r="A1" s="839" t="s">
        <v>3201</v>
      </c>
      <c r="B1" s="840"/>
      <c r="C1" s="840"/>
      <c r="D1" s="840"/>
      <c r="E1" s="840"/>
      <c r="F1" s="840"/>
      <c r="G1" s="840"/>
      <c r="H1" s="840"/>
      <c r="I1" s="840"/>
      <c r="J1" s="840"/>
      <c r="K1" s="840"/>
      <c r="L1" s="840"/>
      <c r="M1" s="840"/>
      <c r="N1" s="840"/>
    </row>
    <row r="2" spans="1:14">
      <c r="A2" s="842" t="s">
        <v>3202</v>
      </c>
      <c r="B2" s="843" t="s">
        <v>3203</v>
      </c>
      <c r="C2" s="843" t="s">
        <v>3204</v>
      </c>
      <c r="D2" s="843" t="s">
        <v>3205</v>
      </c>
      <c r="E2" s="843" t="s">
        <v>3206</v>
      </c>
      <c r="F2" s="843" t="s">
        <v>3207</v>
      </c>
      <c r="G2" s="843" t="s">
        <v>3208</v>
      </c>
      <c r="H2" s="844" t="s">
        <v>3209</v>
      </c>
      <c r="I2" s="844" t="s">
        <v>3210</v>
      </c>
      <c r="J2" s="845" t="s">
        <v>3211</v>
      </c>
      <c r="K2" s="845" t="s">
        <v>3212</v>
      </c>
      <c r="L2" s="845" t="s">
        <v>3213</v>
      </c>
      <c r="M2" s="845" t="s">
        <v>3214</v>
      </c>
    </row>
    <row r="3" spans="1:14">
      <c r="A3" s="842">
        <v>0.1</v>
      </c>
      <c r="B3" s="849">
        <v>15.052</v>
      </c>
      <c r="C3" s="849">
        <v>15.052</v>
      </c>
      <c r="D3" s="849">
        <v>14.263</v>
      </c>
      <c r="E3" s="849">
        <v>14.263</v>
      </c>
      <c r="F3" s="849">
        <v>14.263</v>
      </c>
      <c r="G3" s="849">
        <v>14.263</v>
      </c>
      <c r="H3" s="849">
        <v>14.263</v>
      </c>
      <c r="I3" s="849">
        <v>14.097</v>
      </c>
      <c r="J3" s="849">
        <v>14.097</v>
      </c>
      <c r="K3" s="849">
        <v>14.097</v>
      </c>
      <c r="L3" s="849">
        <v>14.097</v>
      </c>
      <c r="M3" s="849">
        <v>14.097</v>
      </c>
      <c r="N3" s="3052"/>
    </row>
    <row r="4" spans="1:14">
      <c r="A4" s="842">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2">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2">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2">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2">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2">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2">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2">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2">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2">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2">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2">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2">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c r="N16" s="3052"/>
    </row>
    <row r="17" spans="1:14">
      <c r="A17" s="842">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c r="N17" s="3052"/>
    </row>
    <row r="18" spans="1:14">
      <c r="A18" s="842">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4">
      <c r="A19" s="842">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4">
      <c r="A20" s="842">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4">
      <c r="A21" s="842">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4">
      <c r="A22" s="842">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4">
      <c r="A23" s="857">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4">
      <c r="A24" s="857">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4">
      <c r="A25" s="857">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4">
      <c r="A26" s="857">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4">
      <c r="A27" s="857">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4">
      <c r="A28" s="857">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4">
      <c r="A29" s="857">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4">
      <c r="A30" s="857">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4">
      <c r="A31" s="857">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4">
      <c r="A32" s="857">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7">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7">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7">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7">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7">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7">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7">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7">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7">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7">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7">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7">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7">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7">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7">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7">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7">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7">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7">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7">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2">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2">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2">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2">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2">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2">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7">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2">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2">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2">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2">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2">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2">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2">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2">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2">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2">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2">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2">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2">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2">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2">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2">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2">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2">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2">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2">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2">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2">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2">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2">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2">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2">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2">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2">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2">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2">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2">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2">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7">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7">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7">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7">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7">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7">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7">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7">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7">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7">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7">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5.6">
      <c r="A103" s="839" t="s">
        <v>3215</v>
      </c>
      <c r="B103" s="840"/>
      <c r="C103" s="840"/>
      <c r="D103" s="840"/>
      <c r="E103" s="840"/>
      <c r="F103" s="840"/>
      <c r="G103" s="840"/>
      <c r="H103" s="840"/>
      <c r="I103" s="840"/>
      <c r="J103" s="840"/>
      <c r="K103" s="840"/>
      <c r="L103" s="840"/>
      <c r="M103" s="840"/>
      <c r="N103" s="840"/>
    </row>
    <row r="104" spans="1:14" ht="15.6">
      <c r="A104" s="842" t="s">
        <v>3202</v>
      </c>
      <c r="B104" s="843" t="s">
        <v>3203</v>
      </c>
      <c r="C104" s="843" t="s">
        <v>3204</v>
      </c>
      <c r="D104" s="843" t="s">
        <v>3205</v>
      </c>
      <c r="E104" s="843" t="s">
        <v>3206</v>
      </c>
      <c r="F104" s="843" t="s">
        <v>3207</v>
      </c>
      <c r="G104" s="843" t="s">
        <v>3208</v>
      </c>
      <c r="H104" s="844" t="s">
        <v>3209</v>
      </c>
      <c r="I104" s="844" t="s">
        <v>3210</v>
      </c>
      <c r="J104" s="845" t="s">
        <v>3211</v>
      </c>
      <c r="K104" s="845" t="s">
        <v>3212</v>
      </c>
      <c r="L104" s="845" t="s">
        <v>3213</v>
      </c>
      <c r="M104" s="845" t="s">
        <v>3214</v>
      </c>
      <c r="N104" s="840">
        <f>SUMPRODUCT((A105:A204=ROUNDDOWN([2]基准地价!G3,1))*(B104:M104=[2]基准地价!G2)*(B105:M204))</f>
        <v>1.548</v>
      </c>
    </row>
    <row r="105" spans="1:14">
      <c r="A105" s="842">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2">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2">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2">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2">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2">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2">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2">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2">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2">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2">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2">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2">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2">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2">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2">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2">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2">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2">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2">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7">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7">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7">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7">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7">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7">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7">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7">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7">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7">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7">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7">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7">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7">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7">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7">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7">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7">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7">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7">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7">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7">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7">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7">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7">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7">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7">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7">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7">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7">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2">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2">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2">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2">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2">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2">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7">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2">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2">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2">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2">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2">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2">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2">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2">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2">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2">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2">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2">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2">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2">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2">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2">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2">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2">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2">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2">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2">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2">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2">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2">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2">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2">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2">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2">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2">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2">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2">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2">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7">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7">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7">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7">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7">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7">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7">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7">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7">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7">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7">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5.6">
      <c r="A205" s="839" t="s">
        <v>3216</v>
      </c>
      <c r="B205" s="840"/>
      <c r="C205" s="840"/>
      <c r="D205" s="840"/>
      <c r="E205" s="840"/>
      <c r="F205" s="840"/>
      <c r="G205" s="840"/>
      <c r="H205" s="840"/>
      <c r="I205" s="840"/>
      <c r="J205" s="840"/>
      <c r="K205" s="840"/>
      <c r="L205" s="840"/>
      <c r="M205" s="840"/>
    </row>
    <row r="206" spans="1:13">
      <c r="A206" s="842" t="s">
        <v>3202</v>
      </c>
      <c r="B206" s="843" t="s">
        <v>3203</v>
      </c>
      <c r="C206" s="843" t="s">
        <v>3204</v>
      </c>
      <c r="D206" s="843" t="s">
        <v>3205</v>
      </c>
      <c r="E206" s="843" t="s">
        <v>3206</v>
      </c>
      <c r="F206" s="843" t="s">
        <v>3207</v>
      </c>
      <c r="G206" s="843" t="s">
        <v>3208</v>
      </c>
      <c r="H206" s="844" t="s">
        <v>3209</v>
      </c>
      <c r="I206" s="844" t="s">
        <v>3210</v>
      </c>
      <c r="J206" s="845" t="s">
        <v>3211</v>
      </c>
      <c r="K206" s="845" t="s">
        <v>3212</v>
      </c>
      <c r="L206" s="845" t="s">
        <v>3213</v>
      </c>
      <c r="M206" s="845" t="s">
        <v>3214</v>
      </c>
    </row>
    <row r="207" spans="1:13">
      <c r="A207" s="842">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2">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2">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2">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2">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2">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2">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2">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2">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2">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2">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2">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2">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2">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2">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2">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2">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2">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2">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2">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7">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7">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7">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7">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7">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7">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7">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7">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7">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7">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7">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7">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7">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7">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7">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7">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7">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7">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7">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7">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7">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7">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7">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7">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7">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7">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7">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7">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7">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7">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2">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2">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2">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2">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2">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2">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7">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2">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2">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2">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2">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2">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2">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2">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2">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2">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2">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2">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2">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2">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2">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2">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2">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2">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2">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2">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2">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2">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2">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2">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2">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2">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2">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2">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2">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2">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2">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2">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2">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7">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7">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7">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7">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7">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7">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7">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7">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7">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7">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7">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5.6">
      <c r="A307" s="839" t="s">
        <v>3217</v>
      </c>
      <c r="B307" s="840"/>
      <c r="C307" s="840"/>
      <c r="D307" s="840"/>
      <c r="E307" s="840"/>
      <c r="F307" s="840"/>
      <c r="G307" s="840"/>
      <c r="H307" s="840"/>
      <c r="I307" s="840"/>
      <c r="J307" s="840"/>
      <c r="K307" s="840"/>
      <c r="L307" s="840"/>
      <c r="M307" s="840"/>
    </row>
    <row r="308" spans="1:13">
      <c r="A308" s="842" t="s">
        <v>3202</v>
      </c>
      <c r="B308" s="843" t="s">
        <v>3203</v>
      </c>
      <c r="C308" s="843" t="s">
        <v>3204</v>
      </c>
      <c r="D308" s="843" t="s">
        <v>3205</v>
      </c>
      <c r="E308" s="843" t="s">
        <v>3206</v>
      </c>
      <c r="F308" s="843" t="s">
        <v>3207</v>
      </c>
      <c r="G308" s="843" t="s">
        <v>3208</v>
      </c>
      <c r="H308" s="844" t="s">
        <v>3209</v>
      </c>
      <c r="I308" s="844" t="s">
        <v>3210</v>
      </c>
      <c r="J308" s="845" t="s">
        <v>3211</v>
      </c>
      <c r="K308" s="845" t="s">
        <v>3212</v>
      </c>
      <c r="L308" s="845" t="s">
        <v>3213</v>
      </c>
      <c r="M308" s="845" t="s">
        <v>3214</v>
      </c>
    </row>
    <row r="309" spans="1:13">
      <c r="A309" s="842">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2">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2">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2">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2">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2">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2">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2">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2">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2">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2">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2">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2">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2">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2">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2">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2">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2">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2">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2">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7">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7">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7">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7">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7">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7">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7">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7">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7">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7">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7">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7">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7">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7">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7">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7">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7">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7">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7">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7">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7">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7">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7">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7">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7">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7">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7">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7">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7">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7">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2">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2">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2">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2">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2">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2">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7">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2">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2">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2">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2">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2">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2">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2">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2">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2">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2">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2">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2">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2">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2">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2">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2">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2">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2">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2">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2">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2">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2">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2">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2">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2">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2">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2">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2">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2">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2">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2">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2">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7">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7">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7">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7">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7">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7">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7">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7">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7">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7">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7">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pageSetUpPr autoPageBreaks="0" fitToPage="1"/>
  </sheetPr>
  <dimension ref="A1:AG259"/>
  <sheetViews>
    <sheetView topLeftCell="U39" zoomScale="85" zoomScaleNormal="85" workbookViewId="0">
      <selection activeCell="AE257" sqref="AE257"/>
    </sheetView>
  </sheetViews>
  <sheetFormatPr defaultColWidth="9.109375" defaultRowHeight="13.2"/>
  <cols>
    <col min="1" max="1" width="51.44140625" style="3054" customWidth="1"/>
    <col min="2" max="2" width="11" style="3054" customWidth="1"/>
    <col min="3" max="3" width="9" style="3054" customWidth="1"/>
    <col min="4" max="4" width="31" style="3054" customWidth="1"/>
    <col min="5" max="5" width="9" style="3054" customWidth="1"/>
    <col min="6" max="6" width="31" style="3054" customWidth="1"/>
    <col min="7" max="7" width="18.33203125" style="3054" customWidth="1"/>
    <col min="8" max="9" width="15.88671875" style="3054" customWidth="1"/>
    <col min="10" max="10" width="10.88671875" style="3054" customWidth="1"/>
    <col min="11" max="11" width="10.33203125" style="3054" customWidth="1"/>
    <col min="12" max="12" width="28.6640625" style="3054" customWidth="1"/>
    <col min="13" max="13" width="12.109375" style="3054" customWidth="1"/>
    <col min="14" max="14" width="12.21875" style="3054" customWidth="1"/>
    <col min="15" max="15" width="7.109375" style="3054" customWidth="1"/>
    <col min="16" max="16" width="8.33203125" style="3054" customWidth="1"/>
    <col min="17" max="17" width="9.109375" style="3054"/>
    <col min="18" max="18" width="9.109375" style="3056"/>
    <col min="19" max="19" width="0" style="3054" hidden="1" customWidth="1"/>
    <col min="20" max="21" width="12.109375" style="3056" customWidth="1"/>
    <col min="22" max="22" width="10.88671875" style="3056" customWidth="1"/>
    <col min="23" max="23" width="10.6640625" style="3054" customWidth="1"/>
    <col min="24" max="27" width="9.109375" style="3054"/>
    <col min="28" max="30" width="10.77734375" style="3054" customWidth="1"/>
    <col min="31" max="256" width="9.109375" style="3054"/>
    <col min="257" max="257" width="51.44140625" style="3054" customWidth="1"/>
    <col min="258" max="258" width="11" style="3054" customWidth="1"/>
    <col min="259" max="259" width="9" style="3054" customWidth="1"/>
    <col min="260" max="260" width="31" style="3054" customWidth="1"/>
    <col min="261" max="261" width="9" style="3054" customWidth="1"/>
    <col min="262" max="262" width="31" style="3054" customWidth="1"/>
    <col min="263" max="263" width="18.33203125" style="3054" customWidth="1"/>
    <col min="264" max="265" width="15.88671875" style="3054" customWidth="1"/>
    <col min="266" max="266" width="10.88671875" style="3054" customWidth="1"/>
    <col min="267" max="267" width="10.33203125" style="3054" customWidth="1"/>
    <col min="268" max="268" width="28.6640625" style="3054" customWidth="1"/>
    <col min="269" max="269" width="12.109375" style="3054" customWidth="1"/>
    <col min="270" max="270" width="12.21875" style="3054" customWidth="1"/>
    <col min="271" max="271" width="7.109375" style="3054" customWidth="1"/>
    <col min="272" max="272" width="8.33203125" style="3054" customWidth="1"/>
    <col min="273" max="274" width="9.109375" style="3054"/>
    <col min="275" max="275" width="0" style="3054" hidden="1" customWidth="1"/>
    <col min="276" max="277" width="12.109375" style="3054" customWidth="1"/>
    <col min="278" max="278" width="10.88671875" style="3054" customWidth="1"/>
    <col min="279" max="279" width="10.6640625" style="3054" customWidth="1"/>
    <col min="280" max="283" width="9.109375" style="3054"/>
    <col min="284" max="286" width="10.77734375" style="3054" customWidth="1"/>
    <col min="287" max="512" width="9.109375" style="3054"/>
    <col min="513" max="513" width="51.44140625" style="3054" customWidth="1"/>
    <col min="514" max="514" width="11" style="3054" customWidth="1"/>
    <col min="515" max="515" width="9" style="3054" customWidth="1"/>
    <col min="516" max="516" width="31" style="3054" customWidth="1"/>
    <col min="517" max="517" width="9" style="3054" customWidth="1"/>
    <col min="518" max="518" width="31" style="3054" customWidth="1"/>
    <col min="519" max="519" width="18.33203125" style="3054" customWidth="1"/>
    <col min="520" max="521" width="15.88671875" style="3054" customWidth="1"/>
    <col min="522" max="522" width="10.88671875" style="3054" customWidth="1"/>
    <col min="523" max="523" width="10.33203125" style="3054" customWidth="1"/>
    <col min="524" max="524" width="28.6640625" style="3054" customWidth="1"/>
    <col min="525" max="525" width="12.109375" style="3054" customWidth="1"/>
    <col min="526" max="526" width="12.21875" style="3054" customWidth="1"/>
    <col min="527" max="527" width="7.109375" style="3054" customWidth="1"/>
    <col min="528" max="528" width="8.33203125" style="3054" customWidth="1"/>
    <col min="529" max="530" width="9.109375" style="3054"/>
    <col min="531" max="531" width="0" style="3054" hidden="1" customWidth="1"/>
    <col min="532" max="533" width="12.109375" style="3054" customWidth="1"/>
    <col min="534" max="534" width="10.88671875" style="3054" customWidth="1"/>
    <col min="535" max="535" width="10.6640625" style="3054" customWidth="1"/>
    <col min="536" max="539" width="9.109375" style="3054"/>
    <col min="540" max="542" width="10.77734375" style="3054" customWidth="1"/>
    <col min="543" max="768" width="9.109375" style="3054"/>
    <col min="769" max="769" width="51.44140625" style="3054" customWidth="1"/>
    <col min="770" max="770" width="11" style="3054" customWidth="1"/>
    <col min="771" max="771" width="9" style="3054" customWidth="1"/>
    <col min="772" max="772" width="31" style="3054" customWidth="1"/>
    <col min="773" max="773" width="9" style="3054" customWidth="1"/>
    <col min="774" max="774" width="31" style="3054" customWidth="1"/>
    <col min="775" max="775" width="18.33203125" style="3054" customWidth="1"/>
    <col min="776" max="777" width="15.88671875" style="3054" customWidth="1"/>
    <col min="778" max="778" width="10.88671875" style="3054" customWidth="1"/>
    <col min="779" max="779" width="10.33203125" style="3054" customWidth="1"/>
    <col min="780" max="780" width="28.6640625" style="3054" customWidth="1"/>
    <col min="781" max="781" width="12.109375" style="3054" customWidth="1"/>
    <col min="782" max="782" width="12.21875" style="3054" customWidth="1"/>
    <col min="783" max="783" width="7.109375" style="3054" customWidth="1"/>
    <col min="784" max="784" width="8.33203125" style="3054" customWidth="1"/>
    <col min="785" max="786" width="9.109375" style="3054"/>
    <col min="787" max="787" width="0" style="3054" hidden="1" customWidth="1"/>
    <col min="788" max="789" width="12.109375" style="3054" customWidth="1"/>
    <col min="790" max="790" width="10.88671875" style="3054" customWidth="1"/>
    <col min="791" max="791" width="10.6640625" style="3054" customWidth="1"/>
    <col min="792" max="795" width="9.109375" style="3054"/>
    <col min="796" max="798" width="10.77734375" style="3054" customWidth="1"/>
    <col min="799" max="1024" width="9.109375" style="3054"/>
    <col min="1025" max="1025" width="51.44140625" style="3054" customWidth="1"/>
    <col min="1026" max="1026" width="11" style="3054" customWidth="1"/>
    <col min="1027" max="1027" width="9" style="3054" customWidth="1"/>
    <col min="1028" max="1028" width="31" style="3054" customWidth="1"/>
    <col min="1029" max="1029" width="9" style="3054" customWidth="1"/>
    <col min="1030" max="1030" width="31" style="3054" customWidth="1"/>
    <col min="1031" max="1031" width="18.33203125" style="3054" customWidth="1"/>
    <col min="1032" max="1033" width="15.88671875" style="3054" customWidth="1"/>
    <col min="1034" max="1034" width="10.88671875" style="3054" customWidth="1"/>
    <col min="1035" max="1035" width="10.33203125" style="3054" customWidth="1"/>
    <col min="1036" max="1036" width="28.6640625" style="3054" customWidth="1"/>
    <col min="1037" max="1037" width="12.109375" style="3054" customWidth="1"/>
    <col min="1038" max="1038" width="12.21875" style="3054" customWidth="1"/>
    <col min="1039" max="1039" width="7.109375" style="3054" customWidth="1"/>
    <col min="1040" max="1040" width="8.33203125" style="3054" customWidth="1"/>
    <col min="1041" max="1042" width="9.109375" style="3054"/>
    <col min="1043" max="1043" width="0" style="3054" hidden="1" customWidth="1"/>
    <col min="1044" max="1045" width="12.109375" style="3054" customWidth="1"/>
    <col min="1046" max="1046" width="10.88671875" style="3054" customWidth="1"/>
    <col min="1047" max="1047" width="10.6640625" style="3054" customWidth="1"/>
    <col min="1048" max="1051" width="9.109375" style="3054"/>
    <col min="1052" max="1054" width="10.77734375" style="3054" customWidth="1"/>
    <col min="1055" max="1280" width="9.109375" style="3054"/>
    <col min="1281" max="1281" width="51.44140625" style="3054" customWidth="1"/>
    <col min="1282" max="1282" width="11" style="3054" customWidth="1"/>
    <col min="1283" max="1283" width="9" style="3054" customWidth="1"/>
    <col min="1284" max="1284" width="31" style="3054" customWidth="1"/>
    <col min="1285" max="1285" width="9" style="3054" customWidth="1"/>
    <col min="1286" max="1286" width="31" style="3054" customWidth="1"/>
    <col min="1287" max="1287" width="18.33203125" style="3054" customWidth="1"/>
    <col min="1288" max="1289" width="15.88671875" style="3054" customWidth="1"/>
    <col min="1290" max="1290" width="10.88671875" style="3054" customWidth="1"/>
    <col min="1291" max="1291" width="10.33203125" style="3054" customWidth="1"/>
    <col min="1292" max="1292" width="28.6640625" style="3054" customWidth="1"/>
    <col min="1293" max="1293" width="12.109375" style="3054" customWidth="1"/>
    <col min="1294" max="1294" width="12.21875" style="3054" customWidth="1"/>
    <col min="1295" max="1295" width="7.109375" style="3054" customWidth="1"/>
    <col min="1296" max="1296" width="8.33203125" style="3054" customWidth="1"/>
    <col min="1297" max="1298" width="9.109375" style="3054"/>
    <col min="1299" max="1299" width="0" style="3054" hidden="1" customWidth="1"/>
    <col min="1300" max="1301" width="12.109375" style="3054" customWidth="1"/>
    <col min="1302" max="1302" width="10.88671875" style="3054" customWidth="1"/>
    <col min="1303" max="1303" width="10.6640625" style="3054" customWidth="1"/>
    <col min="1304" max="1307" width="9.109375" style="3054"/>
    <col min="1308" max="1310" width="10.77734375" style="3054" customWidth="1"/>
    <col min="1311" max="1536" width="9.109375" style="3054"/>
    <col min="1537" max="1537" width="51.44140625" style="3054" customWidth="1"/>
    <col min="1538" max="1538" width="11" style="3054" customWidth="1"/>
    <col min="1539" max="1539" width="9" style="3054" customWidth="1"/>
    <col min="1540" max="1540" width="31" style="3054" customWidth="1"/>
    <col min="1541" max="1541" width="9" style="3054" customWidth="1"/>
    <col min="1542" max="1542" width="31" style="3054" customWidth="1"/>
    <col min="1543" max="1543" width="18.33203125" style="3054" customWidth="1"/>
    <col min="1544" max="1545" width="15.88671875" style="3054" customWidth="1"/>
    <col min="1546" max="1546" width="10.88671875" style="3054" customWidth="1"/>
    <col min="1547" max="1547" width="10.33203125" style="3054" customWidth="1"/>
    <col min="1548" max="1548" width="28.6640625" style="3054" customWidth="1"/>
    <col min="1549" max="1549" width="12.109375" style="3054" customWidth="1"/>
    <col min="1550" max="1550" width="12.21875" style="3054" customWidth="1"/>
    <col min="1551" max="1551" width="7.109375" style="3054" customWidth="1"/>
    <col min="1552" max="1552" width="8.33203125" style="3054" customWidth="1"/>
    <col min="1553" max="1554" width="9.109375" style="3054"/>
    <col min="1555" max="1555" width="0" style="3054" hidden="1" customWidth="1"/>
    <col min="1556" max="1557" width="12.109375" style="3054" customWidth="1"/>
    <col min="1558" max="1558" width="10.88671875" style="3054" customWidth="1"/>
    <col min="1559" max="1559" width="10.6640625" style="3054" customWidth="1"/>
    <col min="1560" max="1563" width="9.109375" style="3054"/>
    <col min="1564" max="1566" width="10.77734375" style="3054" customWidth="1"/>
    <col min="1567" max="1792" width="9.109375" style="3054"/>
    <col min="1793" max="1793" width="51.44140625" style="3054" customWidth="1"/>
    <col min="1794" max="1794" width="11" style="3054" customWidth="1"/>
    <col min="1795" max="1795" width="9" style="3054" customWidth="1"/>
    <col min="1796" max="1796" width="31" style="3054" customWidth="1"/>
    <col min="1797" max="1797" width="9" style="3054" customWidth="1"/>
    <col min="1798" max="1798" width="31" style="3054" customWidth="1"/>
    <col min="1799" max="1799" width="18.33203125" style="3054" customWidth="1"/>
    <col min="1800" max="1801" width="15.88671875" style="3054" customWidth="1"/>
    <col min="1802" max="1802" width="10.88671875" style="3054" customWidth="1"/>
    <col min="1803" max="1803" width="10.33203125" style="3054" customWidth="1"/>
    <col min="1804" max="1804" width="28.6640625" style="3054" customWidth="1"/>
    <col min="1805" max="1805" width="12.109375" style="3054" customWidth="1"/>
    <col min="1806" max="1806" width="12.21875" style="3054" customWidth="1"/>
    <col min="1807" max="1807" width="7.109375" style="3054" customWidth="1"/>
    <col min="1808" max="1808" width="8.33203125" style="3054" customWidth="1"/>
    <col min="1809" max="1810" width="9.109375" style="3054"/>
    <col min="1811" max="1811" width="0" style="3054" hidden="1" customWidth="1"/>
    <col min="1812" max="1813" width="12.109375" style="3054" customWidth="1"/>
    <col min="1814" max="1814" width="10.88671875" style="3054" customWidth="1"/>
    <col min="1815" max="1815" width="10.6640625" style="3054" customWidth="1"/>
    <col min="1816" max="1819" width="9.109375" style="3054"/>
    <col min="1820" max="1822" width="10.77734375" style="3054" customWidth="1"/>
    <col min="1823" max="2048" width="9.109375" style="3054"/>
    <col min="2049" max="2049" width="51.44140625" style="3054" customWidth="1"/>
    <col min="2050" max="2050" width="11" style="3054" customWidth="1"/>
    <col min="2051" max="2051" width="9" style="3054" customWidth="1"/>
    <col min="2052" max="2052" width="31" style="3054" customWidth="1"/>
    <col min="2053" max="2053" width="9" style="3054" customWidth="1"/>
    <col min="2054" max="2054" width="31" style="3054" customWidth="1"/>
    <col min="2055" max="2055" width="18.33203125" style="3054" customWidth="1"/>
    <col min="2056" max="2057" width="15.88671875" style="3054" customWidth="1"/>
    <col min="2058" max="2058" width="10.88671875" style="3054" customWidth="1"/>
    <col min="2059" max="2059" width="10.33203125" style="3054" customWidth="1"/>
    <col min="2060" max="2060" width="28.6640625" style="3054" customWidth="1"/>
    <col min="2061" max="2061" width="12.109375" style="3054" customWidth="1"/>
    <col min="2062" max="2062" width="12.21875" style="3054" customWidth="1"/>
    <col min="2063" max="2063" width="7.109375" style="3054" customWidth="1"/>
    <col min="2064" max="2064" width="8.33203125" style="3054" customWidth="1"/>
    <col min="2065" max="2066" width="9.109375" style="3054"/>
    <col min="2067" max="2067" width="0" style="3054" hidden="1" customWidth="1"/>
    <col min="2068" max="2069" width="12.109375" style="3054" customWidth="1"/>
    <col min="2070" max="2070" width="10.88671875" style="3054" customWidth="1"/>
    <col min="2071" max="2071" width="10.6640625" style="3054" customWidth="1"/>
    <col min="2072" max="2075" width="9.109375" style="3054"/>
    <col min="2076" max="2078" width="10.77734375" style="3054" customWidth="1"/>
    <col min="2079" max="2304" width="9.109375" style="3054"/>
    <col min="2305" max="2305" width="51.44140625" style="3054" customWidth="1"/>
    <col min="2306" max="2306" width="11" style="3054" customWidth="1"/>
    <col min="2307" max="2307" width="9" style="3054" customWidth="1"/>
    <col min="2308" max="2308" width="31" style="3054" customWidth="1"/>
    <col min="2309" max="2309" width="9" style="3054" customWidth="1"/>
    <col min="2310" max="2310" width="31" style="3054" customWidth="1"/>
    <col min="2311" max="2311" width="18.33203125" style="3054" customWidth="1"/>
    <col min="2312" max="2313" width="15.88671875" style="3054" customWidth="1"/>
    <col min="2314" max="2314" width="10.88671875" style="3054" customWidth="1"/>
    <col min="2315" max="2315" width="10.33203125" style="3054" customWidth="1"/>
    <col min="2316" max="2316" width="28.6640625" style="3054" customWidth="1"/>
    <col min="2317" max="2317" width="12.109375" style="3054" customWidth="1"/>
    <col min="2318" max="2318" width="12.21875" style="3054" customWidth="1"/>
    <col min="2319" max="2319" width="7.109375" style="3054" customWidth="1"/>
    <col min="2320" max="2320" width="8.33203125" style="3054" customWidth="1"/>
    <col min="2321" max="2322" width="9.109375" style="3054"/>
    <col min="2323" max="2323" width="0" style="3054" hidden="1" customWidth="1"/>
    <col min="2324" max="2325" width="12.109375" style="3054" customWidth="1"/>
    <col min="2326" max="2326" width="10.88671875" style="3054" customWidth="1"/>
    <col min="2327" max="2327" width="10.6640625" style="3054" customWidth="1"/>
    <col min="2328" max="2331" width="9.109375" style="3054"/>
    <col min="2332" max="2334" width="10.77734375" style="3054" customWidth="1"/>
    <col min="2335" max="2560" width="9.109375" style="3054"/>
    <col min="2561" max="2561" width="51.44140625" style="3054" customWidth="1"/>
    <col min="2562" max="2562" width="11" style="3054" customWidth="1"/>
    <col min="2563" max="2563" width="9" style="3054" customWidth="1"/>
    <col min="2564" max="2564" width="31" style="3054" customWidth="1"/>
    <col min="2565" max="2565" width="9" style="3054" customWidth="1"/>
    <col min="2566" max="2566" width="31" style="3054" customWidth="1"/>
    <col min="2567" max="2567" width="18.33203125" style="3054" customWidth="1"/>
    <col min="2568" max="2569" width="15.88671875" style="3054" customWidth="1"/>
    <col min="2570" max="2570" width="10.88671875" style="3054" customWidth="1"/>
    <col min="2571" max="2571" width="10.33203125" style="3054" customWidth="1"/>
    <col min="2572" max="2572" width="28.6640625" style="3054" customWidth="1"/>
    <col min="2573" max="2573" width="12.109375" style="3054" customWidth="1"/>
    <col min="2574" max="2574" width="12.21875" style="3054" customWidth="1"/>
    <col min="2575" max="2575" width="7.109375" style="3054" customWidth="1"/>
    <col min="2576" max="2576" width="8.33203125" style="3054" customWidth="1"/>
    <col min="2577" max="2578" width="9.109375" style="3054"/>
    <col min="2579" max="2579" width="0" style="3054" hidden="1" customWidth="1"/>
    <col min="2580" max="2581" width="12.109375" style="3054" customWidth="1"/>
    <col min="2582" max="2582" width="10.88671875" style="3054" customWidth="1"/>
    <col min="2583" max="2583" width="10.6640625" style="3054" customWidth="1"/>
    <col min="2584" max="2587" width="9.109375" style="3054"/>
    <col min="2588" max="2590" width="10.77734375" style="3054" customWidth="1"/>
    <col min="2591" max="2816" width="9.109375" style="3054"/>
    <col min="2817" max="2817" width="51.44140625" style="3054" customWidth="1"/>
    <col min="2818" max="2818" width="11" style="3054" customWidth="1"/>
    <col min="2819" max="2819" width="9" style="3054" customWidth="1"/>
    <col min="2820" max="2820" width="31" style="3054" customWidth="1"/>
    <col min="2821" max="2821" width="9" style="3054" customWidth="1"/>
    <col min="2822" max="2822" width="31" style="3054" customWidth="1"/>
    <col min="2823" max="2823" width="18.33203125" style="3054" customWidth="1"/>
    <col min="2824" max="2825" width="15.88671875" style="3054" customWidth="1"/>
    <col min="2826" max="2826" width="10.88671875" style="3054" customWidth="1"/>
    <col min="2827" max="2827" width="10.33203125" style="3054" customWidth="1"/>
    <col min="2828" max="2828" width="28.6640625" style="3054" customWidth="1"/>
    <col min="2829" max="2829" width="12.109375" style="3054" customWidth="1"/>
    <col min="2830" max="2830" width="12.21875" style="3054" customWidth="1"/>
    <col min="2831" max="2831" width="7.109375" style="3054" customWidth="1"/>
    <col min="2832" max="2832" width="8.33203125" style="3054" customWidth="1"/>
    <col min="2833" max="2834" width="9.109375" style="3054"/>
    <col min="2835" max="2835" width="0" style="3054" hidden="1" customWidth="1"/>
    <col min="2836" max="2837" width="12.109375" style="3054" customWidth="1"/>
    <col min="2838" max="2838" width="10.88671875" style="3054" customWidth="1"/>
    <col min="2839" max="2839" width="10.6640625" style="3054" customWidth="1"/>
    <col min="2840" max="2843" width="9.109375" style="3054"/>
    <col min="2844" max="2846" width="10.77734375" style="3054" customWidth="1"/>
    <col min="2847" max="3072" width="9.109375" style="3054"/>
    <col min="3073" max="3073" width="51.44140625" style="3054" customWidth="1"/>
    <col min="3074" max="3074" width="11" style="3054" customWidth="1"/>
    <col min="3075" max="3075" width="9" style="3054" customWidth="1"/>
    <col min="3076" max="3076" width="31" style="3054" customWidth="1"/>
    <col min="3077" max="3077" width="9" style="3054" customWidth="1"/>
    <col min="3078" max="3078" width="31" style="3054" customWidth="1"/>
    <col min="3079" max="3079" width="18.33203125" style="3054" customWidth="1"/>
    <col min="3080" max="3081" width="15.88671875" style="3054" customWidth="1"/>
    <col min="3082" max="3082" width="10.88671875" style="3054" customWidth="1"/>
    <col min="3083" max="3083" width="10.33203125" style="3054" customWidth="1"/>
    <col min="3084" max="3084" width="28.6640625" style="3054" customWidth="1"/>
    <col min="3085" max="3085" width="12.109375" style="3054" customWidth="1"/>
    <col min="3086" max="3086" width="12.21875" style="3054" customWidth="1"/>
    <col min="3087" max="3087" width="7.109375" style="3054" customWidth="1"/>
    <col min="3088" max="3088" width="8.33203125" style="3054" customWidth="1"/>
    <col min="3089" max="3090" width="9.109375" style="3054"/>
    <col min="3091" max="3091" width="0" style="3054" hidden="1" customWidth="1"/>
    <col min="3092" max="3093" width="12.109375" style="3054" customWidth="1"/>
    <col min="3094" max="3094" width="10.88671875" style="3054" customWidth="1"/>
    <col min="3095" max="3095" width="10.6640625" style="3054" customWidth="1"/>
    <col min="3096" max="3099" width="9.109375" style="3054"/>
    <col min="3100" max="3102" width="10.77734375" style="3054" customWidth="1"/>
    <col min="3103" max="3328" width="9.109375" style="3054"/>
    <col min="3329" max="3329" width="51.44140625" style="3054" customWidth="1"/>
    <col min="3330" max="3330" width="11" style="3054" customWidth="1"/>
    <col min="3331" max="3331" width="9" style="3054" customWidth="1"/>
    <col min="3332" max="3332" width="31" style="3054" customWidth="1"/>
    <col min="3333" max="3333" width="9" style="3054" customWidth="1"/>
    <col min="3334" max="3334" width="31" style="3054" customWidth="1"/>
    <col min="3335" max="3335" width="18.33203125" style="3054" customWidth="1"/>
    <col min="3336" max="3337" width="15.88671875" style="3054" customWidth="1"/>
    <col min="3338" max="3338" width="10.88671875" style="3054" customWidth="1"/>
    <col min="3339" max="3339" width="10.33203125" style="3054" customWidth="1"/>
    <col min="3340" max="3340" width="28.6640625" style="3054" customWidth="1"/>
    <col min="3341" max="3341" width="12.109375" style="3054" customWidth="1"/>
    <col min="3342" max="3342" width="12.21875" style="3054" customWidth="1"/>
    <col min="3343" max="3343" width="7.109375" style="3054" customWidth="1"/>
    <col min="3344" max="3344" width="8.33203125" style="3054" customWidth="1"/>
    <col min="3345" max="3346" width="9.109375" style="3054"/>
    <col min="3347" max="3347" width="0" style="3054" hidden="1" customWidth="1"/>
    <col min="3348" max="3349" width="12.109375" style="3054" customWidth="1"/>
    <col min="3350" max="3350" width="10.88671875" style="3054" customWidth="1"/>
    <col min="3351" max="3351" width="10.6640625" style="3054" customWidth="1"/>
    <col min="3352" max="3355" width="9.109375" style="3054"/>
    <col min="3356" max="3358" width="10.77734375" style="3054" customWidth="1"/>
    <col min="3359" max="3584" width="9.109375" style="3054"/>
    <col min="3585" max="3585" width="51.44140625" style="3054" customWidth="1"/>
    <col min="3586" max="3586" width="11" style="3054" customWidth="1"/>
    <col min="3587" max="3587" width="9" style="3054" customWidth="1"/>
    <col min="3588" max="3588" width="31" style="3054" customWidth="1"/>
    <col min="3589" max="3589" width="9" style="3054" customWidth="1"/>
    <col min="3590" max="3590" width="31" style="3054" customWidth="1"/>
    <col min="3591" max="3591" width="18.33203125" style="3054" customWidth="1"/>
    <col min="3592" max="3593" width="15.88671875" style="3054" customWidth="1"/>
    <col min="3594" max="3594" width="10.88671875" style="3054" customWidth="1"/>
    <col min="3595" max="3595" width="10.33203125" style="3054" customWidth="1"/>
    <col min="3596" max="3596" width="28.6640625" style="3054" customWidth="1"/>
    <col min="3597" max="3597" width="12.109375" style="3054" customWidth="1"/>
    <col min="3598" max="3598" width="12.21875" style="3054" customWidth="1"/>
    <col min="3599" max="3599" width="7.109375" style="3054" customWidth="1"/>
    <col min="3600" max="3600" width="8.33203125" style="3054" customWidth="1"/>
    <col min="3601" max="3602" width="9.109375" style="3054"/>
    <col min="3603" max="3603" width="0" style="3054" hidden="1" customWidth="1"/>
    <col min="3604" max="3605" width="12.109375" style="3054" customWidth="1"/>
    <col min="3606" max="3606" width="10.88671875" style="3054" customWidth="1"/>
    <col min="3607" max="3607" width="10.6640625" style="3054" customWidth="1"/>
    <col min="3608" max="3611" width="9.109375" style="3054"/>
    <col min="3612" max="3614" width="10.77734375" style="3054" customWidth="1"/>
    <col min="3615" max="3840" width="9.109375" style="3054"/>
    <col min="3841" max="3841" width="51.44140625" style="3054" customWidth="1"/>
    <col min="3842" max="3842" width="11" style="3054" customWidth="1"/>
    <col min="3843" max="3843" width="9" style="3054" customWidth="1"/>
    <col min="3844" max="3844" width="31" style="3054" customWidth="1"/>
    <col min="3845" max="3845" width="9" style="3054" customWidth="1"/>
    <col min="3846" max="3846" width="31" style="3054" customWidth="1"/>
    <col min="3847" max="3847" width="18.33203125" style="3054" customWidth="1"/>
    <col min="3848" max="3849" width="15.88671875" style="3054" customWidth="1"/>
    <col min="3850" max="3850" width="10.88671875" style="3054" customWidth="1"/>
    <col min="3851" max="3851" width="10.33203125" style="3054" customWidth="1"/>
    <col min="3852" max="3852" width="28.6640625" style="3054" customWidth="1"/>
    <col min="3853" max="3853" width="12.109375" style="3054" customWidth="1"/>
    <col min="3854" max="3854" width="12.21875" style="3054" customWidth="1"/>
    <col min="3855" max="3855" width="7.109375" style="3054" customWidth="1"/>
    <col min="3856" max="3856" width="8.33203125" style="3054" customWidth="1"/>
    <col min="3857" max="3858" width="9.109375" style="3054"/>
    <col min="3859" max="3859" width="0" style="3054" hidden="1" customWidth="1"/>
    <col min="3860" max="3861" width="12.109375" style="3054" customWidth="1"/>
    <col min="3862" max="3862" width="10.88671875" style="3054" customWidth="1"/>
    <col min="3863" max="3863" width="10.6640625" style="3054" customWidth="1"/>
    <col min="3864" max="3867" width="9.109375" style="3054"/>
    <col min="3868" max="3870" width="10.77734375" style="3054" customWidth="1"/>
    <col min="3871" max="4096" width="9.109375" style="3054"/>
    <col min="4097" max="4097" width="51.44140625" style="3054" customWidth="1"/>
    <col min="4098" max="4098" width="11" style="3054" customWidth="1"/>
    <col min="4099" max="4099" width="9" style="3054" customWidth="1"/>
    <col min="4100" max="4100" width="31" style="3054" customWidth="1"/>
    <col min="4101" max="4101" width="9" style="3054" customWidth="1"/>
    <col min="4102" max="4102" width="31" style="3054" customWidth="1"/>
    <col min="4103" max="4103" width="18.33203125" style="3054" customWidth="1"/>
    <col min="4104" max="4105" width="15.88671875" style="3054" customWidth="1"/>
    <col min="4106" max="4106" width="10.88671875" style="3054" customWidth="1"/>
    <col min="4107" max="4107" width="10.33203125" style="3054" customWidth="1"/>
    <col min="4108" max="4108" width="28.6640625" style="3054" customWidth="1"/>
    <col min="4109" max="4109" width="12.109375" style="3054" customWidth="1"/>
    <col min="4110" max="4110" width="12.21875" style="3054" customWidth="1"/>
    <col min="4111" max="4111" width="7.109375" style="3054" customWidth="1"/>
    <col min="4112" max="4112" width="8.33203125" style="3054" customWidth="1"/>
    <col min="4113" max="4114" width="9.109375" style="3054"/>
    <col min="4115" max="4115" width="0" style="3054" hidden="1" customWidth="1"/>
    <col min="4116" max="4117" width="12.109375" style="3054" customWidth="1"/>
    <col min="4118" max="4118" width="10.88671875" style="3054" customWidth="1"/>
    <col min="4119" max="4119" width="10.6640625" style="3054" customWidth="1"/>
    <col min="4120" max="4123" width="9.109375" style="3054"/>
    <col min="4124" max="4126" width="10.77734375" style="3054" customWidth="1"/>
    <col min="4127" max="4352" width="9.109375" style="3054"/>
    <col min="4353" max="4353" width="51.44140625" style="3054" customWidth="1"/>
    <col min="4354" max="4354" width="11" style="3054" customWidth="1"/>
    <col min="4355" max="4355" width="9" style="3054" customWidth="1"/>
    <col min="4356" max="4356" width="31" style="3054" customWidth="1"/>
    <col min="4357" max="4357" width="9" style="3054" customWidth="1"/>
    <col min="4358" max="4358" width="31" style="3054" customWidth="1"/>
    <col min="4359" max="4359" width="18.33203125" style="3054" customWidth="1"/>
    <col min="4360" max="4361" width="15.88671875" style="3054" customWidth="1"/>
    <col min="4362" max="4362" width="10.88671875" style="3054" customWidth="1"/>
    <col min="4363" max="4363" width="10.33203125" style="3054" customWidth="1"/>
    <col min="4364" max="4364" width="28.6640625" style="3054" customWidth="1"/>
    <col min="4365" max="4365" width="12.109375" style="3054" customWidth="1"/>
    <col min="4366" max="4366" width="12.21875" style="3054" customWidth="1"/>
    <col min="4367" max="4367" width="7.109375" style="3054" customWidth="1"/>
    <col min="4368" max="4368" width="8.33203125" style="3054" customWidth="1"/>
    <col min="4369" max="4370" width="9.109375" style="3054"/>
    <col min="4371" max="4371" width="0" style="3054" hidden="1" customWidth="1"/>
    <col min="4372" max="4373" width="12.109375" style="3054" customWidth="1"/>
    <col min="4374" max="4374" width="10.88671875" style="3054" customWidth="1"/>
    <col min="4375" max="4375" width="10.6640625" style="3054" customWidth="1"/>
    <col min="4376" max="4379" width="9.109375" style="3054"/>
    <col min="4380" max="4382" width="10.77734375" style="3054" customWidth="1"/>
    <col min="4383" max="4608" width="9.109375" style="3054"/>
    <col min="4609" max="4609" width="51.44140625" style="3054" customWidth="1"/>
    <col min="4610" max="4610" width="11" style="3054" customWidth="1"/>
    <col min="4611" max="4611" width="9" style="3054" customWidth="1"/>
    <col min="4612" max="4612" width="31" style="3054" customWidth="1"/>
    <col min="4613" max="4613" width="9" style="3054" customWidth="1"/>
    <col min="4614" max="4614" width="31" style="3054" customWidth="1"/>
    <col min="4615" max="4615" width="18.33203125" style="3054" customWidth="1"/>
    <col min="4616" max="4617" width="15.88671875" style="3054" customWidth="1"/>
    <col min="4618" max="4618" width="10.88671875" style="3054" customWidth="1"/>
    <col min="4619" max="4619" width="10.33203125" style="3054" customWidth="1"/>
    <col min="4620" max="4620" width="28.6640625" style="3054" customWidth="1"/>
    <col min="4621" max="4621" width="12.109375" style="3054" customWidth="1"/>
    <col min="4622" max="4622" width="12.21875" style="3054" customWidth="1"/>
    <col min="4623" max="4623" width="7.109375" style="3054" customWidth="1"/>
    <col min="4624" max="4624" width="8.33203125" style="3054" customWidth="1"/>
    <col min="4625" max="4626" width="9.109375" style="3054"/>
    <col min="4627" max="4627" width="0" style="3054" hidden="1" customWidth="1"/>
    <col min="4628" max="4629" width="12.109375" style="3054" customWidth="1"/>
    <col min="4630" max="4630" width="10.88671875" style="3054" customWidth="1"/>
    <col min="4631" max="4631" width="10.6640625" style="3054" customWidth="1"/>
    <col min="4632" max="4635" width="9.109375" style="3054"/>
    <col min="4636" max="4638" width="10.77734375" style="3054" customWidth="1"/>
    <col min="4639" max="4864" width="9.109375" style="3054"/>
    <col min="4865" max="4865" width="51.44140625" style="3054" customWidth="1"/>
    <col min="4866" max="4866" width="11" style="3054" customWidth="1"/>
    <col min="4867" max="4867" width="9" style="3054" customWidth="1"/>
    <col min="4868" max="4868" width="31" style="3054" customWidth="1"/>
    <col min="4869" max="4869" width="9" style="3054" customWidth="1"/>
    <col min="4870" max="4870" width="31" style="3054" customWidth="1"/>
    <col min="4871" max="4871" width="18.33203125" style="3054" customWidth="1"/>
    <col min="4872" max="4873" width="15.88671875" style="3054" customWidth="1"/>
    <col min="4874" max="4874" width="10.88671875" style="3054" customWidth="1"/>
    <col min="4875" max="4875" width="10.33203125" style="3054" customWidth="1"/>
    <col min="4876" max="4876" width="28.6640625" style="3054" customWidth="1"/>
    <col min="4877" max="4877" width="12.109375" style="3054" customWidth="1"/>
    <col min="4878" max="4878" width="12.21875" style="3054" customWidth="1"/>
    <col min="4879" max="4879" width="7.109375" style="3054" customWidth="1"/>
    <col min="4880" max="4880" width="8.33203125" style="3054" customWidth="1"/>
    <col min="4881" max="4882" width="9.109375" style="3054"/>
    <col min="4883" max="4883" width="0" style="3054" hidden="1" customWidth="1"/>
    <col min="4884" max="4885" width="12.109375" style="3054" customWidth="1"/>
    <col min="4886" max="4886" width="10.88671875" style="3054" customWidth="1"/>
    <col min="4887" max="4887" width="10.6640625" style="3054" customWidth="1"/>
    <col min="4888" max="4891" width="9.109375" style="3054"/>
    <col min="4892" max="4894" width="10.77734375" style="3054" customWidth="1"/>
    <col min="4895" max="5120" width="9.109375" style="3054"/>
    <col min="5121" max="5121" width="51.44140625" style="3054" customWidth="1"/>
    <col min="5122" max="5122" width="11" style="3054" customWidth="1"/>
    <col min="5123" max="5123" width="9" style="3054" customWidth="1"/>
    <col min="5124" max="5124" width="31" style="3054" customWidth="1"/>
    <col min="5125" max="5125" width="9" style="3054" customWidth="1"/>
    <col min="5126" max="5126" width="31" style="3054" customWidth="1"/>
    <col min="5127" max="5127" width="18.33203125" style="3054" customWidth="1"/>
    <col min="5128" max="5129" width="15.88671875" style="3054" customWidth="1"/>
    <col min="5130" max="5130" width="10.88671875" style="3054" customWidth="1"/>
    <col min="5131" max="5131" width="10.33203125" style="3054" customWidth="1"/>
    <col min="5132" max="5132" width="28.6640625" style="3054" customWidth="1"/>
    <col min="5133" max="5133" width="12.109375" style="3054" customWidth="1"/>
    <col min="5134" max="5134" width="12.21875" style="3054" customWidth="1"/>
    <col min="5135" max="5135" width="7.109375" style="3054" customWidth="1"/>
    <col min="5136" max="5136" width="8.33203125" style="3054" customWidth="1"/>
    <col min="5137" max="5138" width="9.109375" style="3054"/>
    <col min="5139" max="5139" width="0" style="3054" hidden="1" customWidth="1"/>
    <col min="5140" max="5141" width="12.109375" style="3054" customWidth="1"/>
    <col min="5142" max="5142" width="10.88671875" style="3054" customWidth="1"/>
    <col min="5143" max="5143" width="10.6640625" style="3054" customWidth="1"/>
    <col min="5144" max="5147" width="9.109375" style="3054"/>
    <col min="5148" max="5150" width="10.77734375" style="3054" customWidth="1"/>
    <col min="5151" max="5376" width="9.109375" style="3054"/>
    <col min="5377" max="5377" width="51.44140625" style="3054" customWidth="1"/>
    <col min="5378" max="5378" width="11" style="3054" customWidth="1"/>
    <col min="5379" max="5379" width="9" style="3054" customWidth="1"/>
    <col min="5380" max="5380" width="31" style="3054" customWidth="1"/>
    <col min="5381" max="5381" width="9" style="3054" customWidth="1"/>
    <col min="5382" max="5382" width="31" style="3054" customWidth="1"/>
    <col min="5383" max="5383" width="18.33203125" style="3054" customWidth="1"/>
    <col min="5384" max="5385" width="15.88671875" style="3054" customWidth="1"/>
    <col min="5386" max="5386" width="10.88671875" style="3054" customWidth="1"/>
    <col min="5387" max="5387" width="10.33203125" style="3054" customWidth="1"/>
    <col min="5388" max="5388" width="28.6640625" style="3054" customWidth="1"/>
    <col min="5389" max="5389" width="12.109375" style="3054" customWidth="1"/>
    <col min="5390" max="5390" width="12.21875" style="3054" customWidth="1"/>
    <col min="5391" max="5391" width="7.109375" style="3054" customWidth="1"/>
    <col min="5392" max="5392" width="8.33203125" style="3054" customWidth="1"/>
    <col min="5393" max="5394" width="9.109375" style="3054"/>
    <col min="5395" max="5395" width="0" style="3054" hidden="1" customWidth="1"/>
    <col min="5396" max="5397" width="12.109375" style="3054" customWidth="1"/>
    <col min="5398" max="5398" width="10.88671875" style="3054" customWidth="1"/>
    <col min="5399" max="5399" width="10.6640625" style="3054" customWidth="1"/>
    <col min="5400" max="5403" width="9.109375" style="3054"/>
    <col min="5404" max="5406" width="10.77734375" style="3054" customWidth="1"/>
    <col min="5407" max="5632" width="9.109375" style="3054"/>
    <col min="5633" max="5633" width="51.44140625" style="3054" customWidth="1"/>
    <col min="5634" max="5634" width="11" style="3054" customWidth="1"/>
    <col min="5635" max="5635" width="9" style="3054" customWidth="1"/>
    <col min="5636" max="5636" width="31" style="3054" customWidth="1"/>
    <col min="5637" max="5637" width="9" style="3054" customWidth="1"/>
    <col min="5638" max="5638" width="31" style="3054" customWidth="1"/>
    <col min="5639" max="5639" width="18.33203125" style="3054" customWidth="1"/>
    <col min="5640" max="5641" width="15.88671875" style="3054" customWidth="1"/>
    <col min="5642" max="5642" width="10.88671875" style="3054" customWidth="1"/>
    <col min="5643" max="5643" width="10.33203125" style="3054" customWidth="1"/>
    <col min="5644" max="5644" width="28.6640625" style="3054" customWidth="1"/>
    <col min="5645" max="5645" width="12.109375" style="3054" customWidth="1"/>
    <col min="5646" max="5646" width="12.21875" style="3054" customWidth="1"/>
    <col min="5647" max="5647" width="7.109375" style="3054" customWidth="1"/>
    <col min="5648" max="5648" width="8.33203125" style="3054" customWidth="1"/>
    <col min="5649" max="5650" width="9.109375" style="3054"/>
    <col min="5651" max="5651" width="0" style="3054" hidden="1" customWidth="1"/>
    <col min="5652" max="5653" width="12.109375" style="3054" customWidth="1"/>
    <col min="5654" max="5654" width="10.88671875" style="3054" customWidth="1"/>
    <col min="5655" max="5655" width="10.6640625" style="3054" customWidth="1"/>
    <col min="5656" max="5659" width="9.109375" style="3054"/>
    <col min="5660" max="5662" width="10.77734375" style="3054" customWidth="1"/>
    <col min="5663" max="5888" width="9.109375" style="3054"/>
    <col min="5889" max="5889" width="51.44140625" style="3054" customWidth="1"/>
    <col min="5890" max="5890" width="11" style="3054" customWidth="1"/>
    <col min="5891" max="5891" width="9" style="3054" customWidth="1"/>
    <col min="5892" max="5892" width="31" style="3054" customWidth="1"/>
    <col min="5893" max="5893" width="9" style="3054" customWidth="1"/>
    <col min="5894" max="5894" width="31" style="3054" customWidth="1"/>
    <col min="5895" max="5895" width="18.33203125" style="3054" customWidth="1"/>
    <col min="5896" max="5897" width="15.88671875" style="3054" customWidth="1"/>
    <col min="5898" max="5898" width="10.88671875" style="3054" customWidth="1"/>
    <col min="5899" max="5899" width="10.33203125" style="3054" customWidth="1"/>
    <col min="5900" max="5900" width="28.6640625" style="3054" customWidth="1"/>
    <col min="5901" max="5901" width="12.109375" style="3054" customWidth="1"/>
    <col min="5902" max="5902" width="12.21875" style="3054" customWidth="1"/>
    <col min="5903" max="5903" width="7.109375" style="3054" customWidth="1"/>
    <col min="5904" max="5904" width="8.33203125" style="3054" customWidth="1"/>
    <col min="5905" max="5906" width="9.109375" style="3054"/>
    <col min="5907" max="5907" width="0" style="3054" hidden="1" customWidth="1"/>
    <col min="5908" max="5909" width="12.109375" style="3054" customWidth="1"/>
    <col min="5910" max="5910" width="10.88671875" style="3054" customWidth="1"/>
    <col min="5911" max="5911" width="10.6640625" style="3054" customWidth="1"/>
    <col min="5912" max="5915" width="9.109375" style="3054"/>
    <col min="5916" max="5918" width="10.77734375" style="3054" customWidth="1"/>
    <col min="5919" max="6144" width="9.109375" style="3054"/>
    <col min="6145" max="6145" width="51.44140625" style="3054" customWidth="1"/>
    <col min="6146" max="6146" width="11" style="3054" customWidth="1"/>
    <col min="6147" max="6147" width="9" style="3054" customWidth="1"/>
    <col min="6148" max="6148" width="31" style="3054" customWidth="1"/>
    <col min="6149" max="6149" width="9" style="3054" customWidth="1"/>
    <col min="6150" max="6150" width="31" style="3054" customWidth="1"/>
    <col min="6151" max="6151" width="18.33203125" style="3054" customWidth="1"/>
    <col min="6152" max="6153" width="15.88671875" style="3054" customWidth="1"/>
    <col min="6154" max="6154" width="10.88671875" style="3054" customWidth="1"/>
    <col min="6155" max="6155" width="10.33203125" style="3054" customWidth="1"/>
    <col min="6156" max="6156" width="28.6640625" style="3054" customWidth="1"/>
    <col min="6157" max="6157" width="12.109375" style="3054" customWidth="1"/>
    <col min="6158" max="6158" width="12.21875" style="3054" customWidth="1"/>
    <col min="6159" max="6159" width="7.109375" style="3054" customWidth="1"/>
    <col min="6160" max="6160" width="8.33203125" style="3054" customWidth="1"/>
    <col min="6161" max="6162" width="9.109375" style="3054"/>
    <col min="6163" max="6163" width="0" style="3054" hidden="1" customWidth="1"/>
    <col min="6164" max="6165" width="12.109375" style="3054" customWidth="1"/>
    <col min="6166" max="6166" width="10.88671875" style="3054" customWidth="1"/>
    <col min="6167" max="6167" width="10.6640625" style="3054" customWidth="1"/>
    <col min="6168" max="6171" width="9.109375" style="3054"/>
    <col min="6172" max="6174" width="10.77734375" style="3054" customWidth="1"/>
    <col min="6175" max="6400" width="9.109375" style="3054"/>
    <col min="6401" max="6401" width="51.44140625" style="3054" customWidth="1"/>
    <col min="6402" max="6402" width="11" style="3054" customWidth="1"/>
    <col min="6403" max="6403" width="9" style="3054" customWidth="1"/>
    <col min="6404" max="6404" width="31" style="3054" customWidth="1"/>
    <col min="6405" max="6405" width="9" style="3054" customWidth="1"/>
    <col min="6406" max="6406" width="31" style="3054" customWidth="1"/>
    <col min="6407" max="6407" width="18.33203125" style="3054" customWidth="1"/>
    <col min="6408" max="6409" width="15.88671875" style="3054" customWidth="1"/>
    <col min="6410" max="6410" width="10.88671875" style="3054" customWidth="1"/>
    <col min="6411" max="6411" width="10.33203125" style="3054" customWidth="1"/>
    <col min="6412" max="6412" width="28.6640625" style="3054" customWidth="1"/>
    <col min="6413" max="6413" width="12.109375" style="3054" customWidth="1"/>
    <col min="6414" max="6414" width="12.21875" style="3054" customWidth="1"/>
    <col min="6415" max="6415" width="7.109375" style="3054" customWidth="1"/>
    <col min="6416" max="6416" width="8.33203125" style="3054" customWidth="1"/>
    <col min="6417" max="6418" width="9.109375" style="3054"/>
    <col min="6419" max="6419" width="0" style="3054" hidden="1" customWidth="1"/>
    <col min="6420" max="6421" width="12.109375" style="3054" customWidth="1"/>
    <col min="6422" max="6422" width="10.88671875" style="3054" customWidth="1"/>
    <col min="6423" max="6423" width="10.6640625" style="3054" customWidth="1"/>
    <col min="6424" max="6427" width="9.109375" style="3054"/>
    <col min="6428" max="6430" width="10.77734375" style="3054" customWidth="1"/>
    <col min="6431" max="6656" width="9.109375" style="3054"/>
    <col min="6657" max="6657" width="51.44140625" style="3054" customWidth="1"/>
    <col min="6658" max="6658" width="11" style="3054" customWidth="1"/>
    <col min="6659" max="6659" width="9" style="3054" customWidth="1"/>
    <col min="6660" max="6660" width="31" style="3054" customWidth="1"/>
    <col min="6661" max="6661" width="9" style="3054" customWidth="1"/>
    <col min="6662" max="6662" width="31" style="3054" customWidth="1"/>
    <col min="6663" max="6663" width="18.33203125" style="3054" customWidth="1"/>
    <col min="6664" max="6665" width="15.88671875" style="3054" customWidth="1"/>
    <col min="6666" max="6666" width="10.88671875" style="3054" customWidth="1"/>
    <col min="6667" max="6667" width="10.33203125" style="3054" customWidth="1"/>
    <col min="6668" max="6668" width="28.6640625" style="3054" customWidth="1"/>
    <col min="6669" max="6669" width="12.109375" style="3054" customWidth="1"/>
    <col min="6670" max="6670" width="12.21875" style="3054" customWidth="1"/>
    <col min="6671" max="6671" width="7.109375" style="3054" customWidth="1"/>
    <col min="6672" max="6672" width="8.33203125" style="3054" customWidth="1"/>
    <col min="6673" max="6674" width="9.109375" style="3054"/>
    <col min="6675" max="6675" width="0" style="3054" hidden="1" customWidth="1"/>
    <col min="6676" max="6677" width="12.109375" style="3054" customWidth="1"/>
    <col min="6678" max="6678" width="10.88671875" style="3054" customWidth="1"/>
    <col min="6679" max="6679" width="10.6640625" style="3054" customWidth="1"/>
    <col min="6680" max="6683" width="9.109375" style="3054"/>
    <col min="6684" max="6686" width="10.77734375" style="3054" customWidth="1"/>
    <col min="6687" max="6912" width="9.109375" style="3054"/>
    <col min="6913" max="6913" width="51.44140625" style="3054" customWidth="1"/>
    <col min="6914" max="6914" width="11" style="3054" customWidth="1"/>
    <col min="6915" max="6915" width="9" style="3054" customWidth="1"/>
    <col min="6916" max="6916" width="31" style="3054" customWidth="1"/>
    <col min="6917" max="6917" width="9" style="3054" customWidth="1"/>
    <col min="6918" max="6918" width="31" style="3054" customWidth="1"/>
    <col min="6919" max="6919" width="18.33203125" style="3054" customWidth="1"/>
    <col min="6920" max="6921" width="15.88671875" style="3054" customWidth="1"/>
    <col min="6922" max="6922" width="10.88671875" style="3054" customWidth="1"/>
    <col min="6923" max="6923" width="10.33203125" style="3054" customWidth="1"/>
    <col min="6924" max="6924" width="28.6640625" style="3054" customWidth="1"/>
    <col min="6925" max="6925" width="12.109375" style="3054" customWidth="1"/>
    <col min="6926" max="6926" width="12.21875" style="3054" customWidth="1"/>
    <col min="6927" max="6927" width="7.109375" style="3054" customWidth="1"/>
    <col min="6928" max="6928" width="8.33203125" style="3054" customWidth="1"/>
    <col min="6929" max="6930" width="9.109375" style="3054"/>
    <col min="6931" max="6931" width="0" style="3054" hidden="1" customWidth="1"/>
    <col min="6932" max="6933" width="12.109375" style="3054" customWidth="1"/>
    <col min="6934" max="6934" width="10.88671875" style="3054" customWidth="1"/>
    <col min="6935" max="6935" width="10.6640625" style="3054" customWidth="1"/>
    <col min="6936" max="6939" width="9.109375" style="3054"/>
    <col min="6940" max="6942" width="10.77734375" style="3054" customWidth="1"/>
    <col min="6943" max="7168" width="9.109375" style="3054"/>
    <col min="7169" max="7169" width="51.44140625" style="3054" customWidth="1"/>
    <col min="7170" max="7170" width="11" style="3054" customWidth="1"/>
    <col min="7171" max="7171" width="9" style="3054" customWidth="1"/>
    <col min="7172" max="7172" width="31" style="3054" customWidth="1"/>
    <col min="7173" max="7173" width="9" style="3054" customWidth="1"/>
    <col min="7174" max="7174" width="31" style="3054" customWidth="1"/>
    <col min="7175" max="7175" width="18.33203125" style="3054" customWidth="1"/>
    <col min="7176" max="7177" width="15.88671875" style="3054" customWidth="1"/>
    <col min="7178" max="7178" width="10.88671875" style="3054" customWidth="1"/>
    <col min="7179" max="7179" width="10.33203125" style="3054" customWidth="1"/>
    <col min="7180" max="7180" width="28.6640625" style="3054" customWidth="1"/>
    <col min="7181" max="7181" width="12.109375" style="3054" customWidth="1"/>
    <col min="7182" max="7182" width="12.21875" style="3054" customWidth="1"/>
    <col min="7183" max="7183" width="7.109375" style="3054" customWidth="1"/>
    <col min="7184" max="7184" width="8.33203125" style="3054" customWidth="1"/>
    <col min="7185" max="7186" width="9.109375" style="3054"/>
    <col min="7187" max="7187" width="0" style="3054" hidden="1" customWidth="1"/>
    <col min="7188" max="7189" width="12.109375" style="3054" customWidth="1"/>
    <col min="7190" max="7190" width="10.88671875" style="3054" customWidth="1"/>
    <col min="7191" max="7191" width="10.6640625" style="3054" customWidth="1"/>
    <col min="7192" max="7195" width="9.109375" style="3054"/>
    <col min="7196" max="7198" width="10.77734375" style="3054" customWidth="1"/>
    <col min="7199" max="7424" width="9.109375" style="3054"/>
    <col min="7425" max="7425" width="51.44140625" style="3054" customWidth="1"/>
    <col min="7426" max="7426" width="11" style="3054" customWidth="1"/>
    <col min="7427" max="7427" width="9" style="3054" customWidth="1"/>
    <col min="7428" max="7428" width="31" style="3054" customWidth="1"/>
    <col min="7429" max="7429" width="9" style="3054" customWidth="1"/>
    <col min="7430" max="7430" width="31" style="3054" customWidth="1"/>
    <col min="7431" max="7431" width="18.33203125" style="3054" customWidth="1"/>
    <col min="7432" max="7433" width="15.88671875" style="3054" customWidth="1"/>
    <col min="7434" max="7434" width="10.88671875" style="3054" customWidth="1"/>
    <col min="7435" max="7435" width="10.33203125" style="3054" customWidth="1"/>
    <col min="7436" max="7436" width="28.6640625" style="3054" customWidth="1"/>
    <col min="7437" max="7437" width="12.109375" style="3054" customWidth="1"/>
    <col min="7438" max="7438" width="12.21875" style="3054" customWidth="1"/>
    <col min="7439" max="7439" width="7.109375" style="3054" customWidth="1"/>
    <col min="7440" max="7440" width="8.33203125" style="3054" customWidth="1"/>
    <col min="7441" max="7442" width="9.109375" style="3054"/>
    <col min="7443" max="7443" width="0" style="3054" hidden="1" customWidth="1"/>
    <col min="7444" max="7445" width="12.109375" style="3054" customWidth="1"/>
    <col min="7446" max="7446" width="10.88671875" style="3054" customWidth="1"/>
    <col min="7447" max="7447" width="10.6640625" style="3054" customWidth="1"/>
    <col min="7448" max="7451" width="9.109375" style="3054"/>
    <col min="7452" max="7454" width="10.77734375" style="3054" customWidth="1"/>
    <col min="7455" max="7680" width="9.109375" style="3054"/>
    <col min="7681" max="7681" width="51.44140625" style="3054" customWidth="1"/>
    <col min="7682" max="7682" width="11" style="3054" customWidth="1"/>
    <col min="7683" max="7683" width="9" style="3054" customWidth="1"/>
    <col min="7684" max="7684" width="31" style="3054" customWidth="1"/>
    <col min="7685" max="7685" width="9" style="3054" customWidth="1"/>
    <col min="7686" max="7686" width="31" style="3054" customWidth="1"/>
    <col min="7687" max="7687" width="18.33203125" style="3054" customWidth="1"/>
    <col min="7688" max="7689" width="15.88671875" style="3054" customWidth="1"/>
    <col min="7690" max="7690" width="10.88671875" style="3054" customWidth="1"/>
    <col min="7691" max="7691" width="10.33203125" style="3054" customWidth="1"/>
    <col min="7692" max="7692" width="28.6640625" style="3054" customWidth="1"/>
    <col min="7693" max="7693" width="12.109375" style="3054" customWidth="1"/>
    <col min="7694" max="7694" width="12.21875" style="3054" customWidth="1"/>
    <col min="7695" max="7695" width="7.109375" style="3054" customWidth="1"/>
    <col min="7696" max="7696" width="8.33203125" style="3054" customWidth="1"/>
    <col min="7697" max="7698" width="9.109375" style="3054"/>
    <col min="7699" max="7699" width="0" style="3054" hidden="1" customWidth="1"/>
    <col min="7700" max="7701" width="12.109375" style="3054" customWidth="1"/>
    <col min="7702" max="7702" width="10.88671875" style="3054" customWidth="1"/>
    <col min="7703" max="7703" width="10.6640625" style="3054" customWidth="1"/>
    <col min="7704" max="7707" width="9.109375" style="3054"/>
    <col min="7708" max="7710" width="10.77734375" style="3054" customWidth="1"/>
    <col min="7711" max="7936" width="9.109375" style="3054"/>
    <col min="7937" max="7937" width="51.44140625" style="3054" customWidth="1"/>
    <col min="7938" max="7938" width="11" style="3054" customWidth="1"/>
    <col min="7939" max="7939" width="9" style="3054" customWidth="1"/>
    <col min="7940" max="7940" width="31" style="3054" customWidth="1"/>
    <col min="7941" max="7941" width="9" style="3054" customWidth="1"/>
    <col min="7942" max="7942" width="31" style="3054" customWidth="1"/>
    <col min="7943" max="7943" width="18.33203125" style="3054" customWidth="1"/>
    <col min="7944" max="7945" width="15.88671875" style="3054" customWidth="1"/>
    <col min="7946" max="7946" width="10.88671875" style="3054" customWidth="1"/>
    <col min="7947" max="7947" width="10.33203125" style="3054" customWidth="1"/>
    <col min="7948" max="7948" width="28.6640625" style="3054" customWidth="1"/>
    <col min="7949" max="7949" width="12.109375" style="3054" customWidth="1"/>
    <col min="7950" max="7950" width="12.21875" style="3054" customWidth="1"/>
    <col min="7951" max="7951" width="7.109375" style="3054" customWidth="1"/>
    <col min="7952" max="7952" width="8.33203125" style="3054" customWidth="1"/>
    <col min="7953" max="7954" width="9.109375" style="3054"/>
    <col min="7955" max="7955" width="0" style="3054" hidden="1" customWidth="1"/>
    <col min="7956" max="7957" width="12.109375" style="3054" customWidth="1"/>
    <col min="7958" max="7958" width="10.88671875" style="3054" customWidth="1"/>
    <col min="7959" max="7959" width="10.6640625" style="3054" customWidth="1"/>
    <col min="7960" max="7963" width="9.109375" style="3054"/>
    <col min="7964" max="7966" width="10.77734375" style="3054" customWidth="1"/>
    <col min="7967" max="8192" width="9.109375" style="3054"/>
    <col min="8193" max="8193" width="51.44140625" style="3054" customWidth="1"/>
    <col min="8194" max="8194" width="11" style="3054" customWidth="1"/>
    <col min="8195" max="8195" width="9" style="3054" customWidth="1"/>
    <col min="8196" max="8196" width="31" style="3054" customWidth="1"/>
    <col min="8197" max="8197" width="9" style="3054" customWidth="1"/>
    <col min="8198" max="8198" width="31" style="3054" customWidth="1"/>
    <col min="8199" max="8199" width="18.33203125" style="3054" customWidth="1"/>
    <col min="8200" max="8201" width="15.88671875" style="3054" customWidth="1"/>
    <col min="8202" max="8202" width="10.88671875" style="3054" customWidth="1"/>
    <col min="8203" max="8203" width="10.33203125" style="3054" customWidth="1"/>
    <col min="8204" max="8204" width="28.6640625" style="3054" customWidth="1"/>
    <col min="8205" max="8205" width="12.109375" style="3054" customWidth="1"/>
    <col min="8206" max="8206" width="12.21875" style="3054" customWidth="1"/>
    <col min="8207" max="8207" width="7.109375" style="3054" customWidth="1"/>
    <col min="8208" max="8208" width="8.33203125" style="3054" customWidth="1"/>
    <col min="8209" max="8210" width="9.109375" style="3054"/>
    <col min="8211" max="8211" width="0" style="3054" hidden="1" customWidth="1"/>
    <col min="8212" max="8213" width="12.109375" style="3054" customWidth="1"/>
    <col min="8214" max="8214" width="10.88671875" style="3054" customWidth="1"/>
    <col min="8215" max="8215" width="10.6640625" style="3054" customWidth="1"/>
    <col min="8216" max="8219" width="9.109375" style="3054"/>
    <col min="8220" max="8222" width="10.77734375" style="3054" customWidth="1"/>
    <col min="8223" max="8448" width="9.109375" style="3054"/>
    <col min="8449" max="8449" width="51.44140625" style="3054" customWidth="1"/>
    <col min="8450" max="8450" width="11" style="3054" customWidth="1"/>
    <col min="8451" max="8451" width="9" style="3054" customWidth="1"/>
    <col min="8452" max="8452" width="31" style="3054" customWidth="1"/>
    <col min="8453" max="8453" width="9" style="3054" customWidth="1"/>
    <col min="8454" max="8454" width="31" style="3054" customWidth="1"/>
    <col min="8455" max="8455" width="18.33203125" style="3054" customWidth="1"/>
    <col min="8456" max="8457" width="15.88671875" style="3054" customWidth="1"/>
    <col min="8458" max="8458" width="10.88671875" style="3054" customWidth="1"/>
    <col min="8459" max="8459" width="10.33203125" style="3054" customWidth="1"/>
    <col min="8460" max="8460" width="28.6640625" style="3054" customWidth="1"/>
    <col min="8461" max="8461" width="12.109375" style="3054" customWidth="1"/>
    <col min="8462" max="8462" width="12.21875" style="3054" customWidth="1"/>
    <col min="8463" max="8463" width="7.109375" style="3054" customWidth="1"/>
    <col min="8464" max="8464" width="8.33203125" style="3054" customWidth="1"/>
    <col min="8465" max="8466" width="9.109375" style="3054"/>
    <col min="8467" max="8467" width="0" style="3054" hidden="1" customWidth="1"/>
    <col min="8468" max="8469" width="12.109375" style="3054" customWidth="1"/>
    <col min="8470" max="8470" width="10.88671875" style="3054" customWidth="1"/>
    <col min="8471" max="8471" width="10.6640625" style="3054" customWidth="1"/>
    <col min="8472" max="8475" width="9.109375" style="3054"/>
    <col min="8476" max="8478" width="10.77734375" style="3054" customWidth="1"/>
    <col min="8479" max="8704" width="9.109375" style="3054"/>
    <col min="8705" max="8705" width="51.44140625" style="3054" customWidth="1"/>
    <col min="8706" max="8706" width="11" style="3054" customWidth="1"/>
    <col min="8707" max="8707" width="9" style="3054" customWidth="1"/>
    <col min="8708" max="8708" width="31" style="3054" customWidth="1"/>
    <col min="8709" max="8709" width="9" style="3054" customWidth="1"/>
    <col min="8710" max="8710" width="31" style="3054" customWidth="1"/>
    <col min="8711" max="8711" width="18.33203125" style="3054" customWidth="1"/>
    <col min="8712" max="8713" width="15.88671875" style="3054" customWidth="1"/>
    <col min="8714" max="8714" width="10.88671875" style="3054" customWidth="1"/>
    <col min="8715" max="8715" width="10.33203125" style="3054" customWidth="1"/>
    <col min="8716" max="8716" width="28.6640625" style="3054" customWidth="1"/>
    <col min="8717" max="8717" width="12.109375" style="3054" customWidth="1"/>
    <col min="8718" max="8718" width="12.21875" style="3054" customWidth="1"/>
    <col min="8719" max="8719" width="7.109375" style="3054" customWidth="1"/>
    <col min="8720" max="8720" width="8.33203125" style="3054" customWidth="1"/>
    <col min="8721" max="8722" width="9.109375" style="3054"/>
    <col min="8723" max="8723" width="0" style="3054" hidden="1" customWidth="1"/>
    <col min="8724" max="8725" width="12.109375" style="3054" customWidth="1"/>
    <col min="8726" max="8726" width="10.88671875" style="3054" customWidth="1"/>
    <col min="8727" max="8727" width="10.6640625" style="3054" customWidth="1"/>
    <col min="8728" max="8731" width="9.109375" style="3054"/>
    <col min="8732" max="8734" width="10.77734375" style="3054" customWidth="1"/>
    <col min="8735" max="8960" width="9.109375" style="3054"/>
    <col min="8961" max="8961" width="51.44140625" style="3054" customWidth="1"/>
    <col min="8962" max="8962" width="11" style="3054" customWidth="1"/>
    <col min="8963" max="8963" width="9" style="3054" customWidth="1"/>
    <col min="8964" max="8964" width="31" style="3054" customWidth="1"/>
    <col min="8965" max="8965" width="9" style="3054" customWidth="1"/>
    <col min="8966" max="8966" width="31" style="3054" customWidth="1"/>
    <col min="8967" max="8967" width="18.33203125" style="3054" customWidth="1"/>
    <col min="8968" max="8969" width="15.88671875" style="3054" customWidth="1"/>
    <col min="8970" max="8970" width="10.88671875" style="3054" customWidth="1"/>
    <col min="8971" max="8971" width="10.33203125" style="3054" customWidth="1"/>
    <col min="8972" max="8972" width="28.6640625" style="3054" customWidth="1"/>
    <col min="8973" max="8973" width="12.109375" style="3054" customWidth="1"/>
    <col min="8974" max="8974" width="12.21875" style="3054" customWidth="1"/>
    <col min="8975" max="8975" width="7.109375" style="3054" customWidth="1"/>
    <col min="8976" max="8976" width="8.33203125" style="3054" customWidth="1"/>
    <col min="8977" max="8978" width="9.109375" style="3054"/>
    <col min="8979" max="8979" width="0" style="3054" hidden="1" customWidth="1"/>
    <col min="8980" max="8981" width="12.109375" style="3054" customWidth="1"/>
    <col min="8982" max="8982" width="10.88671875" style="3054" customWidth="1"/>
    <col min="8983" max="8983" width="10.6640625" style="3054" customWidth="1"/>
    <col min="8984" max="8987" width="9.109375" style="3054"/>
    <col min="8988" max="8990" width="10.77734375" style="3054" customWidth="1"/>
    <col min="8991" max="9216" width="9.109375" style="3054"/>
    <col min="9217" max="9217" width="51.44140625" style="3054" customWidth="1"/>
    <col min="9218" max="9218" width="11" style="3054" customWidth="1"/>
    <col min="9219" max="9219" width="9" style="3054" customWidth="1"/>
    <col min="9220" max="9220" width="31" style="3054" customWidth="1"/>
    <col min="9221" max="9221" width="9" style="3054" customWidth="1"/>
    <col min="9222" max="9222" width="31" style="3054" customWidth="1"/>
    <col min="9223" max="9223" width="18.33203125" style="3054" customWidth="1"/>
    <col min="9224" max="9225" width="15.88671875" style="3054" customWidth="1"/>
    <col min="9226" max="9226" width="10.88671875" style="3054" customWidth="1"/>
    <col min="9227" max="9227" width="10.33203125" style="3054" customWidth="1"/>
    <col min="9228" max="9228" width="28.6640625" style="3054" customWidth="1"/>
    <col min="9229" max="9229" width="12.109375" style="3054" customWidth="1"/>
    <col min="9230" max="9230" width="12.21875" style="3054" customWidth="1"/>
    <col min="9231" max="9231" width="7.109375" style="3054" customWidth="1"/>
    <col min="9232" max="9232" width="8.33203125" style="3054" customWidth="1"/>
    <col min="9233" max="9234" width="9.109375" style="3054"/>
    <col min="9235" max="9235" width="0" style="3054" hidden="1" customWidth="1"/>
    <col min="9236" max="9237" width="12.109375" style="3054" customWidth="1"/>
    <col min="9238" max="9238" width="10.88671875" style="3054" customWidth="1"/>
    <col min="9239" max="9239" width="10.6640625" style="3054" customWidth="1"/>
    <col min="9240" max="9243" width="9.109375" style="3054"/>
    <col min="9244" max="9246" width="10.77734375" style="3054" customWidth="1"/>
    <col min="9247" max="9472" width="9.109375" style="3054"/>
    <col min="9473" max="9473" width="51.44140625" style="3054" customWidth="1"/>
    <col min="9474" max="9474" width="11" style="3054" customWidth="1"/>
    <col min="9475" max="9475" width="9" style="3054" customWidth="1"/>
    <col min="9476" max="9476" width="31" style="3054" customWidth="1"/>
    <col min="9477" max="9477" width="9" style="3054" customWidth="1"/>
    <col min="9478" max="9478" width="31" style="3054" customWidth="1"/>
    <col min="9479" max="9479" width="18.33203125" style="3054" customWidth="1"/>
    <col min="9480" max="9481" width="15.88671875" style="3054" customWidth="1"/>
    <col min="9482" max="9482" width="10.88671875" style="3054" customWidth="1"/>
    <col min="9483" max="9483" width="10.33203125" style="3054" customWidth="1"/>
    <col min="9484" max="9484" width="28.6640625" style="3054" customWidth="1"/>
    <col min="9485" max="9485" width="12.109375" style="3054" customWidth="1"/>
    <col min="9486" max="9486" width="12.21875" style="3054" customWidth="1"/>
    <col min="9487" max="9487" width="7.109375" style="3054" customWidth="1"/>
    <col min="9488" max="9488" width="8.33203125" style="3054" customWidth="1"/>
    <col min="9489" max="9490" width="9.109375" style="3054"/>
    <col min="9491" max="9491" width="0" style="3054" hidden="1" customWidth="1"/>
    <col min="9492" max="9493" width="12.109375" style="3054" customWidth="1"/>
    <col min="9494" max="9494" width="10.88671875" style="3054" customWidth="1"/>
    <col min="9495" max="9495" width="10.6640625" style="3054" customWidth="1"/>
    <col min="9496" max="9499" width="9.109375" style="3054"/>
    <col min="9500" max="9502" width="10.77734375" style="3054" customWidth="1"/>
    <col min="9503" max="9728" width="9.109375" style="3054"/>
    <col min="9729" max="9729" width="51.44140625" style="3054" customWidth="1"/>
    <col min="9730" max="9730" width="11" style="3054" customWidth="1"/>
    <col min="9731" max="9731" width="9" style="3054" customWidth="1"/>
    <col min="9732" max="9732" width="31" style="3054" customWidth="1"/>
    <col min="9733" max="9733" width="9" style="3054" customWidth="1"/>
    <col min="9734" max="9734" width="31" style="3054" customWidth="1"/>
    <col min="9735" max="9735" width="18.33203125" style="3054" customWidth="1"/>
    <col min="9736" max="9737" width="15.88671875" style="3054" customWidth="1"/>
    <col min="9738" max="9738" width="10.88671875" style="3054" customWidth="1"/>
    <col min="9739" max="9739" width="10.33203125" style="3054" customWidth="1"/>
    <col min="9740" max="9740" width="28.6640625" style="3054" customWidth="1"/>
    <col min="9741" max="9741" width="12.109375" style="3054" customWidth="1"/>
    <col min="9742" max="9742" width="12.21875" style="3054" customWidth="1"/>
    <col min="9743" max="9743" width="7.109375" style="3054" customWidth="1"/>
    <col min="9744" max="9744" width="8.33203125" style="3054" customWidth="1"/>
    <col min="9745" max="9746" width="9.109375" style="3054"/>
    <col min="9747" max="9747" width="0" style="3054" hidden="1" customWidth="1"/>
    <col min="9748" max="9749" width="12.109375" style="3054" customWidth="1"/>
    <col min="9750" max="9750" width="10.88671875" style="3054" customWidth="1"/>
    <col min="9751" max="9751" width="10.6640625" style="3054" customWidth="1"/>
    <col min="9752" max="9755" width="9.109375" style="3054"/>
    <col min="9756" max="9758" width="10.77734375" style="3054" customWidth="1"/>
    <col min="9759" max="9984" width="9.109375" style="3054"/>
    <col min="9985" max="9985" width="51.44140625" style="3054" customWidth="1"/>
    <col min="9986" max="9986" width="11" style="3054" customWidth="1"/>
    <col min="9987" max="9987" width="9" style="3054" customWidth="1"/>
    <col min="9988" max="9988" width="31" style="3054" customWidth="1"/>
    <col min="9989" max="9989" width="9" style="3054" customWidth="1"/>
    <col min="9990" max="9990" width="31" style="3054" customWidth="1"/>
    <col min="9991" max="9991" width="18.33203125" style="3054" customWidth="1"/>
    <col min="9992" max="9993" width="15.88671875" style="3054" customWidth="1"/>
    <col min="9994" max="9994" width="10.88671875" style="3054" customWidth="1"/>
    <col min="9995" max="9995" width="10.33203125" style="3054" customWidth="1"/>
    <col min="9996" max="9996" width="28.6640625" style="3054" customWidth="1"/>
    <col min="9997" max="9997" width="12.109375" style="3054" customWidth="1"/>
    <col min="9998" max="9998" width="12.21875" style="3054" customWidth="1"/>
    <col min="9999" max="9999" width="7.109375" style="3054" customWidth="1"/>
    <col min="10000" max="10000" width="8.33203125" style="3054" customWidth="1"/>
    <col min="10001" max="10002" width="9.109375" style="3054"/>
    <col min="10003" max="10003" width="0" style="3054" hidden="1" customWidth="1"/>
    <col min="10004" max="10005" width="12.109375" style="3054" customWidth="1"/>
    <col min="10006" max="10006" width="10.88671875" style="3054" customWidth="1"/>
    <col min="10007" max="10007" width="10.6640625" style="3054" customWidth="1"/>
    <col min="10008" max="10011" width="9.109375" style="3054"/>
    <col min="10012" max="10014" width="10.77734375" style="3054" customWidth="1"/>
    <col min="10015" max="10240" width="9.109375" style="3054"/>
    <col min="10241" max="10241" width="51.44140625" style="3054" customWidth="1"/>
    <col min="10242" max="10242" width="11" style="3054" customWidth="1"/>
    <col min="10243" max="10243" width="9" style="3054" customWidth="1"/>
    <col min="10244" max="10244" width="31" style="3054" customWidth="1"/>
    <col min="10245" max="10245" width="9" style="3054" customWidth="1"/>
    <col min="10246" max="10246" width="31" style="3054" customWidth="1"/>
    <col min="10247" max="10247" width="18.33203125" style="3054" customWidth="1"/>
    <col min="10248" max="10249" width="15.88671875" style="3054" customWidth="1"/>
    <col min="10250" max="10250" width="10.88671875" style="3054" customWidth="1"/>
    <col min="10251" max="10251" width="10.33203125" style="3054" customWidth="1"/>
    <col min="10252" max="10252" width="28.6640625" style="3054" customWidth="1"/>
    <col min="10253" max="10253" width="12.109375" style="3054" customWidth="1"/>
    <col min="10254" max="10254" width="12.21875" style="3054" customWidth="1"/>
    <col min="10255" max="10255" width="7.109375" style="3054" customWidth="1"/>
    <col min="10256" max="10256" width="8.33203125" style="3054" customWidth="1"/>
    <col min="10257" max="10258" width="9.109375" style="3054"/>
    <col min="10259" max="10259" width="0" style="3054" hidden="1" customWidth="1"/>
    <col min="10260" max="10261" width="12.109375" style="3054" customWidth="1"/>
    <col min="10262" max="10262" width="10.88671875" style="3054" customWidth="1"/>
    <col min="10263" max="10263" width="10.6640625" style="3054" customWidth="1"/>
    <col min="10264" max="10267" width="9.109375" style="3054"/>
    <col min="10268" max="10270" width="10.77734375" style="3054" customWidth="1"/>
    <col min="10271" max="10496" width="9.109375" style="3054"/>
    <col min="10497" max="10497" width="51.44140625" style="3054" customWidth="1"/>
    <col min="10498" max="10498" width="11" style="3054" customWidth="1"/>
    <col min="10499" max="10499" width="9" style="3054" customWidth="1"/>
    <col min="10500" max="10500" width="31" style="3054" customWidth="1"/>
    <col min="10501" max="10501" width="9" style="3054" customWidth="1"/>
    <col min="10502" max="10502" width="31" style="3054" customWidth="1"/>
    <col min="10503" max="10503" width="18.33203125" style="3054" customWidth="1"/>
    <col min="10504" max="10505" width="15.88671875" style="3054" customWidth="1"/>
    <col min="10506" max="10506" width="10.88671875" style="3054" customWidth="1"/>
    <col min="10507" max="10507" width="10.33203125" style="3054" customWidth="1"/>
    <col min="10508" max="10508" width="28.6640625" style="3054" customWidth="1"/>
    <col min="10509" max="10509" width="12.109375" style="3054" customWidth="1"/>
    <col min="10510" max="10510" width="12.21875" style="3054" customWidth="1"/>
    <col min="10511" max="10511" width="7.109375" style="3054" customWidth="1"/>
    <col min="10512" max="10512" width="8.33203125" style="3054" customWidth="1"/>
    <col min="10513" max="10514" width="9.109375" style="3054"/>
    <col min="10515" max="10515" width="0" style="3054" hidden="1" customWidth="1"/>
    <col min="10516" max="10517" width="12.109375" style="3054" customWidth="1"/>
    <col min="10518" max="10518" width="10.88671875" style="3054" customWidth="1"/>
    <col min="10519" max="10519" width="10.6640625" style="3054" customWidth="1"/>
    <col min="10520" max="10523" width="9.109375" style="3054"/>
    <col min="10524" max="10526" width="10.77734375" style="3054" customWidth="1"/>
    <col min="10527" max="10752" width="9.109375" style="3054"/>
    <col min="10753" max="10753" width="51.44140625" style="3054" customWidth="1"/>
    <col min="10754" max="10754" width="11" style="3054" customWidth="1"/>
    <col min="10755" max="10755" width="9" style="3054" customWidth="1"/>
    <col min="10756" max="10756" width="31" style="3054" customWidth="1"/>
    <col min="10757" max="10757" width="9" style="3054" customWidth="1"/>
    <col min="10758" max="10758" width="31" style="3054" customWidth="1"/>
    <col min="10759" max="10759" width="18.33203125" style="3054" customWidth="1"/>
    <col min="10760" max="10761" width="15.88671875" style="3054" customWidth="1"/>
    <col min="10762" max="10762" width="10.88671875" style="3054" customWidth="1"/>
    <col min="10763" max="10763" width="10.33203125" style="3054" customWidth="1"/>
    <col min="10764" max="10764" width="28.6640625" style="3054" customWidth="1"/>
    <col min="10765" max="10765" width="12.109375" style="3054" customWidth="1"/>
    <col min="10766" max="10766" width="12.21875" style="3054" customWidth="1"/>
    <col min="10767" max="10767" width="7.109375" style="3054" customWidth="1"/>
    <col min="10768" max="10768" width="8.33203125" style="3054" customWidth="1"/>
    <col min="10769" max="10770" width="9.109375" style="3054"/>
    <col min="10771" max="10771" width="0" style="3054" hidden="1" customWidth="1"/>
    <col min="10772" max="10773" width="12.109375" style="3054" customWidth="1"/>
    <col min="10774" max="10774" width="10.88671875" style="3054" customWidth="1"/>
    <col min="10775" max="10775" width="10.6640625" style="3054" customWidth="1"/>
    <col min="10776" max="10779" width="9.109375" style="3054"/>
    <col min="10780" max="10782" width="10.77734375" style="3054" customWidth="1"/>
    <col min="10783" max="11008" width="9.109375" style="3054"/>
    <col min="11009" max="11009" width="51.44140625" style="3054" customWidth="1"/>
    <col min="11010" max="11010" width="11" style="3054" customWidth="1"/>
    <col min="11011" max="11011" width="9" style="3054" customWidth="1"/>
    <col min="11012" max="11012" width="31" style="3054" customWidth="1"/>
    <col min="11013" max="11013" width="9" style="3054" customWidth="1"/>
    <col min="11014" max="11014" width="31" style="3054" customWidth="1"/>
    <col min="11015" max="11015" width="18.33203125" style="3054" customWidth="1"/>
    <col min="11016" max="11017" width="15.88671875" style="3054" customWidth="1"/>
    <col min="11018" max="11018" width="10.88671875" style="3054" customWidth="1"/>
    <col min="11019" max="11019" width="10.33203125" style="3054" customWidth="1"/>
    <col min="11020" max="11020" width="28.6640625" style="3054" customWidth="1"/>
    <col min="11021" max="11021" width="12.109375" style="3054" customWidth="1"/>
    <col min="11022" max="11022" width="12.21875" style="3054" customWidth="1"/>
    <col min="11023" max="11023" width="7.109375" style="3054" customWidth="1"/>
    <col min="11024" max="11024" width="8.33203125" style="3054" customWidth="1"/>
    <col min="11025" max="11026" width="9.109375" style="3054"/>
    <col min="11027" max="11027" width="0" style="3054" hidden="1" customWidth="1"/>
    <col min="11028" max="11029" width="12.109375" style="3054" customWidth="1"/>
    <col min="11030" max="11030" width="10.88671875" style="3054" customWidth="1"/>
    <col min="11031" max="11031" width="10.6640625" style="3054" customWidth="1"/>
    <col min="11032" max="11035" width="9.109375" style="3054"/>
    <col min="11036" max="11038" width="10.77734375" style="3054" customWidth="1"/>
    <col min="11039" max="11264" width="9.109375" style="3054"/>
    <col min="11265" max="11265" width="51.44140625" style="3054" customWidth="1"/>
    <col min="11266" max="11266" width="11" style="3054" customWidth="1"/>
    <col min="11267" max="11267" width="9" style="3054" customWidth="1"/>
    <col min="11268" max="11268" width="31" style="3054" customWidth="1"/>
    <col min="11269" max="11269" width="9" style="3054" customWidth="1"/>
    <col min="11270" max="11270" width="31" style="3054" customWidth="1"/>
    <col min="11271" max="11271" width="18.33203125" style="3054" customWidth="1"/>
    <col min="11272" max="11273" width="15.88671875" style="3054" customWidth="1"/>
    <col min="11274" max="11274" width="10.88671875" style="3054" customWidth="1"/>
    <col min="11275" max="11275" width="10.33203125" style="3054" customWidth="1"/>
    <col min="11276" max="11276" width="28.6640625" style="3054" customWidth="1"/>
    <col min="11277" max="11277" width="12.109375" style="3054" customWidth="1"/>
    <col min="11278" max="11278" width="12.21875" style="3054" customWidth="1"/>
    <col min="11279" max="11279" width="7.109375" style="3054" customWidth="1"/>
    <col min="11280" max="11280" width="8.33203125" style="3054" customWidth="1"/>
    <col min="11281" max="11282" width="9.109375" style="3054"/>
    <col min="11283" max="11283" width="0" style="3054" hidden="1" customWidth="1"/>
    <col min="11284" max="11285" width="12.109375" style="3054" customWidth="1"/>
    <col min="11286" max="11286" width="10.88671875" style="3054" customWidth="1"/>
    <col min="11287" max="11287" width="10.6640625" style="3054" customWidth="1"/>
    <col min="11288" max="11291" width="9.109375" style="3054"/>
    <col min="11292" max="11294" width="10.77734375" style="3054" customWidth="1"/>
    <col min="11295" max="11520" width="9.109375" style="3054"/>
    <col min="11521" max="11521" width="51.44140625" style="3054" customWidth="1"/>
    <col min="11522" max="11522" width="11" style="3054" customWidth="1"/>
    <col min="11523" max="11523" width="9" style="3054" customWidth="1"/>
    <col min="11524" max="11524" width="31" style="3054" customWidth="1"/>
    <col min="11525" max="11525" width="9" style="3054" customWidth="1"/>
    <col min="11526" max="11526" width="31" style="3054" customWidth="1"/>
    <col min="11527" max="11527" width="18.33203125" style="3054" customWidth="1"/>
    <col min="11528" max="11529" width="15.88671875" style="3054" customWidth="1"/>
    <col min="11530" max="11530" width="10.88671875" style="3054" customWidth="1"/>
    <col min="11531" max="11531" width="10.33203125" style="3054" customWidth="1"/>
    <col min="11532" max="11532" width="28.6640625" style="3054" customWidth="1"/>
    <col min="11533" max="11533" width="12.109375" style="3054" customWidth="1"/>
    <col min="11534" max="11534" width="12.21875" style="3054" customWidth="1"/>
    <col min="11535" max="11535" width="7.109375" style="3054" customWidth="1"/>
    <col min="11536" max="11536" width="8.33203125" style="3054" customWidth="1"/>
    <col min="11537" max="11538" width="9.109375" style="3054"/>
    <col min="11539" max="11539" width="0" style="3054" hidden="1" customWidth="1"/>
    <col min="11540" max="11541" width="12.109375" style="3054" customWidth="1"/>
    <col min="11542" max="11542" width="10.88671875" style="3054" customWidth="1"/>
    <col min="11543" max="11543" width="10.6640625" style="3054" customWidth="1"/>
    <col min="11544" max="11547" width="9.109375" style="3054"/>
    <col min="11548" max="11550" width="10.77734375" style="3054" customWidth="1"/>
    <col min="11551" max="11776" width="9.109375" style="3054"/>
    <col min="11777" max="11777" width="51.44140625" style="3054" customWidth="1"/>
    <col min="11778" max="11778" width="11" style="3054" customWidth="1"/>
    <col min="11779" max="11779" width="9" style="3054" customWidth="1"/>
    <col min="11780" max="11780" width="31" style="3054" customWidth="1"/>
    <col min="11781" max="11781" width="9" style="3054" customWidth="1"/>
    <col min="11782" max="11782" width="31" style="3054" customWidth="1"/>
    <col min="11783" max="11783" width="18.33203125" style="3054" customWidth="1"/>
    <col min="11784" max="11785" width="15.88671875" style="3054" customWidth="1"/>
    <col min="11786" max="11786" width="10.88671875" style="3054" customWidth="1"/>
    <col min="11787" max="11787" width="10.33203125" style="3054" customWidth="1"/>
    <col min="11788" max="11788" width="28.6640625" style="3054" customWidth="1"/>
    <col min="11789" max="11789" width="12.109375" style="3054" customWidth="1"/>
    <col min="11790" max="11790" width="12.21875" style="3054" customWidth="1"/>
    <col min="11791" max="11791" width="7.109375" style="3054" customWidth="1"/>
    <col min="11792" max="11792" width="8.33203125" style="3054" customWidth="1"/>
    <col min="11793" max="11794" width="9.109375" style="3054"/>
    <col min="11795" max="11795" width="0" style="3054" hidden="1" customWidth="1"/>
    <col min="11796" max="11797" width="12.109375" style="3054" customWidth="1"/>
    <col min="11798" max="11798" width="10.88671875" style="3054" customWidth="1"/>
    <col min="11799" max="11799" width="10.6640625" style="3054" customWidth="1"/>
    <col min="11800" max="11803" width="9.109375" style="3054"/>
    <col min="11804" max="11806" width="10.77734375" style="3054" customWidth="1"/>
    <col min="11807" max="12032" width="9.109375" style="3054"/>
    <col min="12033" max="12033" width="51.44140625" style="3054" customWidth="1"/>
    <col min="12034" max="12034" width="11" style="3054" customWidth="1"/>
    <col min="12035" max="12035" width="9" style="3054" customWidth="1"/>
    <col min="12036" max="12036" width="31" style="3054" customWidth="1"/>
    <col min="12037" max="12037" width="9" style="3054" customWidth="1"/>
    <col min="12038" max="12038" width="31" style="3054" customWidth="1"/>
    <col min="12039" max="12039" width="18.33203125" style="3054" customWidth="1"/>
    <col min="12040" max="12041" width="15.88671875" style="3054" customWidth="1"/>
    <col min="12042" max="12042" width="10.88671875" style="3054" customWidth="1"/>
    <col min="12043" max="12043" width="10.33203125" style="3054" customWidth="1"/>
    <col min="12044" max="12044" width="28.6640625" style="3054" customWidth="1"/>
    <col min="12045" max="12045" width="12.109375" style="3054" customWidth="1"/>
    <col min="12046" max="12046" width="12.21875" style="3054" customWidth="1"/>
    <col min="12047" max="12047" width="7.109375" style="3054" customWidth="1"/>
    <col min="12048" max="12048" width="8.33203125" style="3054" customWidth="1"/>
    <col min="12049" max="12050" width="9.109375" style="3054"/>
    <col min="12051" max="12051" width="0" style="3054" hidden="1" customWidth="1"/>
    <col min="12052" max="12053" width="12.109375" style="3054" customWidth="1"/>
    <col min="12054" max="12054" width="10.88671875" style="3054" customWidth="1"/>
    <col min="12055" max="12055" width="10.6640625" style="3054" customWidth="1"/>
    <col min="12056" max="12059" width="9.109375" style="3054"/>
    <col min="12060" max="12062" width="10.77734375" style="3054" customWidth="1"/>
    <col min="12063" max="12288" width="9.109375" style="3054"/>
    <col min="12289" max="12289" width="51.44140625" style="3054" customWidth="1"/>
    <col min="12290" max="12290" width="11" style="3054" customWidth="1"/>
    <col min="12291" max="12291" width="9" style="3054" customWidth="1"/>
    <col min="12292" max="12292" width="31" style="3054" customWidth="1"/>
    <col min="12293" max="12293" width="9" style="3054" customWidth="1"/>
    <col min="12294" max="12294" width="31" style="3054" customWidth="1"/>
    <col min="12295" max="12295" width="18.33203125" style="3054" customWidth="1"/>
    <col min="12296" max="12297" width="15.88671875" style="3054" customWidth="1"/>
    <col min="12298" max="12298" width="10.88671875" style="3054" customWidth="1"/>
    <col min="12299" max="12299" width="10.33203125" style="3054" customWidth="1"/>
    <col min="12300" max="12300" width="28.6640625" style="3054" customWidth="1"/>
    <col min="12301" max="12301" width="12.109375" style="3054" customWidth="1"/>
    <col min="12302" max="12302" width="12.21875" style="3054" customWidth="1"/>
    <col min="12303" max="12303" width="7.109375" style="3054" customWidth="1"/>
    <col min="12304" max="12304" width="8.33203125" style="3054" customWidth="1"/>
    <col min="12305" max="12306" width="9.109375" style="3054"/>
    <col min="12307" max="12307" width="0" style="3054" hidden="1" customWidth="1"/>
    <col min="12308" max="12309" width="12.109375" style="3054" customWidth="1"/>
    <col min="12310" max="12310" width="10.88671875" style="3054" customWidth="1"/>
    <col min="12311" max="12311" width="10.6640625" style="3054" customWidth="1"/>
    <col min="12312" max="12315" width="9.109375" style="3054"/>
    <col min="12316" max="12318" width="10.77734375" style="3054" customWidth="1"/>
    <col min="12319" max="12544" width="9.109375" style="3054"/>
    <col min="12545" max="12545" width="51.44140625" style="3054" customWidth="1"/>
    <col min="12546" max="12546" width="11" style="3054" customWidth="1"/>
    <col min="12547" max="12547" width="9" style="3054" customWidth="1"/>
    <col min="12548" max="12548" width="31" style="3054" customWidth="1"/>
    <col min="12549" max="12549" width="9" style="3054" customWidth="1"/>
    <col min="12550" max="12550" width="31" style="3054" customWidth="1"/>
    <col min="12551" max="12551" width="18.33203125" style="3054" customWidth="1"/>
    <col min="12552" max="12553" width="15.88671875" style="3054" customWidth="1"/>
    <col min="12554" max="12554" width="10.88671875" style="3054" customWidth="1"/>
    <col min="12555" max="12555" width="10.33203125" style="3054" customWidth="1"/>
    <col min="12556" max="12556" width="28.6640625" style="3054" customWidth="1"/>
    <col min="12557" max="12557" width="12.109375" style="3054" customWidth="1"/>
    <col min="12558" max="12558" width="12.21875" style="3054" customWidth="1"/>
    <col min="12559" max="12559" width="7.109375" style="3054" customWidth="1"/>
    <col min="12560" max="12560" width="8.33203125" style="3054" customWidth="1"/>
    <col min="12561" max="12562" width="9.109375" style="3054"/>
    <col min="12563" max="12563" width="0" style="3054" hidden="1" customWidth="1"/>
    <col min="12564" max="12565" width="12.109375" style="3054" customWidth="1"/>
    <col min="12566" max="12566" width="10.88671875" style="3054" customWidth="1"/>
    <col min="12567" max="12567" width="10.6640625" style="3054" customWidth="1"/>
    <col min="12568" max="12571" width="9.109375" style="3054"/>
    <col min="12572" max="12574" width="10.77734375" style="3054" customWidth="1"/>
    <col min="12575" max="12800" width="9.109375" style="3054"/>
    <col min="12801" max="12801" width="51.44140625" style="3054" customWidth="1"/>
    <col min="12802" max="12802" width="11" style="3054" customWidth="1"/>
    <col min="12803" max="12803" width="9" style="3054" customWidth="1"/>
    <col min="12804" max="12804" width="31" style="3054" customWidth="1"/>
    <col min="12805" max="12805" width="9" style="3054" customWidth="1"/>
    <col min="12806" max="12806" width="31" style="3054" customWidth="1"/>
    <col min="12807" max="12807" width="18.33203125" style="3054" customWidth="1"/>
    <col min="12808" max="12809" width="15.88671875" style="3054" customWidth="1"/>
    <col min="12810" max="12810" width="10.88671875" style="3054" customWidth="1"/>
    <col min="12811" max="12811" width="10.33203125" style="3054" customWidth="1"/>
    <col min="12812" max="12812" width="28.6640625" style="3054" customWidth="1"/>
    <col min="12813" max="12813" width="12.109375" style="3054" customWidth="1"/>
    <col min="12814" max="12814" width="12.21875" style="3054" customWidth="1"/>
    <col min="12815" max="12815" width="7.109375" style="3054" customWidth="1"/>
    <col min="12816" max="12816" width="8.33203125" style="3054" customWidth="1"/>
    <col min="12817" max="12818" width="9.109375" style="3054"/>
    <col min="12819" max="12819" width="0" style="3054" hidden="1" customWidth="1"/>
    <col min="12820" max="12821" width="12.109375" style="3054" customWidth="1"/>
    <col min="12822" max="12822" width="10.88671875" style="3054" customWidth="1"/>
    <col min="12823" max="12823" width="10.6640625" style="3054" customWidth="1"/>
    <col min="12824" max="12827" width="9.109375" style="3054"/>
    <col min="12828" max="12830" width="10.77734375" style="3054" customWidth="1"/>
    <col min="12831" max="13056" width="9.109375" style="3054"/>
    <col min="13057" max="13057" width="51.44140625" style="3054" customWidth="1"/>
    <col min="13058" max="13058" width="11" style="3054" customWidth="1"/>
    <col min="13059" max="13059" width="9" style="3054" customWidth="1"/>
    <col min="13060" max="13060" width="31" style="3054" customWidth="1"/>
    <col min="13061" max="13061" width="9" style="3054" customWidth="1"/>
    <col min="13062" max="13062" width="31" style="3054" customWidth="1"/>
    <col min="13063" max="13063" width="18.33203125" style="3054" customWidth="1"/>
    <col min="13064" max="13065" width="15.88671875" style="3054" customWidth="1"/>
    <col min="13066" max="13066" width="10.88671875" style="3054" customWidth="1"/>
    <col min="13067" max="13067" width="10.33203125" style="3054" customWidth="1"/>
    <col min="13068" max="13068" width="28.6640625" style="3054" customWidth="1"/>
    <col min="13069" max="13069" width="12.109375" style="3054" customWidth="1"/>
    <col min="13070" max="13070" width="12.21875" style="3054" customWidth="1"/>
    <col min="13071" max="13071" width="7.109375" style="3054" customWidth="1"/>
    <col min="13072" max="13072" width="8.33203125" style="3054" customWidth="1"/>
    <col min="13073" max="13074" width="9.109375" style="3054"/>
    <col min="13075" max="13075" width="0" style="3054" hidden="1" customWidth="1"/>
    <col min="13076" max="13077" width="12.109375" style="3054" customWidth="1"/>
    <col min="13078" max="13078" width="10.88671875" style="3054" customWidth="1"/>
    <col min="13079" max="13079" width="10.6640625" style="3054" customWidth="1"/>
    <col min="13080" max="13083" width="9.109375" style="3054"/>
    <col min="13084" max="13086" width="10.77734375" style="3054" customWidth="1"/>
    <col min="13087" max="13312" width="9.109375" style="3054"/>
    <col min="13313" max="13313" width="51.44140625" style="3054" customWidth="1"/>
    <col min="13314" max="13314" width="11" style="3054" customWidth="1"/>
    <col min="13315" max="13315" width="9" style="3054" customWidth="1"/>
    <col min="13316" max="13316" width="31" style="3054" customWidth="1"/>
    <col min="13317" max="13317" width="9" style="3054" customWidth="1"/>
    <col min="13318" max="13318" width="31" style="3054" customWidth="1"/>
    <col min="13319" max="13319" width="18.33203125" style="3054" customWidth="1"/>
    <col min="13320" max="13321" width="15.88671875" style="3054" customWidth="1"/>
    <col min="13322" max="13322" width="10.88671875" style="3054" customWidth="1"/>
    <col min="13323" max="13323" width="10.33203125" style="3054" customWidth="1"/>
    <col min="13324" max="13324" width="28.6640625" style="3054" customWidth="1"/>
    <col min="13325" max="13325" width="12.109375" style="3054" customWidth="1"/>
    <col min="13326" max="13326" width="12.21875" style="3054" customWidth="1"/>
    <col min="13327" max="13327" width="7.109375" style="3054" customWidth="1"/>
    <col min="13328" max="13328" width="8.33203125" style="3054" customWidth="1"/>
    <col min="13329" max="13330" width="9.109375" style="3054"/>
    <col min="13331" max="13331" width="0" style="3054" hidden="1" customWidth="1"/>
    <col min="13332" max="13333" width="12.109375" style="3054" customWidth="1"/>
    <col min="13334" max="13334" width="10.88671875" style="3054" customWidth="1"/>
    <col min="13335" max="13335" width="10.6640625" style="3054" customWidth="1"/>
    <col min="13336" max="13339" width="9.109375" style="3054"/>
    <col min="13340" max="13342" width="10.77734375" style="3054" customWidth="1"/>
    <col min="13343" max="13568" width="9.109375" style="3054"/>
    <col min="13569" max="13569" width="51.44140625" style="3054" customWidth="1"/>
    <col min="13570" max="13570" width="11" style="3054" customWidth="1"/>
    <col min="13571" max="13571" width="9" style="3054" customWidth="1"/>
    <col min="13572" max="13572" width="31" style="3054" customWidth="1"/>
    <col min="13573" max="13573" width="9" style="3054" customWidth="1"/>
    <col min="13574" max="13574" width="31" style="3054" customWidth="1"/>
    <col min="13575" max="13575" width="18.33203125" style="3054" customWidth="1"/>
    <col min="13576" max="13577" width="15.88671875" style="3054" customWidth="1"/>
    <col min="13578" max="13578" width="10.88671875" style="3054" customWidth="1"/>
    <col min="13579" max="13579" width="10.33203125" style="3054" customWidth="1"/>
    <col min="13580" max="13580" width="28.6640625" style="3054" customWidth="1"/>
    <col min="13581" max="13581" width="12.109375" style="3054" customWidth="1"/>
    <col min="13582" max="13582" width="12.21875" style="3054" customWidth="1"/>
    <col min="13583" max="13583" width="7.109375" style="3054" customWidth="1"/>
    <col min="13584" max="13584" width="8.33203125" style="3054" customWidth="1"/>
    <col min="13585" max="13586" width="9.109375" style="3054"/>
    <col min="13587" max="13587" width="0" style="3054" hidden="1" customWidth="1"/>
    <col min="13588" max="13589" width="12.109375" style="3054" customWidth="1"/>
    <col min="13590" max="13590" width="10.88671875" style="3054" customWidth="1"/>
    <col min="13591" max="13591" width="10.6640625" style="3054" customWidth="1"/>
    <col min="13592" max="13595" width="9.109375" style="3054"/>
    <col min="13596" max="13598" width="10.77734375" style="3054" customWidth="1"/>
    <col min="13599" max="13824" width="9.109375" style="3054"/>
    <col min="13825" max="13825" width="51.44140625" style="3054" customWidth="1"/>
    <col min="13826" max="13826" width="11" style="3054" customWidth="1"/>
    <col min="13827" max="13827" width="9" style="3054" customWidth="1"/>
    <col min="13828" max="13828" width="31" style="3054" customWidth="1"/>
    <col min="13829" max="13829" width="9" style="3054" customWidth="1"/>
    <col min="13830" max="13830" width="31" style="3054" customWidth="1"/>
    <col min="13831" max="13831" width="18.33203125" style="3054" customWidth="1"/>
    <col min="13832" max="13833" width="15.88671875" style="3054" customWidth="1"/>
    <col min="13834" max="13834" width="10.88671875" style="3054" customWidth="1"/>
    <col min="13835" max="13835" width="10.33203125" style="3054" customWidth="1"/>
    <col min="13836" max="13836" width="28.6640625" style="3054" customWidth="1"/>
    <col min="13837" max="13837" width="12.109375" style="3054" customWidth="1"/>
    <col min="13838" max="13838" width="12.21875" style="3054" customWidth="1"/>
    <col min="13839" max="13839" width="7.109375" style="3054" customWidth="1"/>
    <col min="13840" max="13840" width="8.33203125" style="3054" customWidth="1"/>
    <col min="13841" max="13842" width="9.109375" style="3054"/>
    <col min="13843" max="13843" width="0" style="3054" hidden="1" customWidth="1"/>
    <col min="13844" max="13845" width="12.109375" style="3054" customWidth="1"/>
    <col min="13846" max="13846" width="10.88671875" style="3054" customWidth="1"/>
    <col min="13847" max="13847" width="10.6640625" style="3054" customWidth="1"/>
    <col min="13848" max="13851" width="9.109375" style="3054"/>
    <col min="13852" max="13854" width="10.77734375" style="3054" customWidth="1"/>
    <col min="13855" max="14080" width="9.109375" style="3054"/>
    <col min="14081" max="14081" width="51.44140625" style="3054" customWidth="1"/>
    <col min="14082" max="14082" width="11" style="3054" customWidth="1"/>
    <col min="14083" max="14083" width="9" style="3054" customWidth="1"/>
    <col min="14084" max="14084" width="31" style="3054" customWidth="1"/>
    <col min="14085" max="14085" width="9" style="3054" customWidth="1"/>
    <col min="14086" max="14086" width="31" style="3054" customWidth="1"/>
    <col min="14087" max="14087" width="18.33203125" style="3054" customWidth="1"/>
    <col min="14088" max="14089" width="15.88671875" style="3054" customWidth="1"/>
    <col min="14090" max="14090" width="10.88671875" style="3054" customWidth="1"/>
    <col min="14091" max="14091" width="10.33203125" style="3054" customWidth="1"/>
    <col min="14092" max="14092" width="28.6640625" style="3054" customWidth="1"/>
    <col min="14093" max="14093" width="12.109375" style="3054" customWidth="1"/>
    <col min="14094" max="14094" width="12.21875" style="3054" customWidth="1"/>
    <col min="14095" max="14095" width="7.109375" style="3054" customWidth="1"/>
    <col min="14096" max="14096" width="8.33203125" style="3054" customWidth="1"/>
    <col min="14097" max="14098" width="9.109375" style="3054"/>
    <col min="14099" max="14099" width="0" style="3054" hidden="1" customWidth="1"/>
    <col min="14100" max="14101" width="12.109375" style="3054" customWidth="1"/>
    <col min="14102" max="14102" width="10.88671875" style="3054" customWidth="1"/>
    <col min="14103" max="14103" width="10.6640625" style="3054" customWidth="1"/>
    <col min="14104" max="14107" width="9.109375" style="3054"/>
    <col min="14108" max="14110" width="10.77734375" style="3054" customWidth="1"/>
    <col min="14111" max="14336" width="9.109375" style="3054"/>
    <col min="14337" max="14337" width="51.44140625" style="3054" customWidth="1"/>
    <col min="14338" max="14338" width="11" style="3054" customWidth="1"/>
    <col min="14339" max="14339" width="9" style="3054" customWidth="1"/>
    <col min="14340" max="14340" width="31" style="3054" customWidth="1"/>
    <col min="14341" max="14341" width="9" style="3054" customWidth="1"/>
    <col min="14342" max="14342" width="31" style="3054" customWidth="1"/>
    <col min="14343" max="14343" width="18.33203125" style="3054" customWidth="1"/>
    <col min="14344" max="14345" width="15.88671875" style="3054" customWidth="1"/>
    <col min="14346" max="14346" width="10.88671875" style="3054" customWidth="1"/>
    <col min="14347" max="14347" width="10.33203125" style="3054" customWidth="1"/>
    <col min="14348" max="14348" width="28.6640625" style="3054" customWidth="1"/>
    <col min="14349" max="14349" width="12.109375" style="3054" customWidth="1"/>
    <col min="14350" max="14350" width="12.21875" style="3054" customWidth="1"/>
    <col min="14351" max="14351" width="7.109375" style="3054" customWidth="1"/>
    <col min="14352" max="14352" width="8.33203125" style="3054" customWidth="1"/>
    <col min="14353" max="14354" width="9.109375" style="3054"/>
    <col min="14355" max="14355" width="0" style="3054" hidden="1" customWidth="1"/>
    <col min="14356" max="14357" width="12.109375" style="3054" customWidth="1"/>
    <col min="14358" max="14358" width="10.88671875" style="3054" customWidth="1"/>
    <col min="14359" max="14359" width="10.6640625" style="3054" customWidth="1"/>
    <col min="14360" max="14363" width="9.109375" style="3054"/>
    <col min="14364" max="14366" width="10.77734375" style="3054" customWidth="1"/>
    <col min="14367" max="14592" width="9.109375" style="3054"/>
    <col min="14593" max="14593" width="51.44140625" style="3054" customWidth="1"/>
    <col min="14594" max="14594" width="11" style="3054" customWidth="1"/>
    <col min="14595" max="14595" width="9" style="3054" customWidth="1"/>
    <col min="14596" max="14596" width="31" style="3054" customWidth="1"/>
    <col min="14597" max="14597" width="9" style="3054" customWidth="1"/>
    <col min="14598" max="14598" width="31" style="3054" customWidth="1"/>
    <col min="14599" max="14599" width="18.33203125" style="3054" customWidth="1"/>
    <col min="14600" max="14601" width="15.88671875" style="3054" customWidth="1"/>
    <col min="14602" max="14602" width="10.88671875" style="3054" customWidth="1"/>
    <col min="14603" max="14603" width="10.33203125" style="3054" customWidth="1"/>
    <col min="14604" max="14604" width="28.6640625" style="3054" customWidth="1"/>
    <col min="14605" max="14605" width="12.109375" style="3054" customWidth="1"/>
    <col min="14606" max="14606" width="12.21875" style="3054" customWidth="1"/>
    <col min="14607" max="14607" width="7.109375" style="3054" customWidth="1"/>
    <col min="14608" max="14608" width="8.33203125" style="3054" customWidth="1"/>
    <col min="14609" max="14610" width="9.109375" style="3054"/>
    <col min="14611" max="14611" width="0" style="3054" hidden="1" customWidth="1"/>
    <col min="14612" max="14613" width="12.109375" style="3054" customWidth="1"/>
    <col min="14614" max="14614" width="10.88671875" style="3054" customWidth="1"/>
    <col min="14615" max="14615" width="10.6640625" style="3054" customWidth="1"/>
    <col min="14616" max="14619" width="9.109375" style="3054"/>
    <col min="14620" max="14622" width="10.77734375" style="3054" customWidth="1"/>
    <col min="14623" max="14848" width="9.109375" style="3054"/>
    <col min="14849" max="14849" width="51.44140625" style="3054" customWidth="1"/>
    <col min="14850" max="14850" width="11" style="3054" customWidth="1"/>
    <col min="14851" max="14851" width="9" style="3054" customWidth="1"/>
    <col min="14852" max="14852" width="31" style="3054" customWidth="1"/>
    <col min="14853" max="14853" width="9" style="3054" customWidth="1"/>
    <col min="14854" max="14854" width="31" style="3054" customWidth="1"/>
    <col min="14855" max="14855" width="18.33203125" style="3054" customWidth="1"/>
    <col min="14856" max="14857" width="15.88671875" style="3054" customWidth="1"/>
    <col min="14858" max="14858" width="10.88671875" style="3054" customWidth="1"/>
    <col min="14859" max="14859" width="10.33203125" style="3054" customWidth="1"/>
    <col min="14860" max="14860" width="28.6640625" style="3054" customWidth="1"/>
    <col min="14861" max="14861" width="12.109375" style="3054" customWidth="1"/>
    <col min="14862" max="14862" width="12.21875" style="3054" customWidth="1"/>
    <col min="14863" max="14863" width="7.109375" style="3054" customWidth="1"/>
    <col min="14864" max="14864" width="8.33203125" style="3054" customWidth="1"/>
    <col min="14865" max="14866" width="9.109375" style="3054"/>
    <col min="14867" max="14867" width="0" style="3054" hidden="1" customWidth="1"/>
    <col min="14868" max="14869" width="12.109375" style="3054" customWidth="1"/>
    <col min="14870" max="14870" width="10.88671875" style="3054" customWidth="1"/>
    <col min="14871" max="14871" width="10.6640625" style="3054" customWidth="1"/>
    <col min="14872" max="14875" width="9.109375" style="3054"/>
    <col min="14876" max="14878" width="10.77734375" style="3054" customWidth="1"/>
    <col min="14879" max="15104" width="9.109375" style="3054"/>
    <col min="15105" max="15105" width="51.44140625" style="3054" customWidth="1"/>
    <col min="15106" max="15106" width="11" style="3054" customWidth="1"/>
    <col min="15107" max="15107" width="9" style="3054" customWidth="1"/>
    <col min="15108" max="15108" width="31" style="3054" customWidth="1"/>
    <col min="15109" max="15109" width="9" style="3054" customWidth="1"/>
    <col min="15110" max="15110" width="31" style="3054" customWidth="1"/>
    <col min="15111" max="15111" width="18.33203125" style="3054" customWidth="1"/>
    <col min="15112" max="15113" width="15.88671875" style="3054" customWidth="1"/>
    <col min="15114" max="15114" width="10.88671875" style="3054" customWidth="1"/>
    <col min="15115" max="15115" width="10.33203125" style="3054" customWidth="1"/>
    <col min="15116" max="15116" width="28.6640625" style="3054" customWidth="1"/>
    <col min="15117" max="15117" width="12.109375" style="3054" customWidth="1"/>
    <col min="15118" max="15118" width="12.21875" style="3054" customWidth="1"/>
    <col min="15119" max="15119" width="7.109375" style="3054" customWidth="1"/>
    <col min="15120" max="15120" width="8.33203125" style="3054" customWidth="1"/>
    <col min="15121" max="15122" width="9.109375" style="3054"/>
    <col min="15123" max="15123" width="0" style="3054" hidden="1" customWidth="1"/>
    <col min="15124" max="15125" width="12.109375" style="3054" customWidth="1"/>
    <col min="15126" max="15126" width="10.88671875" style="3054" customWidth="1"/>
    <col min="15127" max="15127" width="10.6640625" style="3054" customWidth="1"/>
    <col min="15128" max="15131" width="9.109375" style="3054"/>
    <col min="15132" max="15134" width="10.77734375" style="3054" customWidth="1"/>
    <col min="15135" max="15360" width="9.109375" style="3054"/>
    <col min="15361" max="15361" width="51.44140625" style="3054" customWidth="1"/>
    <col min="15362" max="15362" width="11" style="3054" customWidth="1"/>
    <col min="15363" max="15363" width="9" style="3054" customWidth="1"/>
    <col min="15364" max="15364" width="31" style="3054" customWidth="1"/>
    <col min="15365" max="15365" width="9" style="3054" customWidth="1"/>
    <col min="15366" max="15366" width="31" style="3054" customWidth="1"/>
    <col min="15367" max="15367" width="18.33203125" style="3054" customWidth="1"/>
    <col min="15368" max="15369" width="15.88671875" style="3054" customWidth="1"/>
    <col min="15370" max="15370" width="10.88671875" style="3054" customWidth="1"/>
    <col min="15371" max="15371" width="10.33203125" style="3054" customWidth="1"/>
    <col min="15372" max="15372" width="28.6640625" style="3054" customWidth="1"/>
    <col min="15373" max="15373" width="12.109375" style="3054" customWidth="1"/>
    <col min="15374" max="15374" width="12.21875" style="3054" customWidth="1"/>
    <col min="15375" max="15375" width="7.109375" style="3054" customWidth="1"/>
    <col min="15376" max="15376" width="8.33203125" style="3054" customWidth="1"/>
    <col min="15377" max="15378" width="9.109375" style="3054"/>
    <col min="15379" max="15379" width="0" style="3054" hidden="1" customWidth="1"/>
    <col min="15380" max="15381" width="12.109375" style="3054" customWidth="1"/>
    <col min="15382" max="15382" width="10.88671875" style="3054" customWidth="1"/>
    <col min="15383" max="15383" width="10.6640625" style="3054" customWidth="1"/>
    <col min="15384" max="15387" width="9.109375" style="3054"/>
    <col min="15388" max="15390" width="10.77734375" style="3054" customWidth="1"/>
    <col min="15391" max="15616" width="9.109375" style="3054"/>
    <col min="15617" max="15617" width="51.44140625" style="3054" customWidth="1"/>
    <col min="15618" max="15618" width="11" style="3054" customWidth="1"/>
    <col min="15619" max="15619" width="9" style="3054" customWidth="1"/>
    <col min="15620" max="15620" width="31" style="3054" customWidth="1"/>
    <col min="15621" max="15621" width="9" style="3054" customWidth="1"/>
    <col min="15622" max="15622" width="31" style="3054" customWidth="1"/>
    <col min="15623" max="15623" width="18.33203125" style="3054" customWidth="1"/>
    <col min="15624" max="15625" width="15.88671875" style="3054" customWidth="1"/>
    <col min="15626" max="15626" width="10.88671875" style="3054" customWidth="1"/>
    <col min="15627" max="15627" width="10.33203125" style="3054" customWidth="1"/>
    <col min="15628" max="15628" width="28.6640625" style="3054" customWidth="1"/>
    <col min="15629" max="15629" width="12.109375" style="3054" customWidth="1"/>
    <col min="15630" max="15630" width="12.21875" style="3054" customWidth="1"/>
    <col min="15631" max="15631" width="7.109375" style="3054" customWidth="1"/>
    <col min="15632" max="15632" width="8.33203125" style="3054" customWidth="1"/>
    <col min="15633" max="15634" width="9.109375" style="3054"/>
    <col min="15635" max="15635" width="0" style="3054" hidden="1" customWidth="1"/>
    <col min="15636" max="15637" width="12.109375" style="3054" customWidth="1"/>
    <col min="15638" max="15638" width="10.88671875" style="3054" customWidth="1"/>
    <col min="15639" max="15639" width="10.6640625" style="3054" customWidth="1"/>
    <col min="15640" max="15643" width="9.109375" style="3054"/>
    <col min="15644" max="15646" width="10.77734375" style="3054" customWidth="1"/>
    <col min="15647" max="15872" width="9.109375" style="3054"/>
    <col min="15873" max="15873" width="51.44140625" style="3054" customWidth="1"/>
    <col min="15874" max="15874" width="11" style="3054" customWidth="1"/>
    <col min="15875" max="15875" width="9" style="3054" customWidth="1"/>
    <col min="15876" max="15876" width="31" style="3054" customWidth="1"/>
    <col min="15877" max="15877" width="9" style="3054" customWidth="1"/>
    <col min="15878" max="15878" width="31" style="3054" customWidth="1"/>
    <col min="15879" max="15879" width="18.33203125" style="3054" customWidth="1"/>
    <col min="15880" max="15881" width="15.88671875" style="3054" customWidth="1"/>
    <col min="15882" max="15882" width="10.88671875" style="3054" customWidth="1"/>
    <col min="15883" max="15883" width="10.33203125" style="3054" customWidth="1"/>
    <col min="15884" max="15884" width="28.6640625" style="3054" customWidth="1"/>
    <col min="15885" max="15885" width="12.109375" style="3054" customWidth="1"/>
    <col min="15886" max="15886" width="12.21875" style="3054" customWidth="1"/>
    <col min="15887" max="15887" width="7.109375" style="3054" customWidth="1"/>
    <col min="15888" max="15888" width="8.33203125" style="3054" customWidth="1"/>
    <col min="15889" max="15890" width="9.109375" style="3054"/>
    <col min="15891" max="15891" width="0" style="3054" hidden="1" customWidth="1"/>
    <col min="15892" max="15893" width="12.109375" style="3054" customWidth="1"/>
    <col min="15894" max="15894" width="10.88671875" style="3054" customWidth="1"/>
    <col min="15895" max="15895" width="10.6640625" style="3054" customWidth="1"/>
    <col min="15896" max="15899" width="9.109375" style="3054"/>
    <col min="15900" max="15902" width="10.77734375" style="3054" customWidth="1"/>
    <col min="15903" max="16128" width="9.109375" style="3054"/>
    <col min="16129" max="16129" width="51.44140625" style="3054" customWidth="1"/>
    <col min="16130" max="16130" width="11" style="3054" customWidth="1"/>
    <col min="16131" max="16131" width="9" style="3054" customWidth="1"/>
    <col min="16132" max="16132" width="31" style="3054" customWidth="1"/>
    <col min="16133" max="16133" width="9" style="3054" customWidth="1"/>
    <col min="16134" max="16134" width="31" style="3054" customWidth="1"/>
    <col min="16135" max="16135" width="18.33203125" style="3054" customWidth="1"/>
    <col min="16136" max="16137" width="15.88671875" style="3054" customWidth="1"/>
    <col min="16138" max="16138" width="10.88671875" style="3054" customWidth="1"/>
    <col min="16139" max="16139" width="10.33203125" style="3054" customWidth="1"/>
    <col min="16140" max="16140" width="28.6640625" style="3054" customWidth="1"/>
    <col min="16141" max="16141" width="12.109375" style="3054" customWidth="1"/>
    <col min="16142" max="16142" width="12.21875" style="3054" customWidth="1"/>
    <col min="16143" max="16143" width="7.109375" style="3054" customWidth="1"/>
    <col min="16144" max="16144" width="8.33203125" style="3054" customWidth="1"/>
    <col min="16145" max="16146" width="9.109375" style="3054"/>
    <col min="16147" max="16147" width="0" style="3054" hidden="1" customWidth="1"/>
    <col min="16148" max="16149" width="12.109375" style="3054" customWidth="1"/>
    <col min="16150" max="16150" width="10.88671875" style="3054" customWidth="1"/>
    <col min="16151" max="16151" width="10.6640625" style="3054" customWidth="1"/>
    <col min="16152" max="16155" width="9.109375" style="3054"/>
    <col min="16156" max="16158" width="10.77734375" style="3054" customWidth="1"/>
    <col min="16159" max="16384" width="9.109375" style="3054"/>
  </cols>
  <sheetData>
    <row r="1" spans="1:33">
      <c r="A1" s="3054" t="s">
        <v>3065</v>
      </c>
      <c r="B1" s="3054" t="s">
        <v>3067</v>
      </c>
      <c r="C1" s="3054" t="s">
        <v>3068</v>
      </c>
      <c r="D1" s="3054" t="s">
        <v>3070</v>
      </c>
      <c r="E1" s="3054" t="s">
        <v>3071</v>
      </c>
      <c r="F1" s="3054" t="s">
        <v>3072</v>
      </c>
      <c r="G1" s="3054" t="s">
        <v>3073</v>
      </c>
      <c r="H1" s="3054" t="s">
        <v>3074</v>
      </c>
      <c r="I1" s="3054" t="s">
        <v>3075</v>
      </c>
      <c r="J1" s="3054" t="s">
        <v>3076</v>
      </c>
      <c r="K1" s="3054" t="s">
        <v>3091</v>
      </c>
      <c r="L1" s="3054" t="s">
        <v>3094</v>
      </c>
      <c r="M1" s="3054" t="s">
        <v>3097</v>
      </c>
      <c r="N1" s="3054" t="s">
        <v>3101</v>
      </c>
      <c r="O1" s="3054" t="s">
        <v>3105</v>
      </c>
      <c r="P1" s="3054" t="s">
        <v>3106</v>
      </c>
      <c r="R1" s="3055" t="s">
        <v>3218</v>
      </c>
      <c r="T1" s="3055" t="s">
        <v>3219</v>
      </c>
      <c r="U1" s="3055"/>
      <c r="V1" s="3056">
        <v>1.5</v>
      </c>
      <c r="W1" s="3057" t="s">
        <v>3220</v>
      </c>
      <c r="X1" s="3054">
        <v>1.1667000000000001</v>
      </c>
      <c r="Y1" s="3054">
        <v>1.25</v>
      </c>
      <c r="Z1" s="3054">
        <v>0.9325</v>
      </c>
      <c r="AA1" s="3054">
        <v>0.80110000000000003</v>
      </c>
      <c r="AB1" s="3057" t="s">
        <v>3221</v>
      </c>
      <c r="AC1" s="3057" t="s">
        <v>3218</v>
      </c>
      <c r="AD1" s="3057" t="s">
        <v>3219</v>
      </c>
      <c r="AE1" s="3054" t="s">
        <v>3222</v>
      </c>
    </row>
    <row r="2" spans="1:33" hidden="1">
      <c r="A2" s="3054" t="s">
        <v>3223</v>
      </c>
      <c r="B2" s="3054" t="s">
        <v>3224</v>
      </c>
      <c r="C2" s="3054" t="s">
        <v>3113</v>
      </c>
      <c r="D2" s="3054" t="s">
        <v>3225</v>
      </c>
      <c r="E2" s="3054" t="s">
        <v>3114</v>
      </c>
      <c r="F2" s="3054" t="s">
        <v>3226</v>
      </c>
      <c r="G2" s="3054" t="s">
        <v>3227</v>
      </c>
      <c r="H2" s="3054">
        <v>42541.4</v>
      </c>
      <c r="I2" s="3054">
        <v>108921</v>
      </c>
      <c r="J2" s="3054" t="s">
        <v>3228</v>
      </c>
      <c r="K2" s="3054" t="s">
        <v>3229</v>
      </c>
      <c r="L2" s="3054" t="s">
        <v>3230</v>
      </c>
      <c r="M2" s="3054">
        <v>307000</v>
      </c>
      <c r="N2" s="3054">
        <v>28185.43</v>
      </c>
      <c r="O2" s="3054">
        <v>5.14</v>
      </c>
      <c r="P2" s="3054" t="s">
        <v>3231</v>
      </c>
      <c r="R2" s="3054"/>
      <c r="T2" s="3054"/>
      <c r="U2" s="3054"/>
      <c r="V2" s="3054"/>
    </row>
    <row r="3" spans="1:33" hidden="1">
      <c r="A3" s="3054" t="s">
        <v>3232</v>
      </c>
      <c r="B3" s="3054" t="s">
        <v>3233</v>
      </c>
      <c r="C3" s="3054" t="s">
        <v>3113</v>
      </c>
      <c r="D3" s="3054" t="s">
        <v>3234</v>
      </c>
      <c r="E3" s="3054" t="s">
        <v>3114</v>
      </c>
      <c r="F3" s="3054" t="s">
        <v>3235</v>
      </c>
      <c r="G3" s="3054" t="s">
        <v>3236</v>
      </c>
      <c r="H3" s="3054">
        <v>54735.8</v>
      </c>
      <c r="I3" s="3054">
        <v>153260</v>
      </c>
      <c r="J3" s="3054" t="s">
        <v>3237</v>
      </c>
      <c r="K3" s="3054" t="s">
        <v>3229</v>
      </c>
      <c r="L3" s="3054" t="s">
        <v>3238</v>
      </c>
      <c r="M3" s="3054">
        <v>428150</v>
      </c>
      <c r="N3" s="3054">
        <v>27936.13</v>
      </c>
      <c r="O3" s="3054">
        <v>0.5</v>
      </c>
      <c r="P3" s="3054" t="s">
        <v>3231</v>
      </c>
      <c r="R3" s="3054"/>
      <c r="T3" s="3054"/>
      <c r="U3" s="3054"/>
      <c r="V3" s="3054"/>
    </row>
    <row r="4" spans="1:33" hidden="1">
      <c r="A4" s="3054" t="s">
        <v>3239</v>
      </c>
      <c r="B4" s="3054" t="s">
        <v>3240</v>
      </c>
      <c r="C4" s="3054" t="s">
        <v>3241</v>
      </c>
      <c r="D4" s="3054" t="s">
        <v>3242</v>
      </c>
      <c r="E4" s="3054" t="s">
        <v>3114</v>
      </c>
      <c r="F4" s="3054" t="s">
        <v>3243</v>
      </c>
      <c r="G4" s="3054" t="s">
        <v>3244</v>
      </c>
      <c r="H4" s="3054">
        <v>28003.32</v>
      </c>
      <c r="I4" s="3054">
        <v>70008</v>
      </c>
      <c r="J4" s="3054" t="s">
        <v>3245</v>
      </c>
      <c r="K4" s="3054" t="s">
        <v>3246</v>
      </c>
      <c r="L4" s="3054" t="s">
        <v>3247</v>
      </c>
      <c r="M4" s="3054">
        <v>97800</v>
      </c>
      <c r="N4" s="3054">
        <v>13969.82</v>
      </c>
      <c r="O4" s="3054">
        <v>1.03</v>
      </c>
      <c r="P4" s="3054" t="s">
        <v>3248</v>
      </c>
      <c r="R4" s="3054"/>
      <c r="T4" s="3054"/>
      <c r="U4" s="3054"/>
      <c r="V4" s="3054"/>
    </row>
    <row r="5" spans="1:33" hidden="1">
      <c r="A5" s="3054" t="s">
        <v>3249</v>
      </c>
      <c r="B5" s="3054" t="s">
        <v>3224</v>
      </c>
      <c r="C5" s="3054" t="s">
        <v>3113</v>
      </c>
      <c r="D5" s="3054" t="s">
        <v>3250</v>
      </c>
      <c r="E5" s="3054" t="s">
        <v>3114</v>
      </c>
      <c r="F5" s="3054" t="s">
        <v>3251</v>
      </c>
      <c r="G5" s="3054" t="s">
        <v>3227</v>
      </c>
      <c r="H5" s="3054">
        <v>58822.99</v>
      </c>
      <c r="I5" s="3054">
        <v>97871</v>
      </c>
      <c r="J5" s="3054" t="s">
        <v>3252</v>
      </c>
      <c r="K5" s="3054" t="s">
        <v>3253</v>
      </c>
      <c r="L5" s="3054" t="s">
        <v>3254</v>
      </c>
      <c r="M5" s="3054">
        <v>203000</v>
      </c>
      <c r="N5" s="3054">
        <v>20741.59</v>
      </c>
      <c r="O5" s="3054">
        <v>12.15</v>
      </c>
      <c r="P5" s="3054" t="s">
        <v>3231</v>
      </c>
      <c r="R5" s="3054"/>
      <c r="T5" s="3054"/>
      <c r="U5" s="3054"/>
      <c r="V5" s="3054"/>
    </row>
    <row r="6" spans="1:33" hidden="1">
      <c r="A6" s="3054" t="s">
        <v>3255</v>
      </c>
      <c r="B6" s="3054" t="s">
        <v>3224</v>
      </c>
      <c r="C6" s="3054" t="s">
        <v>3241</v>
      </c>
      <c r="D6" s="3054" t="s">
        <v>3256</v>
      </c>
      <c r="E6" s="3054" t="s">
        <v>3114</v>
      </c>
      <c r="F6" s="3054" t="s">
        <v>3257</v>
      </c>
      <c r="G6" s="3054" t="s">
        <v>3227</v>
      </c>
      <c r="H6" s="3054">
        <v>73240.63</v>
      </c>
      <c r="I6" s="3054">
        <v>153989</v>
      </c>
      <c r="J6" s="3054" t="s">
        <v>3258</v>
      </c>
      <c r="K6" s="3054" t="s">
        <v>3253</v>
      </c>
      <c r="L6" s="3054" t="s">
        <v>3259</v>
      </c>
      <c r="M6" s="3054">
        <v>332000</v>
      </c>
      <c r="N6" s="3054">
        <v>21559.97</v>
      </c>
      <c r="O6" s="3054">
        <v>0</v>
      </c>
      <c r="P6" s="3054" t="s">
        <v>3231</v>
      </c>
      <c r="R6" s="3054"/>
      <c r="T6" s="3054"/>
      <c r="U6" s="3054"/>
      <c r="V6" s="3054"/>
    </row>
    <row r="7" spans="1:33" hidden="1">
      <c r="A7" s="3054" t="s">
        <v>3260</v>
      </c>
      <c r="B7" s="3054" t="s">
        <v>3224</v>
      </c>
      <c r="C7" s="3054" t="s">
        <v>3113</v>
      </c>
      <c r="D7" s="3054" t="s">
        <v>3261</v>
      </c>
      <c r="E7" s="3054" t="s">
        <v>3114</v>
      </c>
      <c r="F7" s="3054" t="s">
        <v>3262</v>
      </c>
      <c r="G7" s="3054" t="s">
        <v>3263</v>
      </c>
      <c r="H7" s="3054">
        <v>56722.42</v>
      </c>
      <c r="I7" s="3054">
        <v>124449</v>
      </c>
      <c r="J7" s="3054" t="s">
        <v>3264</v>
      </c>
      <c r="K7" s="3054" t="s">
        <v>3253</v>
      </c>
      <c r="L7" s="3054" t="s">
        <v>3265</v>
      </c>
      <c r="M7" s="3054">
        <v>443000</v>
      </c>
      <c r="N7" s="3054">
        <v>35596.910000000003</v>
      </c>
      <c r="O7" s="3054">
        <v>34.24</v>
      </c>
      <c r="P7" s="3054" t="s">
        <v>3231</v>
      </c>
      <c r="R7" s="3054"/>
      <c r="T7" s="3054"/>
      <c r="U7" s="3054"/>
      <c r="V7" s="3054"/>
    </row>
    <row r="8" spans="1:33" s="3058" customFormat="1">
      <c r="A8" s="3058" t="s">
        <v>3266</v>
      </c>
      <c r="B8" s="3058" t="s">
        <v>3112</v>
      </c>
      <c r="C8" s="3058" t="s">
        <v>3113</v>
      </c>
      <c r="D8" s="3058" t="s">
        <v>3267</v>
      </c>
      <c r="E8" s="3058" t="s">
        <v>3114</v>
      </c>
      <c r="F8" s="3054" t="s">
        <v>3268</v>
      </c>
      <c r="G8" s="3058" t="s">
        <v>3112</v>
      </c>
      <c r="H8" s="3058">
        <v>17789.3</v>
      </c>
      <c r="I8" s="3058">
        <v>26683</v>
      </c>
      <c r="J8" s="3058">
        <v>1.5</v>
      </c>
      <c r="K8" s="3059" t="s">
        <v>3269</v>
      </c>
      <c r="L8" s="3059" t="s">
        <v>3270</v>
      </c>
      <c r="M8" s="3058">
        <v>1566</v>
      </c>
      <c r="N8" s="3058">
        <v>587</v>
      </c>
      <c r="O8" s="3059">
        <v>0</v>
      </c>
      <c r="P8" s="3058" t="s">
        <v>3121</v>
      </c>
      <c r="Q8" s="3058">
        <f>M8/(H8/666.67)</f>
        <v>58.687256946591489</v>
      </c>
      <c r="R8" s="3060">
        <f>N8*[3]年期修正系数!$G$9</f>
        <v>891.65299999999991</v>
      </c>
      <c r="S8" s="3059">
        <f>I8/H8</f>
        <v>1.4999465971117469</v>
      </c>
      <c r="T8" s="3060">
        <f>R8*$V$1</f>
        <v>1337.4794999999999</v>
      </c>
      <c r="U8" s="3060">
        <f>T8*J8</f>
        <v>2006.2192499999999</v>
      </c>
      <c r="V8" s="3060">
        <f>T8*666.67/10000</f>
        <v>89.165745826499986</v>
      </c>
      <c r="X8" s="3060">
        <f>U8/$X$250</f>
        <v>1180.1289705882352</v>
      </c>
      <c r="Y8" s="3060" t="e">
        <f>U8/$Y$250</f>
        <v>#DIV/0!</v>
      </c>
      <c r="Z8" s="3060">
        <f>U8/$Z$250</f>
        <v>1003.1096249999999</v>
      </c>
      <c r="AB8" s="3060">
        <f>M8*10000/H8</f>
        <v>880.304452676609</v>
      </c>
      <c r="AC8" s="3060">
        <f>AB8*[3]年期修正系数!$G$9</f>
        <v>1337.1824636157689</v>
      </c>
      <c r="AD8" s="3060">
        <f>AC8*$V$1</f>
        <v>2005.7736954236534</v>
      </c>
      <c r="AE8" s="3058">
        <f>AD8/$X$250</f>
        <v>1179.8668796609727</v>
      </c>
      <c r="AF8" s="3058" t="e">
        <f>AD8/$Y$250</f>
        <v>#DIV/0!</v>
      </c>
      <c r="AG8" s="3058">
        <f>AD8/$Z$250</f>
        <v>1002.8868477118267</v>
      </c>
    </row>
    <row r="9" spans="1:33" hidden="1">
      <c r="A9" s="3054" t="s">
        <v>3271</v>
      </c>
      <c r="B9" s="3054" t="s">
        <v>3224</v>
      </c>
      <c r="C9" s="3054" t="s">
        <v>3113</v>
      </c>
      <c r="D9" s="3054" t="s">
        <v>3272</v>
      </c>
      <c r="E9" s="3054" t="s">
        <v>3114</v>
      </c>
      <c r="F9" s="3054" t="s">
        <v>3273</v>
      </c>
      <c r="G9" s="3054" t="s">
        <v>3227</v>
      </c>
      <c r="H9" s="3054">
        <v>88404.4</v>
      </c>
      <c r="I9" s="3054">
        <v>173209</v>
      </c>
      <c r="J9" s="3054" t="s">
        <v>3274</v>
      </c>
      <c r="K9" s="3054" t="s">
        <v>3275</v>
      </c>
      <c r="L9" s="3054" t="s">
        <v>3276</v>
      </c>
      <c r="M9" s="3054">
        <v>330000</v>
      </c>
      <c r="N9" s="3054">
        <v>19052.13</v>
      </c>
      <c r="O9" s="3054">
        <v>0</v>
      </c>
      <c r="P9" s="3054" t="s">
        <v>3231</v>
      </c>
      <c r="R9" s="3054"/>
      <c r="T9" s="3054"/>
      <c r="U9" s="3054"/>
      <c r="V9" s="3054"/>
    </row>
    <row r="10" spans="1:33" hidden="1">
      <c r="A10" s="3054" t="s">
        <v>3277</v>
      </c>
      <c r="B10" s="3054" t="s">
        <v>3233</v>
      </c>
      <c r="C10" s="3054" t="s">
        <v>3113</v>
      </c>
      <c r="D10" s="3054" t="s">
        <v>3278</v>
      </c>
      <c r="E10" s="3054" t="s">
        <v>3114</v>
      </c>
      <c r="F10" s="3054" t="s">
        <v>3279</v>
      </c>
      <c r="G10" s="3054" t="s">
        <v>3236</v>
      </c>
      <c r="H10" s="3054">
        <v>45889.5</v>
      </c>
      <c r="I10" s="3054">
        <v>100957</v>
      </c>
      <c r="J10" s="3054" t="s">
        <v>3280</v>
      </c>
      <c r="K10" s="3054" t="s">
        <v>3275</v>
      </c>
      <c r="L10" s="3054" t="s">
        <v>3281</v>
      </c>
      <c r="M10" s="3054">
        <v>327000</v>
      </c>
      <c r="N10" s="3054">
        <v>32390.02</v>
      </c>
      <c r="O10" s="3054">
        <v>25.77</v>
      </c>
      <c r="P10" s="3054" t="s">
        <v>3231</v>
      </c>
      <c r="R10" s="3054"/>
      <c r="T10" s="3054"/>
      <c r="U10" s="3054"/>
      <c r="V10" s="3054"/>
    </row>
    <row r="11" spans="1:33" hidden="1">
      <c r="A11" s="3054" t="s">
        <v>3282</v>
      </c>
      <c r="B11" s="3054" t="s">
        <v>3224</v>
      </c>
      <c r="C11" s="3054" t="s">
        <v>3283</v>
      </c>
      <c r="D11" s="3054" t="s">
        <v>3284</v>
      </c>
      <c r="E11" s="3054" t="s">
        <v>3114</v>
      </c>
      <c r="F11" s="3054" t="s">
        <v>3285</v>
      </c>
      <c r="G11" s="3054" t="s">
        <v>3286</v>
      </c>
      <c r="H11" s="3054">
        <v>21023.4</v>
      </c>
      <c r="I11" s="3054">
        <v>63070</v>
      </c>
      <c r="J11" s="3054" t="s">
        <v>3287</v>
      </c>
      <c r="K11" s="3054" t="s">
        <v>3275</v>
      </c>
      <c r="L11" s="3054" t="s">
        <v>3288</v>
      </c>
      <c r="M11" s="3054">
        <v>282000</v>
      </c>
      <c r="N11" s="3054">
        <v>44712.22</v>
      </c>
      <c r="O11" s="3054">
        <v>5.66</v>
      </c>
      <c r="P11" s="3054" t="s">
        <v>3231</v>
      </c>
      <c r="R11" s="3054"/>
      <c r="T11" s="3054"/>
      <c r="U11" s="3054"/>
      <c r="V11" s="3054"/>
    </row>
    <row r="12" spans="1:33" hidden="1">
      <c r="A12" s="3054" t="s">
        <v>3289</v>
      </c>
      <c r="B12" s="3054" t="s">
        <v>3233</v>
      </c>
      <c r="C12" s="3054" t="s">
        <v>3290</v>
      </c>
      <c r="D12" s="3054" t="s">
        <v>3291</v>
      </c>
      <c r="E12" s="3054" t="s">
        <v>3292</v>
      </c>
      <c r="F12" s="3054" t="s">
        <v>3293</v>
      </c>
      <c r="G12" s="3054" t="s">
        <v>3236</v>
      </c>
      <c r="H12" s="3054">
        <v>37817.29</v>
      </c>
      <c r="I12" s="3054">
        <v>83198</v>
      </c>
      <c r="J12" s="3054" t="s">
        <v>3280</v>
      </c>
      <c r="K12" s="3054" t="s">
        <v>3294</v>
      </c>
      <c r="L12" s="3054" t="s">
        <v>3295</v>
      </c>
      <c r="M12" s="3054">
        <v>85861</v>
      </c>
      <c r="N12" s="3054">
        <v>10320.1</v>
      </c>
      <c r="O12" s="3054">
        <v>0</v>
      </c>
      <c r="P12" s="3054" t="s">
        <v>3231</v>
      </c>
      <c r="R12" s="3054"/>
      <c r="T12" s="3054"/>
      <c r="U12" s="3054"/>
      <c r="V12" s="3054"/>
    </row>
    <row r="13" spans="1:33" hidden="1">
      <c r="A13" s="3054" t="s">
        <v>3296</v>
      </c>
      <c r="B13" s="3054" t="s">
        <v>3224</v>
      </c>
      <c r="C13" s="3054" t="s">
        <v>3113</v>
      </c>
      <c r="D13" s="3054" t="s">
        <v>3278</v>
      </c>
      <c r="E13" s="3054" t="s">
        <v>3114</v>
      </c>
      <c r="F13" s="3054" t="s">
        <v>3297</v>
      </c>
      <c r="G13" s="3054" t="s">
        <v>3298</v>
      </c>
      <c r="H13" s="3054">
        <v>47891.78</v>
      </c>
      <c r="I13" s="3054">
        <v>108059</v>
      </c>
      <c r="J13" s="3054" t="s">
        <v>3299</v>
      </c>
      <c r="K13" s="3054" t="s">
        <v>3300</v>
      </c>
      <c r="L13" s="3054" t="s">
        <v>3301</v>
      </c>
      <c r="M13" s="3054">
        <v>151283</v>
      </c>
      <c r="N13" s="3054">
        <v>14000.04</v>
      </c>
      <c r="O13" s="3054">
        <v>0</v>
      </c>
      <c r="P13" s="3054" t="s">
        <v>3231</v>
      </c>
      <c r="R13" s="3054"/>
      <c r="T13" s="3054"/>
      <c r="U13" s="3054"/>
      <c r="V13" s="3054"/>
    </row>
    <row r="14" spans="1:33" hidden="1">
      <c r="A14" s="3054" t="s">
        <v>3302</v>
      </c>
      <c r="B14" s="3054" t="s">
        <v>3224</v>
      </c>
      <c r="C14" s="3054" t="s">
        <v>3303</v>
      </c>
      <c r="D14" s="3054" t="s">
        <v>3304</v>
      </c>
      <c r="E14" s="3054" t="s">
        <v>3114</v>
      </c>
      <c r="F14" s="3054" t="s">
        <v>3305</v>
      </c>
      <c r="G14" s="3054" t="s">
        <v>3286</v>
      </c>
      <c r="H14" s="3054">
        <v>31917.24</v>
      </c>
      <c r="I14" s="3054">
        <v>47876</v>
      </c>
      <c r="J14" s="3054" t="s">
        <v>3306</v>
      </c>
      <c r="K14" s="3054" t="s">
        <v>3300</v>
      </c>
      <c r="L14" s="3054" t="s">
        <v>3307</v>
      </c>
      <c r="M14" s="3054">
        <v>242500</v>
      </c>
      <c r="N14" s="3054">
        <v>50651.68</v>
      </c>
      <c r="O14" s="3054">
        <v>1.51</v>
      </c>
      <c r="P14" s="3054" t="s">
        <v>3308</v>
      </c>
      <c r="R14" s="3054"/>
      <c r="T14" s="3054"/>
      <c r="U14" s="3054"/>
      <c r="V14" s="3054"/>
    </row>
    <row r="15" spans="1:33" hidden="1">
      <c r="A15" s="3054" t="s">
        <v>3309</v>
      </c>
      <c r="B15" s="3054" t="s">
        <v>3240</v>
      </c>
      <c r="C15" s="3054" t="s">
        <v>3113</v>
      </c>
      <c r="D15" s="3054" t="s">
        <v>3310</v>
      </c>
      <c r="E15" s="3054" t="s">
        <v>3114</v>
      </c>
      <c r="F15" s="3054" t="s">
        <v>3311</v>
      </c>
      <c r="G15" s="3054" t="s">
        <v>3312</v>
      </c>
      <c r="H15" s="3054">
        <v>42276.47</v>
      </c>
      <c r="I15" s="3054">
        <v>84552</v>
      </c>
      <c r="J15" s="3054" t="s">
        <v>3313</v>
      </c>
      <c r="K15" s="3054" t="s">
        <v>3314</v>
      </c>
      <c r="L15" s="3054" t="s">
        <v>3315</v>
      </c>
      <c r="M15" s="3054">
        <v>96500</v>
      </c>
      <c r="N15" s="3054">
        <v>11412.96</v>
      </c>
      <c r="O15" s="3054">
        <v>1.58</v>
      </c>
      <c r="P15" s="3054" t="s">
        <v>3316</v>
      </c>
      <c r="R15" s="3054"/>
      <c r="T15" s="3054"/>
      <c r="U15" s="3054"/>
      <c r="V15" s="3054"/>
    </row>
    <row r="16" spans="1:33" hidden="1">
      <c r="A16" s="3054" t="s">
        <v>3317</v>
      </c>
      <c r="B16" s="3054" t="s">
        <v>3224</v>
      </c>
      <c r="C16" s="3054" t="s">
        <v>3303</v>
      </c>
      <c r="D16" s="3054" t="s">
        <v>3318</v>
      </c>
      <c r="E16" s="3054" t="s">
        <v>3114</v>
      </c>
      <c r="F16" s="3054" t="s">
        <v>3319</v>
      </c>
      <c r="G16" s="3054" t="s">
        <v>3320</v>
      </c>
      <c r="H16" s="3054">
        <v>31314.23</v>
      </c>
      <c r="I16" s="3054">
        <v>85543</v>
      </c>
      <c r="J16" s="3054" t="s">
        <v>3321</v>
      </c>
      <c r="K16" s="3054" t="s">
        <v>3314</v>
      </c>
      <c r="L16" s="3054" t="s">
        <v>3322</v>
      </c>
      <c r="M16" s="3054">
        <v>189700</v>
      </c>
      <c r="N16" s="3054">
        <v>22175.97</v>
      </c>
      <c r="O16" s="3054">
        <v>0</v>
      </c>
      <c r="P16" s="3054" t="s">
        <v>3231</v>
      </c>
      <c r="R16" s="3054"/>
      <c r="T16" s="3054"/>
      <c r="U16" s="3054"/>
      <c r="V16" s="3054"/>
    </row>
    <row r="17" spans="1:33" hidden="1">
      <c r="A17" s="3054" t="s">
        <v>3323</v>
      </c>
      <c r="B17" s="3054" t="s">
        <v>3224</v>
      </c>
      <c r="C17" s="3054" t="s">
        <v>3324</v>
      </c>
      <c r="D17" s="3054" t="s">
        <v>3325</v>
      </c>
      <c r="E17" s="3054" t="s">
        <v>3114</v>
      </c>
      <c r="F17" s="3054" t="s">
        <v>3326</v>
      </c>
      <c r="G17" s="3054" t="s">
        <v>3227</v>
      </c>
      <c r="H17" s="3054">
        <v>146640.21</v>
      </c>
      <c r="I17" s="3054">
        <v>288410</v>
      </c>
      <c r="J17" s="3054" t="s">
        <v>3274</v>
      </c>
      <c r="K17" s="3054" t="s">
        <v>3314</v>
      </c>
      <c r="L17" s="3054" t="s">
        <v>3327</v>
      </c>
      <c r="M17" s="3054">
        <v>430000</v>
      </c>
      <c r="N17" s="3054">
        <v>14909.32</v>
      </c>
      <c r="O17" s="3054">
        <v>0</v>
      </c>
      <c r="P17" s="3054" t="s">
        <v>3231</v>
      </c>
      <c r="R17" s="3054"/>
      <c r="T17" s="3054"/>
      <c r="U17" s="3054"/>
      <c r="V17" s="3054"/>
    </row>
    <row r="18" spans="1:33" hidden="1">
      <c r="A18" s="3054" t="s">
        <v>3328</v>
      </c>
      <c r="B18" s="3054" t="s">
        <v>3112</v>
      </c>
      <c r="C18" s="3054" t="s">
        <v>3329</v>
      </c>
      <c r="D18" s="3054" t="s">
        <v>3330</v>
      </c>
      <c r="E18" s="3054" t="s">
        <v>3114</v>
      </c>
      <c r="F18" s="3054" t="s">
        <v>3331</v>
      </c>
      <c r="G18" s="3054" t="s">
        <v>3332</v>
      </c>
      <c r="H18" s="3054">
        <v>65233.04</v>
      </c>
      <c r="I18" s="3054">
        <v>96104</v>
      </c>
      <c r="J18" s="3054">
        <v>1.6</v>
      </c>
      <c r="K18" s="3054" t="s">
        <v>3333</v>
      </c>
      <c r="L18" s="3054" t="s">
        <v>3334</v>
      </c>
      <c r="M18" s="3054">
        <v>12877</v>
      </c>
      <c r="N18" s="3054">
        <v>1340</v>
      </c>
      <c r="O18" s="3054">
        <v>0</v>
      </c>
      <c r="P18" s="3054" t="s">
        <v>3121</v>
      </c>
      <c r="R18" s="3054">
        <f>N18*[3]年期修正系数!$G$9</f>
        <v>2035.4599999999998</v>
      </c>
      <c r="S18" s="3054">
        <f>I18/H18</f>
        <v>1.4732411673593626</v>
      </c>
      <c r="T18" s="3054">
        <f>R18*S18</f>
        <v>2998.7234665132878</v>
      </c>
      <c r="U18" s="3054"/>
      <c r="V18" s="3054"/>
    </row>
    <row r="19" spans="1:33" hidden="1">
      <c r="A19" s="3054" t="s">
        <v>3335</v>
      </c>
      <c r="B19" s="3054" t="s">
        <v>3112</v>
      </c>
      <c r="C19" s="3054" t="s">
        <v>3324</v>
      </c>
      <c r="D19" s="3054" t="s">
        <v>3336</v>
      </c>
      <c r="E19" s="3054" t="s">
        <v>3114</v>
      </c>
      <c r="F19" s="3054" t="s">
        <v>3337</v>
      </c>
      <c r="G19" s="3054" t="s">
        <v>3338</v>
      </c>
      <c r="H19" s="3054">
        <v>16697.47</v>
      </c>
      <c r="I19" s="3054">
        <v>30055</v>
      </c>
      <c r="J19" s="3054">
        <v>1.8</v>
      </c>
      <c r="K19" s="3054" t="s">
        <v>3339</v>
      </c>
      <c r="L19" s="3054" t="s">
        <v>3340</v>
      </c>
      <c r="M19" s="3054">
        <v>4977</v>
      </c>
      <c r="N19" s="3054">
        <v>1656</v>
      </c>
      <c r="O19" s="3054">
        <v>0</v>
      </c>
      <c r="P19" s="3054">
        <v>20</v>
      </c>
      <c r="R19" s="3054">
        <f>N19*[3]年期修正系数!$G$9</f>
        <v>2515.4639999999999</v>
      </c>
      <c r="S19" s="3054">
        <f>I19/H19</f>
        <v>1.7999732893665925</v>
      </c>
      <c r="T19" s="3054">
        <f>R19*S19</f>
        <v>4527.7680103632465</v>
      </c>
      <c r="U19" s="3054"/>
      <c r="V19" s="3054"/>
    </row>
    <row r="20" spans="1:33" hidden="1">
      <c r="A20" s="3054" t="s">
        <v>3341</v>
      </c>
      <c r="B20" s="3054" t="s">
        <v>3224</v>
      </c>
      <c r="C20" s="3054" t="s">
        <v>3283</v>
      </c>
      <c r="D20" s="3054" t="s">
        <v>3342</v>
      </c>
      <c r="E20" s="3054" t="s">
        <v>3114</v>
      </c>
      <c r="F20" s="3054" t="s">
        <v>3343</v>
      </c>
      <c r="G20" s="3054" t="s">
        <v>3344</v>
      </c>
      <c r="H20" s="3054">
        <v>59111.519999999997</v>
      </c>
      <c r="I20" s="3054">
        <v>216452</v>
      </c>
      <c r="J20" s="3054" t="s">
        <v>3345</v>
      </c>
      <c r="K20" s="3054" t="s">
        <v>3346</v>
      </c>
      <c r="L20" s="3054" t="s">
        <v>3281</v>
      </c>
      <c r="M20" s="3054">
        <v>794000</v>
      </c>
      <c r="N20" s="3054">
        <v>36682.5</v>
      </c>
      <c r="O20" s="3054">
        <v>18.79</v>
      </c>
      <c r="P20" s="3054" t="s">
        <v>3231</v>
      </c>
      <c r="R20" s="3054">
        <f>N20*[3]年期修正系数!$G$9</f>
        <v>55720.717499999999</v>
      </c>
      <c r="T20" s="3054"/>
      <c r="U20" s="3054"/>
      <c r="V20" s="3054"/>
    </row>
    <row r="21" spans="1:33" s="3058" customFormat="1">
      <c r="A21" s="3058" t="s">
        <v>3347</v>
      </c>
      <c r="B21" s="3058" t="s">
        <v>3112</v>
      </c>
      <c r="C21" s="3058" t="s">
        <v>3113</v>
      </c>
      <c r="D21" s="3058" t="s">
        <v>3348</v>
      </c>
      <c r="E21" s="3058" t="s">
        <v>3114</v>
      </c>
      <c r="F21" s="3054" t="s">
        <v>3349</v>
      </c>
      <c r="G21" s="3058" t="s">
        <v>3112</v>
      </c>
      <c r="H21" s="3058">
        <v>16585.7</v>
      </c>
      <c r="I21" s="3058">
        <v>24878</v>
      </c>
      <c r="J21" s="3058">
        <v>1.5</v>
      </c>
      <c r="K21" s="3059" t="s">
        <v>3350</v>
      </c>
      <c r="L21" s="3059" t="s">
        <v>3351</v>
      </c>
      <c r="M21" s="3058">
        <v>1460</v>
      </c>
      <c r="N21" s="3058">
        <v>587</v>
      </c>
      <c r="O21" s="3059">
        <v>0</v>
      </c>
      <c r="P21" s="3058" t="s">
        <v>3121</v>
      </c>
      <c r="Q21" s="3058">
        <f>M21/(H21/666.67)</f>
        <v>58.685385603260634</v>
      </c>
      <c r="R21" s="3060">
        <f>N21*[3]年期修正系数!$G$9</f>
        <v>891.65299999999991</v>
      </c>
      <c r="S21" s="3059">
        <f>I21/H21</f>
        <v>1.4999668389033927</v>
      </c>
      <c r="T21" s="3060">
        <f t="shared" ref="T21:T67" si="0">R21*$V$1</f>
        <v>1337.4794999999999</v>
      </c>
      <c r="U21" s="3060">
        <f>T21*J21</f>
        <v>2006.2192499999999</v>
      </c>
      <c r="V21" s="3060">
        <f>T21*666.67/10000</f>
        <v>89.165745826499986</v>
      </c>
      <c r="X21" s="3060">
        <f>U21/$X$250</f>
        <v>1180.1289705882352</v>
      </c>
      <c r="Y21" s="3060" t="e">
        <f>U21/$Y$250</f>
        <v>#DIV/0!</v>
      </c>
      <c r="Z21" s="3060">
        <f>U21/$Z$250</f>
        <v>1003.1096249999999</v>
      </c>
      <c r="AB21" s="3060">
        <f t="shared" ref="AB21:AB84" si="1">M21*10000/H21</f>
        <v>880.27638266699626</v>
      </c>
      <c r="AC21" s="3060">
        <f>AB21*[3]年期修正系数!$G$9</f>
        <v>1337.1398252711672</v>
      </c>
      <c r="AD21" s="3060">
        <f t="shared" ref="AD21:AD67" si="2">AC21*$V$1</f>
        <v>2005.7097379067509</v>
      </c>
      <c r="AE21" s="3058">
        <f t="shared" ref="AE21:AE52" si="3">AD21/$X$250</f>
        <v>1179.8292575922064</v>
      </c>
      <c r="AF21" s="3058" t="e">
        <f t="shared" ref="AF21:AF52" si="4">AD21/$Y$250</f>
        <v>#DIV/0!</v>
      </c>
      <c r="AG21" s="3058">
        <f t="shared" ref="AG21:AG52" si="5">AD21/$Z$250</f>
        <v>1002.8548689533754</v>
      </c>
    </row>
    <row r="22" spans="1:33" hidden="1">
      <c r="A22" s="3054" t="s">
        <v>3352</v>
      </c>
      <c r="B22" s="3054" t="s">
        <v>3240</v>
      </c>
      <c r="C22" s="3054" t="s">
        <v>3353</v>
      </c>
      <c r="D22" s="3054" t="s">
        <v>3354</v>
      </c>
      <c r="E22" s="3054" t="s">
        <v>3114</v>
      </c>
      <c r="F22" s="3054" t="s">
        <v>3355</v>
      </c>
      <c r="G22" s="3054" t="s">
        <v>3312</v>
      </c>
      <c r="H22" s="3054">
        <v>22035.93</v>
      </c>
      <c r="I22" s="3054">
        <v>61700</v>
      </c>
      <c r="J22" s="3054" t="s">
        <v>3237</v>
      </c>
      <c r="K22" s="3054" t="s">
        <v>3356</v>
      </c>
      <c r="L22" s="3054" t="s">
        <v>3357</v>
      </c>
      <c r="M22" s="3054">
        <v>103700</v>
      </c>
      <c r="N22" s="3054">
        <v>16806.97</v>
      </c>
      <c r="O22" s="3054">
        <v>0</v>
      </c>
      <c r="P22" s="3054" t="s">
        <v>3358</v>
      </c>
      <c r="R22" s="3054">
        <f>N22*[3]年期修正系数!$G$9</f>
        <v>25529.78743</v>
      </c>
      <c r="T22" s="3054">
        <f>R22*$V$1</f>
        <v>38294.681145000002</v>
      </c>
      <c r="U22" s="3054"/>
      <c r="V22" s="3054"/>
      <c r="AB22" s="3054">
        <f t="shared" si="1"/>
        <v>47059.506905313276</v>
      </c>
      <c r="AC22" s="3054">
        <f>AB22*[3]年期修正系数!$G$9</f>
        <v>71483.390989170861</v>
      </c>
      <c r="AD22" s="3054">
        <f>AC22*$V$1</f>
        <v>107225.08648375628</v>
      </c>
      <c r="AE22" s="3054">
        <f t="shared" si="3"/>
        <v>63073.580284562522</v>
      </c>
      <c r="AF22" s="3054" t="e">
        <f t="shared" si="4"/>
        <v>#DIV/0!</v>
      </c>
      <c r="AG22" s="3054">
        <f t="shared" si="5"/>
        <v>53612.543241878142</v>
      </c>
    </row>
    <row r="23" spans="1:33">
      <c r="A23" s="3054" t="s">
        <v>3359</v>
      </c>
      <c r="B23" s="3054" t="s">
        <v>3112</v>
      </c>
      <c r="C23" s="3054" t="s">
        <v>3113</v>
      </c>
      <c r="D23" s="3054" t="s">
        <v>3360</v>
      </c>
      <c r="E23" s="3054" t="s">
        <v>3114</v>
      </c>
      <c r="F23" s="3054" t="s">
        <v>3361</v>
      </c>
      <c r="G23" s="3054" t="s">
        <v>3362</v>
      </c>
      <c r="H23" s="3054">
        <v>33687.910000000003</v>
      </c>
      <c r="I23" s="3054">
        <v>50532</v>
      </c>
      <c r="J23" s="3054">
        <v>1.5</v>
      </c>
      <c r="K23" s="3054" t="s">
        <v>3363</v>
      </c>
      <c r="L23" s="3054" t="s">
        <v>3364</v>
      </c>
      <c r="M23" s="3054">
        <v>6324</v>
      </c>
      <c r="N23" s="3054">
        <v>1251.5</v>
      </c>
      <c r="O23" s="3054">
        <v>0</v>
      </c>
      <c r="P23" s="3054" t="s">
        <v>3128</v>
      </c>
      <c r="Q23" s="3054">
        <f>M23/(H23/666.67)</f>
        <v>125.14938089065184</v>
      </c>
      <c r="T23" s="3056">
        <f t="shared" si="0"/>
        <v>0</v>
      </c>
      <c r="X23" s="3056"/>
      <c r="Y23" s="3056"/>
      <c r="Z23" s="3056"/>
      <c r="AB23" s="3056">
        <f t="shared" si="1"/>
        <v>1877.2313272031417</v>
      </c>
      <c r="AC23" s="3056">
        <f>AB23*[3]年期修正系数!$G$9</f>
        <v>2851.5143860215721</v>
      </c>
      <c r="AD23" s="3056">
        <f t="shared" si="2"/>
        <v>4277.2715790323582</v>
      </c>
      <c r="AE23" s="3054">
        <f t="shared" si="3"/>
        <v>2516.0421053131518</v>
      </c>
      <c r="AF23" s="3054" t="e">
        <f t="shared" si="4"/>
        <v>#DIV/0!</v>
      </c>
      <c r="AG23" s="3054">
        <f t="shared" si="5"/>
        <v>2138.6357895161791</v>
      </c>
    </row>
    <row r="24" spans="1:33" hidden="1">
      <c r="A24" s="3054" t="s">
        <v>3365</v>
      </c>
      <c r="B24" s="3054" t="s">
        <v>3224</v>
      </c>
      <c r="C24" s="3054" t="s">
        <v>3366</v>
      </c>
      <c r="D24" s="3054" t="s">
        <v>3367</v>
      </c>
      <c r="E24" s="3054" t="s">
        <v>3114</v>
      </c>
      <c r="F24" s="3054" t="s">
        <v>3368</v>
      </c>
      <c r="G24" s="3054" t="s">
        <v>3369</v>
      </c>
      <c r="H24" s="3054">
        <v>64377.39</v>
      </c>
      <c r="I24" s="3054">
        <v>214138</v>
      </c>
      <c r="J24" s="3054" t="s">
        <v>3370</v>
      </c>
      <c r="K24" s="3054" t="s">
        <v>3371</v>
      </c>
      <c r="L24" s="3054" t="s">
        <v>3372</v>
      </c>
      <c r="M24" s="3054">
        <v>734000</v>
      </c>
      <c r="N24" s="3054">
        <v>34276.949999999997</v>
      </c>
      <c r="O24" s="3054">
        <v>11.63</v>
      </c>
      <c r="P24" s="3054" t="s">
        <v>3231</v>
      </c>
      <c r="R24" s="3054">
        <f>N24*[3]年期修正系数!$G$9</f>
        <v>52066.687049999993</v>
      </c>
      <c r="T24" s="3054">
        <f t="shared" ref="T24:T34" si="6">R24*$V$1</f>
        <v>78100.030574999982</v>
      </c>
      <c r="U24" s="3054"/>
      <c r="V24" s="3054"/>
      <c r="AB24" s="3054">
        <f t="shared" si="1"/>
        <v>114015.18452363477</v>
      </c>
      <c r="AC24" s="3054">
        <f>AB24*[3]年期修正系数!$G$9</f>
        <v>173189.0652914012</v>
      </c>
      <c r="AD24" s="3054">
        <f t="shared" ref="AD24:AD34" si="7">AC24*$V$1</f>
        <v>259783.59793710179</v>
      </c>
      <c r="AE24" s="3054">
        <f t="shared" si="3"/>
        <v>152813.88113947163</v>
      </c>
      <c r="AF24" s="3054" t="e">
        <f t="shared" si="4"/>
        <v>#DIV/0!</v>
      </c>
      <c r="AG24" s="3054">
        <f t="shared" si="5"/>
        <v>129891.79896855089</v>
      </c>
    </row>
    <row r="25" spans="1:33" hidden="1">
      <c r="A25" s="3054" t="s">
        <v>3373</v>
      </c>
      <c r="B25" s="3054" t="s">
        <v>3233</v>
      </c>
      <c r="C25" s="3054" t="s">
        <v>3324</v>
      </c>
      <c r="D25" s="3054" t="s">
        <v>3374</v>
      </c>
      <c r="E25" s="3054" t="s">
        <v>3114</v>
      </c>
      <c r="F25" s="3054" t="s">
        <v>3375</v>
      </c>
      <c r="G25" s="3054" t="s">
        <v>3236</v>
      </c>
      <c r="H25" s="3054">
        <v>96884.68</v>
      </c>
      <c r="I25" s="3054">
        <v>145327</v>
      </c>
      <c r="J25" s="3054" t="s">
        <v>3306</v>
      </c>
      <c r="K25" s="3054" t="s">
        <v>3371</v>
      </c>
      <c r="L25" s="3054" t="s">
        <v>3376</v>
      </c>
      <c r="M25" s="3054">
        <v>410000</v>
      </c>
      <c r="N25" s="3054">
        <v>28212.240000000002</v>
      </c>
      <c r="O25" s="3054">
        <v>20.59</v>
      </c>
      <c r="P25" s="3054" t="s">
        <v>3231</v>
      </c>
      <c r="R25" s="3054">
        <f>N25*[3]年期修正系数!$G$9</f>
        <v>42854.39256</v>
      </c>
      <c r="T25" s="3054">
        <f t="shared" si="6"/>
        <v>64281.588839999997</v>
      </c>
      <c r="U25" s="3054"/>
      <c r="V25" s="3054"/>
      <c r="AB25" s="3054">
        <f t="shared" si="1"/>
        <v>42318.352086212188</v>
      </c>
      <c r="AC25" s="3054">
        <f>AB25*[3]年期修正系数!$G$9</f>
        <v>64281.57681895631</v>
      </c>
      <c r="AD25" s="3054">
        <f t="shared" si="7"/>
        <v>96422.365228434472</v>
      </c>
      <c r="AE25" s="3054">
        <f t="shared" si="3"/>
        <v>56719.038369667338</v>
      </c>
      <c r="AF25" s="3054" t="e">
        <f t="shared" si="4"/>
        <v>#DIV/0!</v>
      </c>
      <c r="AG25" s="3054">
        <f t="shared" si="5"/>
        <v>48211.182614217236</v>
      </c>
    </row>
    <row r="26" spans="1:33" hidden="1">
      <c r="A26" s="3054" t="s">
        <v>3377</v>
      </c>
      <c r="B26" s="3054" t="s">
        <v>3233</v>
      </c>
      <c r="C26" s="3054" t="s">
        <v>3378</v>
      </c>
      <c r="D26" s="3054" t="s">
        <v>3379</v>
      </c>
      <c r="E26" s="3054" t="s">
        <v>3114</v>
      </c>
      <c r="F26" s="3054" t="s">
        <v>3380</v>
      </c>
      <c r="G26" s="3054" t="s">
        <v>3236</v>
      </c>
      <c r="H26" s="3054">
        <v>58643.15</v>
      </c>
      <c r="I26" s="3054">
        <v>59230</v>
      </c>
      <c r="J26" s="3054" t="s">
        <v>3381</v>
      </c>
      <c r="K26" s="3054" t="s">
        <v>3371</v>
      </c>
      <c r="L26" s="3054" t="s">
        <v>3382</v>
      </c>
      <c r="M26" s="3054">
        <v>59300</v>
      </c>
      <c r="N26" s="3054">
        <v>10011.81</v>
      </c>
      <c r="O26" s="3054">
        <v>0</v>
      </c>
      <c r="P26" s="3054" t="s">
        <v>3231</v>
      </c>
      <c r="R26" s="3054">
        <f>N26*[3]年期修正系数!$G$9</f>
        <v>15207.939389999998</v>
      </c>
      <c r="T26" s="3054">
        <f t="shared" si="6"/>
        <v>22811.909084999996</v>
      </c>
      <c r="U26" s="3054"/>
      <c r="V26" s="3054"/>
      <c r="AB26" s="3054">
        <f t="shared" si="1"/>
        <v>10112.007966829886</v>
      </c>
      <c r="AC26" s="3054">
        <f>AB26*[3]年期修正系数!$G$9</f>
        <v>15360.140101614596</v>
      </c>
      <c r="AD26" s="3054">
        <f t="shared" si="7"/>
        <v>23040.210152421892</v>
      </c>
      <c r="AE26" s="3054">
        <f t="shared" si="3"/>
        <v>13553.06479554229</v>
      </c>
      <c r="AF26" s="3054" t="e">
        <f t="shared" si="4"/>
        <v>#DIV/0!</v>
      </c>
      <c r="AG26" s="3054">
        <f t="shared" si="5"/>
        <v>11520.105076210946</v>
      </c>
    </row>
    <row r="27" spans="1:33" hidden="1">
      <c r="A27" s="3054" t="s">
        <v>3383</v>
      </c>
      <c r="B27" s="3054" t="s">
        <v>3233</v>
      </c>
      <c r="C27" s="3054" t="s">
        <v>3113</v>
      </c>
      <c r="D27" s="3054" t="s">
        <v>3384</v>
      </c>
      <c r="E27" s="3054" t="s">
        <v>3114</v>
      </c>
      <c r="F27" s="3054" t="s">
        <v>3385</v>
      </c>
      <c r="G27" s="3054" t="s">
        <v>3236</v>
      </c>
      <c r="H27" s="3054">
        <v>36478.1</v>
      </c>
      <c r="I27" s="3054">
        <v>80251</v>
      </c>
      <c r="J27" s="3054" t="s">
        <v>3280</v>
      </c>
      <c r="K27" s="3054" t="s">
        <v>3386</v>
      </c>
      <c r="L27" s="3054" t="s">
        <v>3387</v>
      </c>
      <c r="M27" s="3054">
        <v>318000</v>
      </c>
      <c r="N27" s="3054">
        <v>39625.26</v>
      </c>
      <c r="O27" s="3054">
        <v>41.33</v>
      </c>
      <c r="P27" s="3054" t="s">
        <v>3231</v>
      </c>
      <c r="R27" s="3054">
        <f>N27*[3]年期修正系数!$G$9</f>
        <v>60190.769939999998</v>
      </c>
      <c r="T27" s="3054">
        <f t="shared" si="6"/>
        <v>90286.154909999997</v>
      </c>
      <c r="U27" s="3054"/>
      <c r="V27" s="3054"/>
      <c r="AB27" s="3054">
        <f t="shared" si="1"/>
        <v>87175.593027049108</v>
      </c>
      <c r="AC27" s="3054">
        <f>AB27*[3]年期修正系数!$G$9</f>
        <v>132419.72580808759</v>
      </c>
      <c r="AD27" s="3054">
        <f t="shared" si="7"/>
        <v>198629.58871213137</v>
      </c>
      <c r="AE27" s="3054">
        <f t="shared" si="3"/>
        <v>116840.93453654787</v>
      </c>
      <c r="AF27" s="3054" t="e">
        <f t="shared" si="4"/>
        <v>#DIV/0!</v>
      </c>
      <c r="AG27" s="3054">
        <f t="shared" si="5"/>
        <v>99314.794356065686</v>
      </c>
    </row>
    <row r="28" spans="1:33" hidden="1">
      <c r="A28" s="3054" t="s">
        <v>3388</v>
      </c>
      <c r="B28" s="3054" t="s">
        <v>3224</v>
      </c>
      <c r="C28" s="3054" t="s">
        <v>3290</v>
      </c>
      <c r="D28" s="3054" t="s">
        <v>3389</v>
      </c>
      <c r="E28" s="3054" t="s">
        <v>3114</v>
      </c>
      <c r="F28" s="3054" t="s">
        <v>3390</v>
      </c>
      <c r="G28" s="3054" t="s">
        <v>3391</v>
      </c>
      <c r="H28" s="3054">
        <v>81565.039999999994</v>
      </c>
      <c r="I28" s="3054">
        <v>166468</v>
      </c>
      <c r="J28" s="3054" t="s">
        <v>3392</v>
      </c>
      <c r="K28" s="3054" t="s">
        <v>3386</v>
      </c>
      <c r="L28" s="3054" t="s">
        <v>3393</v>
      </c>
      <c r="M28" s="3054">
        <v>363600</v>
      </c>
      <c r="N28" s="3054">
        <v>21842.04</v>
      </c>
      <c r="O28" s="3054">
        <v>0</v>
      </c>
      <c r="P28" s="3054" t="s">
        <v>3231</v>
      </c>
      <c r="R28" s="3054">
        <f>N28*[3]年期修正系数!$G$9</f>
        <v>33178.05876</v>
      </c>
      <c r="T28" s="3054">
        <f t="shared" si="6"/>
        <v>49767.08814</v>
      </c>
      <c r="U28" s="3054"/>
      <c r="V28" s="3054"/>
      <c r="AB28" s="3054">
        <f t="shared" si="1"/>
        <v>44577.922109766638</v>
      </c>
      <c r="AC28" s="3054">
        <f>AB28*[3]年期修正系数!$G$9</f>
        <v>67713.863684735523</v>
      </c>
      <c r="AD28" s="3054">
        <f t="shared" si="7"/>
        <v>101570.79552710328</v>
      </c>
      <c r="AE28" s="3054">
        <f t="shared" si="3"/>
        <v>59747.526780648994</v>
      </c>
      <c r="AF28" s="3054" t="e">
        <f t="shared" si="4"/>
        <v>#DIV/0!</v>
      </c>
      <c r="AG28" s="3054">
        <f t="shared" si="5"/>
        <v>50785.397763551642</v>
      </c>
    </row>
    <row r="29" spans="1:33" hidden="1">
      <c r="A29" s="3054" t="s">
        <v>3394</v>
      </c>
      <c r="B29" s="3054" t="s">
        <v>3233</v>
      </c>
      <c r="C29" s="3054" t="s">
        <v>3113</v>
      </c>
      <c r="D29" s="3054" t="s">
        <v>3395</v>
      </c>
      <c r="E29" s="3054" t="s">
        <v>3114</v>
      </c>
      <c r="F29" s="3054" t="s">
        <v>3396</v>
      </c>
      <c r="G29" s="3054" t="s">
        <v>3236</v>
      </c>
      <c r="H29" s="3054">
        <v>35704</v>
      </c>
      <c r="I29" s="3054">
        <v>78548</v>
      </c>
      <c r="J29" s="3054" t="s">
        <v>3280</v>
      </c>
      <c r="K29" s="3054" t="s">
        <v>3386</v>
      </c>
      <c r="L29" s="3054" t="s">
        <v>3397</v>
      </c>
      <c r="M29" s="3054">
        <v>306000</v>
      </c>
      <c r="N29" s="3054">
        <v>38956.660000000003</v>
      </c>
      <c r="O29" s="3054">
        <v>39.090000000000003</v>
      </c>
      <c r="P29" s="3054" t="s">
        <v>3231</v>
      </c>
      <c r="R29" s="3054">
        <f>N29*[3]年期修正系数!$G$9</f>
        <v>59175.166539999998</v>
      </c>
      <c r="T29" s="3054">
        <f t="shared" si="6"/>
        <v>88762.749809999994</v>
      </c>
      <c r="U29" s="3054"/>
      <c r="V29" s="3054"/>
      <c r="AB29" s="3054">
        <f t="shared" si="1"/>
        <v>85704.682948689224</v>
      </c>
      <c r="AC29" s="3054">
        <f>AB29*[3]年期修正系数!$G$9</f>
        <v>130185.41339905892</v>
      </c>
      <c r="AD29" s="3054">
        <f t="shared" si="7"/>
        <v>195278.12009858838</v>
      </c>
      <c r="AE29" s="3054">
        <f t="shared" si="3"/>
        <v>114869.48241093435</v>
      </c>
      <c r="AF29" s="3054" t="e">
        <f t="shared" si="4"/>
        <v>#DIV/0!</v>
      </c>
      <c r="AG29" s="3054">
        <f t="shared" si="5"/>
        <v>97639.060049294189</v>
      </c>
    </row>
    <row r="30" spans="1:33" hidden="1">
      <c r="A30" s="3054" t="s">
        <v>3398</v>
      </c>
      <c r="B30" s="3054" t="s">
        <v>3240</v>
      </c>
      <c r="C30" s="3054" t="s">
        <v>3353</v>
      </c>
      <c r="D30" s="3054" t="s">
        <v>3399</v>
      </c>
      <c r="E30" s="3054" t="s">
        <v>3114</v>
      </c>
      <c r="F30" s="3054" t="s">
        <v>3400</v>
      </c>
      <c r="G30" s="3054" t="s">
        <v>3401</v>
      </c>
      <c r="H30" s="3054">
        <v>32158.94</v>
      </c>
      <c r="I30" s="3054">
        <v>96476</v>
      </c>
      <c r="J30" s="3054" t="s">
        <v>3287</v>
      </c>
      <c r="K30" s="3054" t="s">
        <v>3402</v>
      </c>
      <c r="L30" s="3054" t="s">
        <v>3403</v>
      </c>
      <c r="M30" s="3054">
        <v>263800</v>
      </c>
      <c r="N30" s="3054">
        <v>27343.360000000001</v>
      </c>
      <c r="O30" s="3054">
        <v>0</v>
      </c>
      <c r="P30" s="3054" t="s">
        <v>3358</v>
      </c>
      <c r="R30" s="3054">
        <f>N30*[3]年期修正系数!$G$9</f>
        <v>41534.563839999995</v>
      </c>
      <c r="T30" s="3054">
        <f t="shared" si="6"/>
        <v>62301.845759999997</v>
      </c>
      <c r="U30" s="3054"/>
      <c r="V30" s="3054"/>
      <c r="AB30" s="3054">
        <f t="shared" si="1"/>
        <v>82030.066911409391</v>
      </c>
      <c r="AC30" s="3054">
        <f>AB30*[3]年期修正系数!$G$9</f>
        <v>124603.67163843085</v>
      </c>
      <c r="AD30" s="3054">
        <f t="shared" si="7"/>
        <v>186905.50745764628</v>
      </c>
      <c r="AE30" s="3054">
        <f t="shared" si="3"/>
        <v>109944.41615155664</v>
      </c>
      <c r="AF30" s="3054" t="e">
        <f t="shared" si="4"/>
        <v>#DIV/0!</v>
      </c>
      <c r="AG30" s="3054">
        <f t="shared" si="5"/>
        <v>93452.75372882314</v>
      </c>
    </row>
    <row r="31" spans="1:33" hidden="1">
      <c r="A31" s="3054" t="s">
        <v>3404</v>
      </c>
      <c r="B31" s="3054" t="s">
        <v>3224</v>
      </c>
      <c r="C31" s="3054" t="s">
        <v>3353</v>
      </c>
      <c r="D31" s="3054" t="s">
        <v>3405</v>
      </c>
      <c r="E31" s="3054" t="s">
        <v>3114</v>
      </c>
      <c r="F31" s="3054" t="s">
        <v>3406</v>
      </c>
      <c r="G31" s="3054" t="s">
        <v>3320</v>
      </c>
      <c r="H31" s="3054">
        <v>34507.51</v>
      </c>
      <c r="I31" s="3054">
        <v>94282</v>
      </c>
      <c r="J31" s="3054" t="s">
        <v>3407</v>
      </c>
      <c r="K31" s="3054" t="s">
        <v>3402</v>
      </c>
      <c r="L31" s="3054" t="s">
        <v>3403</v>
      </c>
      <c r="M31" s="3054">
        <v>256450</v>
      </c>
      <c r="N31" s="3054">
        <v>27200.15</v>
      </c>
      <c r="O31" s="3054">
        <v>0</v>
      </c>
      <c r="P31" s="3054" t="s">
        <v>3231</v>
      </c>
      <c r="R31" s="3054">
        <f>N31*[3]年期修正系数!$G$9</f>
        <v>41317.027849999999</v>
      </c>
      <c r="T31" s="3054">
        <f t="shared" si="6"/>
        <v>61975.541774999998</v>
      </c>
      <c r="U31" s="3054"/>
      <c r="V31" s="3054"/>
      <c r="AB31" s="3054">
        <f t="shared" si="1"/>
        <v>74317.155888674664</v>
      </c>
      <c r="AC31" s="3054">
        <f>AB31*[3]年期修正系数!$G$9</f>
        <v>112887.7597948968</v>
      </c>
      <c r="AD31" s="3054">
        <f t="shared" si="7"/>
        <v>169331.6396923452</v>
      </c>
      <c r="AE31" s="3054">
        <f t="shared" si="3"/>
        <v>99606.846877850112</v>
      </c>
      <c r="AF31" s="3054" t="e">
        <f t="shared" si="4"/>
        <v>#DIV/0!</v>
      </c>
      <c r="AG31" s="3054">
        <f t="shared" si="5"/>
        <v>84665.819846172599</v>
      </c>
    </row>
    <row r="32" spans="1:33" hidden="1">
      <c r="A32" s="3054" t="s">
        <v>3408</v>
      </c>
      <c r="B32" s="3054" t="s">
        <v>3240</v>
      </c>
      <c r="C32" s="3054" t="s">
        <v>3113</v>
      </c>
      <c r="D32" s="3054" t="s">
        <v>3409</v>
      </c>
      <c r="E32" s="3054" t="s">
        <v>3114</v>
      </c>
      <c r="F32" s="3054" t="s">
        <v>3410</v>
      </c>
      <c r="G32" s="3054" t="s">
        <v>3244</v>
      </c>
      <c r="H32" s="3054">
        <v>51736.9</v>
      </c>
      <c r="I32" s="3054">
        <v>81600</v>
      </c>
      <c r="J32" s="3054" t="s">
        <v>3411</v>
      </c>
      <c r="K32" s="3054" t="s">
        <v>3402</v>
      </c>
      <c r="L32" s="3054" t="s">
        <v>3412</v>
      </c>
      <c r="M32" s="3054">
        <v>150000</v>
      </c>
      <c r="N32" s="3054">
        <v>18382.34</v>
      </c>
      <c r="O32" s="3054">
        <v>0</v>
      </c>
      <c r="P32" s="3054" t="s">
        <v>3358</v>
      </c>
      <c r="R32" s="3054">
        <f>N32*[3]年期修正系数!$G$9</f>
        <v>27922.774459999997</v>
      </c>
      <c r="T32" s="3054">
        <f t="shared" si="6"/>
        <v>41884.161689999994</v>
      </c>
      <c r="U32" s="3054"/>
      <c r="V32" s="3054"/>
      <c r="AB32" s="3054">
        <f t="shared" si="1"/>
        <v>28992.846498340641</v>
      </c>
      <c r="AC32" s="3054">
        <f>AB32*[3]年期修正系数!$G$9</f>
        <v>44040.13383097943</v>
      </c>
      <c r="AD32" s="3054">
        <f t="shared" si="7"/>
        <v>66060.200746469141</v>
      </c>
      <c r="AE32" s="3054">
        <f t="shared" si="3"/>
        <v>38858.941615570082</v>
      </c>
      <c r="AF32" s="3054" t="e">
        <f t="shared" si="4"/>
        <v>#DIV/0!</v>
      </c>
      <c r="AG32" s="3054">
        <f t="shared" si="5"/>
        <v>33030.100373234571</v>
      </c>
    </row>
    <row r="33" spans="1:33" hidden="1">
      <c r="A33" s="3054" t="s">
        <v>3413</v>
      </c>
      <c r="B33" s="3054" t="s">
        <v>3233</v>
      </c>
      <c r="C33" s="3054" t="s">
        <v>3303</v>
      </c>
      <c r="D33" s="3054" t="s">
        <v>3304</v>
      </c>
      <c r="E33" s="3054" t="s">
        <v>3114</v>
      </c>
      <c r="F33" s="3054" t="s">
        <v>3414</v>
      </c>
      <c r="G33" s="3054" t="s">
        <v>3236</v>
      </c>
      <c r="H33" s="3054">
        <v>39479.050000000003</v>
      </c>
      <c r="I33" s="3054">
        <v>43427</v>
      </c>
      <c r="J33" s="3054" t="s">
        <v>3415</v>
      </c>
      <c r="K33" s="3054" t="s">
        <v>3402</v>
      </c>
      <c r="L33" s="3054" t="s">
        <v>3416</v>
      </c>
      <c r="M33" s="3054">
        <v>302000</v>
      </c>
      <c r="N33" s="3054">
        <v>69541.990000000005</v>
      </c>
      <c r="O33" s="3054">
        <v>23.32</v>
      </c>
      <c r="P33" s="3054" t="s">
        <v>3231</v>
      </c>
      <c r="R33" s="3054">
        <f>N33*[3]年期修正系数!$G$9</f>
        <v>105634.28281</v>
      </c>
      <c r="T33" s="3054">
        <f t="shared" si="6"/>
        <v>158451.42421500001</v>
      </c>
      <c r="U33" s="3054"/>
      <c r="V33" s="3054"/>
      <c r="AB33" s="3054">
        <f t="shared" si="1"/>
        <v>76496.268273932626</v>
      </c>
      <c r="AC33" s="3054">
        <f>AB33*[3]年期修正系数!$G$9</f>
        <v>116197.83150810366</v>
      </c>
      <c r="AD33" s="3054">
        <f t="shared" si="7"/>
        <v>174296.74726215549</v>
      </c>
      <c r="AE33" s="3054">
        <f t="shared" si="3"/>
        <v>102527.49838950323</v>
      </c>
      <c r="AF33" s="3054" t="e">
        <f t="shared" si="4"/>
        <v>#DIV/0!</v>
      </c>
      <c r="AG33" s="3054">
        <f t="shared" si="5"/>
        <v>87148.373631077746</v>
      </c>
    </row>
    <row r="34" spans="1:33" hidden="1">
      <c r="A34" s="3054" t="s">
        <v>3417</v>
      </c>
      <c r="B34" s="3054" t="s">
        <v>3112</v>
      </c>
      <c r="C34" s="3054" t="s">
        <v>3324</v>
      </c>
      <c r="D34" s="3054" t="s">
        <v>3418</v>
      </c>
      <c r="E34" s="3054" t="s">
        <v>3114</v>
      </c>
      <c r="F34" s="3054" t="s">
        <v>3419</v>
      </c>
      <c r="G34" s="3054" t="s">
        <v>3338</v>
      </c>
      <c r="H34" s="3054">
        <v>46618.33</v>
      </c>
      <c r="I34" s="3054">
        <v>93237</v>
      </c>
      <c r="J34" s="3054">
        <v>2</v>
      </c>
      <c r="K34" s="3054" t="s">
        <v>3420</v>
      </c>
      <c r="L34" s="3054" t="s">
        <v>3421</v>
      </c>
      <c r="M34" s="3054">
        <v>16204</v>
      </c>
      <c r="N34" s="3054">
        <v>1738</v>
      </c>
      <c r="O34" s="3054">
        <v>0</v>
      </c>
      <c r="P34" s="3054">
        <v>20</v>
      </c>
      <c r="R34" s="3054">
        <f>N34*[3]年期修正系数!$G$9</f>
        <v>2640.0219999999999</v>
      </c>
      <c r="S34" s="3054">
        <f>I34/H34</f>
        <v>2.0000072932685491</v>
      </c>
      <c r="T34" s="3054">
        <f t="shared" si="6"/>
        <v>3960.0329999999999</v>
      </c>
      <c r="U34" s="3054"/>
      <c r="V34" s="3054"/>
      <c r="AB34" s="3054">
        <f t="shared" si="1"/>
        <v>3475.8859873358824</v>
      </c>
      <c r="AC34" s="3054">
        <f>AB34*[3]年期修正系数!$G$9</f>
        <v>5279.8708147632051</v>
      </c>
      <c r="AD34" s="3054">
        <f t="shared" si="7"/>
        <v>7919.8062221448072</v>
      </c>
      <c r="AE34" s="3054">
        <f t="shared" si="3"/>
        <v>4658.7095424381223</v>
      </c>
      <c r="AF34" s="3054" t="e">
        <f t="shared" si="4"/>
        <v>#DIV/0!</v>
      </c>
      <c r="AG34" s="3054">
        <f t="shared" si="5"/>
        <v>3959.9031110724036</v>
      </c>
    </row>
    <row r="35" spans="1:33">
      <c r="A35" s="3054" t="s">
        <v>3422</v>
      </c>
      <c r="B35" s="3054" t="s">
        <v>3112</v>
      </c>
      <c r="C35" s="3054" t="s">
        <v>3113</v>
      </c>
      <c r="D35" s="3054" t="s">
        <v>3423</v>
      </c>
      <c r="E35" s="3054" t="s">
        <v>3114</v>
      </c>
      <c r="F35" s="3054" t="s">
        <v>3424</v>
      </c>
      <c r="G35" s="3054" t="s">
        <v>6</v>
      </c>
      <c r="H35" s="3054">
        <v>26114.2</v>
      </c>
      <c r="I35" s="3054">
        <v>39171</v>
      </c>
      <c r="J35" s="3054">
        <v>1.5</v>
      </c>
      <c r="K35" s="3054" t="s">
        <v>3420</v>
      </c>
      <c r="L35" s="3054" t="s">
        <v>3425</v>
      </c>
      <c r="M35" s="3054">
        <v>4230</v>
      </c>
      <c r="N35" s="3054">
        <v>1080</v>
      </c>
      <c r="O35" s="3054">
        <v>0</v>
      </c>
      <c r="P35" s="3054">
        <v>20</v>
      </c>
      <c r="Q35" s="3054">
        <f>M35/(H35/666.67)</f>
        <v>107.98776527712891</v>
      </c>
      <c r="R35" s="3056">
        <f>N35*[3]年期修正系数!$G$9</f>
        <v>1640.52</v>
      </c>
      <c r="S35" s="3054">
        <f>I35/H35</f>
        <v>1.4999885119973042</v>
      </c>
      <c r="T35" s="3056">
        <f t="shared" si="0"/>
        <v>2460.7799999999997</v>
      </c>
      <c r="V35" s="3056">
        <f>T35*666.67/10000</f>
        <v>164.05282025999998</v>
      </c>
      <c r="X35" s="3056"/>
      <c r="Y35" s="3056"/>
      <c r="Z35" s="3056"/>
      <c r="AB35" s="3056">
        <f t="shared" si="1"/>
        <v>1619.8083801150331</v>
      </c>
      <c r="AC35" s="3056">
        <f>AB35*[3]年期修正系数!$G$9</f>
        <v>2460.4889293947349</v>
      </c>
      <c r="AD35" s="3056">
        <f t="shared" si="2"/>
        <v>3690.7333940921026</v>
      </c>
      <c r="AE35" s="3054">
        <f t="shared" si="3"/>
        <v>2171.0196435835896</v>
      </c>
      <c r="AF35" s="3054" t="e">
        <f t="shared" si="4"/>
        <v>#DIV/0!</v>
      </c>
      <c r="AG35" s="3054">
        <f t="shared" si="5"/>
        <v>1845.3666970460513</v>
      </c>
    </row>
    <row r="36" spans="1:33" hidden="1">
      <c r="A36" s="3054" t="s">
        <v>3426</v>
      </c>
      <c r="B36" s="3054" t="s">
        <v>3112</v>
      </c>
      <c r="C36" s="3054" t="s">
        <v>3324</v>
      </c>
      <c r="D36" s="3054" t="s">
        <v>3336</v>
      </c>
      <c r="E36" s="3054" t="s">
        <v>3114</v>
      </c>
      <c r="F36" s="3054" t="s">
        <v>3427</v>
      </c>
      <c r="G36" s="3054" t="s">
        <v>3338</v>
      </c>
      <c r="H36" s="3054">
        <v>8700</v>
      </c>
      <c r="I36" s="3054">
        <v>15660</v>
      </c>
      <c r="J36" s="3054">
        <v>1.8</v>
      </c>
      <c r="K36" s="3054" t="s">
        <v>3420</v>
      </c>
      <c r="L36" s="3054" t="s">
        <v>3428</v>
      </c>
      <c r="M36" s="3054">
        <v>2593</v>
      </c>
      <c r="N36" s="3054">
        <v>1656</v>
      </c>
      <c r="O36" s="3054">
        <v>0</v>
      </c>
      <c r="P36" s="3054">
        <v>20</v>
      </c>
      <c r="R36" s="3054">
        <f>N36*[3]年期修正系数!$G$9</f>
        <v>2515.4639999999999</v>
      </c>
      <c r="S36" s="3054">
        <f>I36/H36</f>
        <v>1.8</v>
      </c>
      <c r="T36" s="3054">
        <f>R36*$V$1</f>
        <v>3773.1959999999999</v>
      </c>
      <c r="U36" s="3054"/>
      <c r="V36" s="3054"/>
      <c r="AB36" s="3054">
        <f t="shared" si="1"/>
        <v>2980.4597701149423</v>
      </c>
      <c r="AC36" s="3054">
        <f>AB36*[3]年期修正系数!$G$9</f>
        <v>4527.3183908045967</v>
      </c>
      <c r="AD36" s="3054">
        <f>AC36*$V$1</f>
        <v>6790.9775862068946</v>
      </c>
      <c r="AE36" s="3054">
        <f t="shared" si="3"/>
        <v>3994.6926977687617</v>
      </c>
      <c r="AF36" s="3054" t="e">
        <f t="shared" si="4"/>
        <v>#DIV/0!</v>
      </c>
      <c r="AG36" s="3054">
        <f t="shared" si="5"/>
        <v>3395.4887931034473</v>
      </c>
    </row>
    <row r="37" spans="1:33" s="3058" customFormat="1" ht="15" customHeight="1">
      <c r="A37" s="3058" t="s">
        <v>3429</v>
      </c>
      <c r="B37" s="3058" t="s">
        <v>3112</v>
      </c>
      <c r="C37" s="3058" t="s">
        <v>3113</v>
      </c>
      <c r="D37" s="3058" t="s">
        <v>3430</v>
      </c>
      <c r="E37" s="3058" t="s">
        <v>3114</v>
      </c>
      <c r="F37" s="3054" t="s">
        <v>3431</v>
      </c>
      <c r="G37" s="3058" t="s">
        <v>3112</v>
      </c>
      <c r="H37" s="3058">
        <v>6828.9</v>
      </c>
      <c r="I37" s="3058">
        <v>10243</v>
      </c>
      <c r="J37" s="3058">
        <v>1.5</v>
      </c>
      <c r="K37" s="3059" t="s">
        <v>3432</v>
      </c>
      <c r="L37" s="3059" t="s">
        <v>3433</v>
      </c>
      <c r="M37" s="3058">
        <v>743</v>
      </c>
      <c r="N37" s="3058">
        <v>726</v>
      </c>
      <c r="O37" s="3059">
        <v>0</v>
      </c>
      <c r="P37" s="3058" t="s">
        <v>3121</v>
      </c>
      <c r="Q37" s="3058">
        <f>M37/(H37/666.67)</f>
        <v>72.535226756871538</v>
      </c>
      <c r="R37" s="3060">
        <f>N37*[3]年期修正系数!$G$9</f>
        <v>1102.7939999999999</v>
      </c>
      <c r="S37" s="3059">
        <f>I37/H37</f>
        <v>1.4999487472360118</v>
      </c>
      <c r="T37" s="3060">
        <f t="shared" si="0"/>
        <v>1654.1909999999998</v>
      </c>
      <c r="U37" s="3060">
        <f>T37*J37</f>
        <v>2481.2864999999997</v>
      </c>
      <c r="V37" s="3060">
        <f>T37*666.67/10000</f>
        <v>110.27995139699998</v>
      </c>
      <c r="X37" s="3060">
        <f>U37/$X$250</f>
        <v>1459.5802941176469</v>
      </c>
      <c r="Y37" s="3060" t="e">
        <f>U37/$Y$250</f>
        <v>#DIV/0!</v>
      </c>
      <c r="Z37" s="3060">
        <f>U37/$Z$250</f>
        <v>1240.6432499999999</v>
      </c>
      <c r="AB37" s="3060">
        <f t="shared" si="1"/>
        <v>1088.0229612382668</v>
      </c>
      <c r="AC37" s="3060">
        <f>AB37*[3]年期修正系数!$G$9</f>
        <v>1652.7068781209273</v>
      </c>
      <c r="AD37" s="3060">
        <f t="shared" si="2"/>
        <v>2479.0603171813909</v>
      </c>
      <c r="AE37" s="3058">
        <f t="shared" si="3"/>
        <v>1458.2707748125829</v>
      </c>
      <c r="AF37" s="3058" t="e">
        <f t="shared" si="4"/>
        <v>#DIV/0!</v>
      </c>
      <c r="AG37" s="3058">
        <f t="shared" si="5"/>
        <v>1239.5301585906955</v>
      </c>
    </row>
    <row r="38" spans="1:33" hidden="1">
      <c r="A38" s="3054" t="s">
        <v>3434</v>
      </c>
      <c r="B38" s="3054" t="s">
        <v>3224</v>
      </c>
      <c r="C38" s="3054" t="s">
        <v>3435</v>
      </c>
      <c r="D38" s="3054" t="s">
        <v>3436</v>
      </c>
      <c r="E38" s="3054" t="s">
        <v>3114</v>
      </c>
      <c r="F38" s="3054" t="s">
        <v>3437</v>
      </c>
      <c r="G38" s="3054" t="s">
        <v>3438</v>
      </c>
      <c r="H38" s="3054">
        <v>26109.25</v>
      </c>
      <c r="I38" s="3054">
        <v>57268</v>
      </c>
      <c r="J38" s="3054" t="s">
        <v>3439</v>
      </c>
      <c r="K38" s="3054" t="s">
        <v>3440</v>
      </c>
      <c r="L38" s="3054" t="s">
        <v>3441</v>
      </c>
      <c r="M38" s="3054">
        <v>102000</v>
      </c>
      <c r="N38" s="3054">
        <v>17810.990000000002</v>
      </c>
      <c r="O38" s="3054">
        <v>20.14</v>
      </c>
      <c r="P38" s="3054" t="s">
        <v>3442</v>
      </c>
      <c r="R38" s="3054">
        <f>N38*[3]年期修正系数!$G$9</f>
        <v>27054.893810000001</v>
      </c>
      <c r="T38" s="3054">
        <f>R38*$V$1</f>
        <v>40582.340714999998</v>
      </c>
      <c r="U38" s="3054"/>
      <c r="V38" s="3054"/>
      <c r="AB38" s="3054">
        <f t="shared" si="1"/>
        <v>39066.614322510221</v>
      </c>
      <c r="AC38" s="3054">
        <f>AB38*[3]年期修正系数!$G$9</f>
        <v>59342.187155893022</v>
      </c>
      <c r="AD38" s="3054">
        <f>AC38*$V$1</f>
        <v>89013.280733839536</v>
      </c>
      <c r="AE38" s="3054">
        <f t="shared" si="3"/>
        <v>52360.75337284679</v>
      </c>
      <c r="AF38" s="3054" t="e">
        <f t="shared" si="4"/>
        <v>#DIV/0!</v>
      </c>
      <c r="AG38" s="3054">
        <f t="shared" si="5"/>
        <v>44506.640366919768</v>
      </c>
    </row>
    <row r="39" spans="1:33" s="3061" customFormat="1">
      <c r="A39" s="3061" t="s">
        <v>3443</v>
      </c>
      <c r="B39" s="3061" t="s">
        <v>3112</v>
      </c>
      <c r="C39" s="3061" t="s">
        <v>3113</v>
      </c>
      <c r="D39" s="3061" t="s">
        <v>3444</v>
      </c>
      <c r="E39" s="3061" t="s">
        <v>3114</v>
      </c>
      <c r="F39" s="3054" t="s">
        <v>3445</v>
      </c>
      <c r="G39" s="3061" t="s">
        <v>3112</v>
      </c>
      <c r="H39" s="3061">
        <v>47662.6</v>
      </c>
      <c r="I39" s="3061">
        <v>95325</v>
      </c>
      <c r="J39" s="3061">
        <v>2</v>
      </c>
      <c r="K39" s="3061" t="s">
        <v>3446</v>
      </c>
      <c r="L39" s="3061" t="s">
        <v>3425</v>
      </c>
      <c r="M39" s="3061">
        <v>5595</v>
      </c>
      <c r="N39" s="3061">
        <v>587</v>
      </c>
      <c r="O39" s="3061">
        <v>0</v>
      </c>
      <c r="P39" s="3061" t="s">
        <v>3121</v>
      </c>
      <c r="Q39" s="3061">
        <f>M39/(H39/666.67)</f>
        <v>78.258816136761325</v>
      </c>
      <c r="R39" s="3062">
        <f>N39*[3]年期修正系数!$G$9</f>
        <v>891.65299999999991</v>
      </c>
      <c r="S39" s="3061">
        <f>I39/H39</f>
        <v>1.9999958038378101</v>
      </c>
      <c r="T39" s="3062">
        <f t="shared" si="0"/>
        <v>1337.4794999999999</v>
      </c>
      <c r="U39" s="3062"/>
      <c r="V39" s="3062">
        <f>T39*666.67/10000</f>
        <v>89.165745826499986</v>
      </c>
      <c r="X39" s="3062"/>
      <c r="Y39" s="3062"/>
      <c r="Z39" s="3062"/>
      <c r="AB39" s="3062">
        <f t="shared" si="1"/>
        <v>1173.8763726695565</v>
      </c>
      <c r="AC39" s="3062">
        <f>AB39*[3]年期修正系数!$G$9</f>
        <v>1783.1182100850563</v>
      </c>
      <c r="AD39" s="3062">
        <f t="shared" si="2"/>
        <v>2674.6773151275843</v>
      </c>
      <c r="AE39" s="3061">
        <f t="shared" si="3"/>
        <v>1573.3395971338732</v>
      </c>
      <c r="AF39" s="3061" t="e">
        <f t="shared" si="4"/>
        <v>#DIV/0!</v>
      </c>
      <c r="AG39" s="3061">
        <f t="shared" si="5"/>
        <v>1337.3386575637921</v>
      </c>
    </row>
    <row r="40" spans="1:33" s="3061" customFormat="1">
      <c r="A40" s="3061" t="s">
        <v>3447</v>
      </c>
      <c r="B40" s="3061" t="s">
        <v>3112</v>
      </c>
      <c r="C40" s="3061" t="s">
        <v>3113</v>
      </c>
      <c r="D40" s="3061" t="s">
        <v>3448</v>
      </c>
      <c r="E40" s="3061" t="s">
        <v>3114</v>
      </c>
      <c r="F40" s="3054" t="s">
        <v>3449</v>
      </c>
      <c r="G40" s="3061" t="s">
        <v>3112</v>
      </c>
      <c r="H40" s="3061">
        <v>35138.400000000001</v>
      </c>
      <c r="I40" s="3061">
        <v>59735</v>
      </c>
      <c r="J40" s="3061">
        <v>1.7</v>
      </c>
      <c r="K40" s="3061" t="s">
        <v>3446</v>
      </c>
      <c r="L40" s="3061" t="s">
        <v>3450</v>
      </c>
      <c r="M40" s="3061">
        <v>4336</v>
      </c>
      <c r="N40" s="3061">
        <v>726</v>
      </c>
      <c r="O40" s="3061">
        <v>0</v>
      </c>
      <c r="P40" s="3061" t="s">
        <v>3121</v>
      </c>
      <c r="Q40" s="3061">
        <f>M40/(H40/666.67)</f>
        <v>82.265587505407183</v>
      </c>
      <c r="R40" s="3062">
        <f>N40*[3]年期修正系数!$G$9</f>
        <v>1102.7939999999999</v>
      </c>
      <c r="S40" s="3061">
        <f>I40/H40</f>
        <v>1.6999920315096873</v>
      </c>
      <c r="T40" s="3062">
        <f t="shared" si="0"/>
        <v>1654.1909999999998</v>
      </c>
      <c r="U40" s="3062"/>
      <c r="V40" s="3062">
        <f>T40*666.67/10000</f>
        <v>110.27995139699998</v>
      </c>
      <c r="X40" s="3062"/>
      <c r="Y40" s="3062"/>
      <c r="Z40" s="3062"/>
      <c r="AB40" s="3062">
        <f t="shared" si="1"/>
        <v>1233.9776426928943</v>
      </c>
      <c r="AC40" s="3062">
        <f>AB40*[3]年期修正系数!$G$9</f>
        <v>1874.4120392505063</v>
      </c>
      <c r="AD40" s="3062">
        <f t="shared" si="2"/>
        <v>2811.6180588757593</v>
      </c>
      <c r="AE40" s="3061">
        <f t="shared" si="3"/>
        <v>1653.8929758092702</v>
      </c>
      <c r="AF40" s="3061" t="e">
        <f t="shared" si="4"/>
        <v>#DIV/0!</v>
      </c>
      <c r="AG40" s="3061">
        <f t="shared" si="5"/>
        <v>1405.8090294378796</v>
      </c>
    </row>
    <row r="41" spans="1:33" s="3061" customFormat="1">
      <c r="A41" s="3061" t="s">
        <v>3447</v>
      </c>
      <c r="B41" s="3061" t="s">
        <v>3112</v>
      </c>
      <c r="C41" s="3061" t="s">
        <v>3113</v>
      </c>
      <c r="D41" s="3061" t="s">
        <v>3451</v>
      </c>
      <c r="E41" s="3061" t="s">
        <v>3114</v>
      </c>
      <c r="F41" s="3054" t="s">
        <v>3452</v>
      </c>
      <c r="G41" s="3061" t="s">
        <v>3112</v>
      </c>
      <c r="H41" s="3061">
        <v>47778.8</v>
      </c>
      <c r="I41" s="3061">
        <v>95557</v>
      </c>
      <c r="J41" s="3061">
        <v>2</v>
      </c>
      <c r="K41" s="3061" t="s">
        <v>3446</v>
      </c>
      <c r="L41" s="3061" t="s">
        <v>3453</v>
      </c>
      <c r="M41" s="3061">
        <v>5609</v>
      </c>
      <c r="N41" s="3061">
        <v>587</v>
      </c>
      <c r="O41" s="3061">
        <v>0</v>
      </c>
      <c r="P41" s="3061" t="s">
        <v>3121</v>
      </c>
      <c r="Q41" s="3061">
        <f>M41/(H41/666.67)</f>
        <v>78.26383312264015</v>
      </c>
      <c r="R41" s="3062">
        <f>N41*[3]年期修正系数!$G$9</f>
        <v>891.65299999999991</v>
      </c>
      <c r="S41" s="3061">
        <f>I41/H41</f>
        <v>1.999987442129145</v>
      </c>
      <c r="T41" s="3062">
        <f t="shared" si="0"/>
        <v>1337.4794999999999</v>
      </c>
      <c r="U41" s="3062"/>
      <c r="V41" s="3062">
        <f>T41*666.67/10000</f>
        <v>89.165745826499986</v>
      </c>
      <c r="X41" s="3062"/>
      <c r="Y41" s="3062"/>
      <c r="Z41" s="3062"/>
      <c r="AB41" s="3062">
        <f t="shared" si="1"/>
        <v>1173.951627081467</v>
      </c>
      <c r="AC41" s="3062">
        <f>AB41*[3]年期修正系数!$G$9</f>
        <v>1783.2325215367482</v>
      </c>
      <c r="AD41" s="3062">
        <f t="shared" si="2"/>
        <v>2674.8487823051223</v>
      </c>
      <c r="AE41" s="3061">
        <f t="shared" si="3"/>
        <v>1573.4404601794838</v>
      </c>
      <c r="AF41" s="3061" t="e">
        <f t="shared" si="4"/>
        <v>#DIV/0!</v>
      </c>
      <c r="AG41" s="3061">
        <f t="shared" si="5"/>
        <v>1337.4243911525612</v>
      </c>
    </row>
    <row r="42" spans="1:33" s="3061" customFormat="1">
      <c r="A42" s="3061" t="s">
        <v>3454</v>
      </c>
      <c r="B42" s="3061" t="s">
        <v>3112</v>
      </c>
      <c r="C42" s="3061" t="s">
        <v>3113</v>
      </c>
      <c r="D42" s="3061" t="s">
        <v>3455</v>
      </c>
      <c r="E42" s="3061" t="s">
        <v>3114</v>
      </c>
      <c r="F42" s="3054" t="s">
        <v>3456</v>
      </c>
      <c r="G42" s="3061" t="s">
        <v>3112</v>
      </c>
      <c r="H42" s="3061">
        <v>82980.600000000006</v>
      </c>
      <c r="I42" s="3061">
        <v>132769</v>
      </c>
      <c r="J42" s="3061">
        <v>1.6</v>
      </c>
      <c r="K42" s="3059" t="s">
        <v>3446</v>
      </c>
      <c r="L42" s="3059" t="s">
        <v>3457</v>
      </c>
      <c r="M42" s="3061">
        <v>7793</v>
      </c>
      <c r="N42" s="3061">
        <v>587</v>
      </c>
      <c r="O42" s="3059">
        <v>0</v>
      </c>
      <c r="P42" s="3061" t="s">
        <v>3121</v>
      </c>
      <c r="Q42" s="3061">
        <f>M42/(H42/666.67)</f>
        <v>62.60932446861073</v>
      </c>
      <c r="R42" s="3062">
        <f>N42*[3]年期修正系数!$G$9</f>
        <v>891.65299999999991</v>
      </c>
      <c r="S42" s="3059">
        <f>I42/H42</f>
        <v>1.6000004820403804</v>
      </c>
      <c r="T42" s="3062">
        <f t="shared" si="0"/>
        <v>1337.4794999999999</v>
      </c>
      <c r="U42" s="3062">
        <f>T42*J42</f>
        <v>2139.9672</v>
      </c>
      <c r="V42" s="3062">
        <f>T42*666.67/10000</f>
        <v>89.165745826499986</v>
      </c>
      <c r="X42" s="3062">
        <f>U42/$X$250</f>
        <v>1258.8042352941177</v>
      </c>
      <c r="Y42" s="3062" t="e">
        <f>U42/$Y$250</f>
        <v>#DIV/0!</v>
      </c>
      <c r="Z42" s="3062">
        <f>U42/$Z$250</f>
        <v>1069.9836</v>
      </c>
      <c r="AB42" s="3062">
        <f t="shared" si="1"/>
        <v>939.13517135330414</v>
      </c>
      <c r="AC42" s="3062">
        <f>AB42*[3]年期修正系数!$G$9</f>
        <v>1426.5463252856689</v>
      </c>
      <c r="AD42" s="3062">
        <f t="shared" si="2"/>
        <v>2139.8194879285033</v>
      </c>
      <c r="AE42" s="3061">
        <f t="shared" si="3"/>
        <v>1258.717345840296</v>
      </c>
      <c r="AF42" s="3061" t="e">
        <f t="shared" si="4"/>
        <v>#DIV/0!</v>
      </c>
      <c r="AG42" s="3061">
        <f t="shared" si="5"/>
        <v>1069.9097439642517</v>
      </c>
    </row>
    <row r="43" spans="1:33" hidden="1">
      <c r="A43" s="3054" t="s">
        <v>3458</v>
      </c>
      <c r="B43" s="3054" t="s">
        <v>3459</v>
      </c>
      <c r="C43" s="3054" t="s">
        <v>3113</v>
      </c>
      <c r="D43" s="3054" t="s">
        <v>3460</v>
      </c>
      <c r="E43" s="3054" t="s">
        <v>3114</v>
      </c>
      <c r="F43" s="3054" t="s">
        <v>3461</v>
      </c>
      <c r="G43" s="3054" t="s">
        <v>3462</v>
      </c>
      <c r="H43" s="3054">
        <v>40285.32</v>
      </c>
      <c r="I43" s="3054">
        <v>80571</v>
      </c>
      <c r="J43" s="3054" t="s">
        <v>3463</v>
      </c>
      <c r="K43" s="3054" t="s">
        <v>3464</v>
      </c>
      <c r="L43" s="3054" t="s">
        <v>3465</v>
      </c>
      <c r="M43" s="3054">
        <v>127302</v>
      </c>
      <c r="N43" s="3054">
        <v>15800</v>
      </c>
      <c r="O43" s="3054">
        <v>0</v>
      </c>
      <c r="P43" s="3054" t="s">
        <v>3466</v>
      </c>
      <c r="R43" s="3054"/>
      <c r="T43" s="3054">
        <f t="shared" ref="T43:T62" si="8">R43*$V$1</f>
        <v>0</v>
      </c>
      <c r="U43" s="3054"/>
      <c r="V43" s="3054"/>
      <c r="AB43" s="3054">
        <f t="shared" si="1"/>
        <v>31600.09651158288</v>
      </c>
      <c r="AC43" s="3054">
        <f>AB43*[3]年期修正系数!$G$9</f>
        <v>48000.546601094393</v>
      </c>
      <c r="AD43" s="3054">
        <f t="shared" ref="AD43:AD62" si="9">AC43*$V$1</f>
        <v>72000.819901641589</v>
      </c>
      <c r="AE43" s="3054">
        <f t="shared" si="3"/>
        <v>42353.423471553877</v>
      </c>
      <c r="AF43" s="3054" t="e">
        <f t="shared" si="4"/>
        <v>#DIV/0!</v>
      </c>
      <c r="AG43" s="3054">
        <f t="shared" si="5"/>
        <v>36000.409950820795</v>
      </c>
    </row>
    <row r="44" spans="1:33" hidden="1">
      <c r="A44" s="3054" t="s">
        <v>3467</v>
      </c>
      <c r="B44" s="3054" t="s">
        <v>3224</v>
      </c>
      <c r="C44" s="3054" t="s">
        <v>3378</v>
      </c>
      <c r="D44" s="3054" t="s">
        <v>3379</v>
      </c>
      <c r="E44" s="3054" t="s">
        <v>3114</v>
      </c>
      <c r="F44" s="3054" t="s">
        <v>3468</v>
      </c>
      <c r="G44" s="3054" t="s">
        <v>3469</v>
      </c>
      <c r="H44" s="3054">
        <v>133408.20000000001</v>
      </c>
      <c r="I44" s="3054">
        <v>133671</v>
      </c>
      <c r="J44" s="3054" t="s">
        <v>3470</v>
      </c>
      <c r="K44" s="3054" t="s">
        <v>3471</v>
      </c>
      <c r="L44" s="3054" t="s">
        <v>3472</v>
      </c>
      <c r="M44" s="3054">
        <v>119000</v>
      </c>
      <c r="N44" s="3054">
        <v>8902.4500000000007</v>
      </c>
      <c r="O44" s="3054">
        <v>0</v>
      </c>
      <c r="P44" s="3054" t="s">
        <v>3231</v>
      </c>
      <c r="R44" s="3054"/>
      <c r="T44" s="3054">
        <f t="shared" si="8"/>
        <v>0</v>
      </c>
      <c r="U44" s="3054"/>
      <c r="V44" s="3054"/>
      <c r="AB44" s="3054">
        <f t="shared" si="1"/>
        <v>8919.9914248149653</v>
      </c>
      <c r="AC44" s="3054">
        <f>AB44*[3]年期修正系数!$G$9</f>
        <v>13549.466974293931</v>
      </c>
      <c r="AD44" s="3054">
        <f t="shared" si="9"/>
        <v>20324.200461440898</v>
      </c>
      <c r="AE44" s="3054">
        <f t="shared" si="3"/>
        <v>11955.412036141704</v>
      </c>
      <c r="AF44" s="3054" t="e">
        <f t="shared" si="4"/>
        <v>#DIV/0!</v>
      </c>
      <c r="AG44" s="3054">
        <f t="shared" si="5"/>
        <v>10162.100230720449</v>
      </c>
    </row>
    <row r="45" spans="1:33" hidden="1">
      <c r="A45" s="3054" t="s">
        <v>3473</v>
      </c>
      <c r="B45" s="3054" t="s">
        <v>3224</v>
      </c>
      <c r="C45" s="3054" t="s">
        <v>3113</v>
      </c>
      <c r="D45" s="3054" t="s">
        <v>3278</v>
      </c>
      <c r="E45" s="3054" t="s">
        <v>3114</v>
      </c>
      <c r="F45" s="3054" t="s">
        <v>3474</v>
      </c>
      <c r="G45" s="3054" t="s">
        <v>3475</v>
      </c>
      <c r="H45" s="3054">
        <v>79276.91</v>
      </c>
      <c r="I45" s="3054">
        <v>177023</v>
      </c>
      <c r="J45" s="3054" t="s">
        <v>3476</v>
      </c>
      <c r="K45" s="3054" t="s">
        <v>3477</v>
      </c>
      <c r="L45" s="3054" t="s">
        <v>3281</v>
      </c>
      <c r="M45" s="3054">
        <v>444000</v>
      </c>
      <c r="N45" s="3054">
        <v>25081.49</v>
      </c>
      <c r="O45" s="3054">
        <v>21.64</v>
      </c>
      <c r="P45" s="3054" t="s">
        <v>3442</v>
      </c>
      <c r="R45" s="3054"/>
      <c r="T45" s="3054">
        <f t="shared" si="8"/>
        <v>0</v>
      </c>
      <c r="U45" s="3054"/>
      <c r="V45" s="3054"/>
      <c r="AB45" s="3054">
        <f t="shared" si="1"/>
        <v>56006.219213135322</v>
      </c>
      <c r="AC45" s="3054">
        <f>AB45*[3]年期修正系数!$G$9</f>
        <v>85073.446984752547</v>
      </c>
      <c r="AD45" s="3054">
        <f t="shared" si="9"/>
        <v>127610.17047712882</v>
      </c>
      <c r="AE45" s="3054">
        <f t="shared" si="3"/>
        <v>75064.806163016954</v>
      </c>
      <c r="AF45" s="3054" t="e">
        <f t="shared" si="4"/>
        <v>#DIV/0!</v>
      </c>
      <c r="AG45" s="3054">
        <f t="shared" si="5"/>
        <v>63805.08523856441</v>
      </c>
    </row>
    <row r="46" spans="1:33" hidden="1">
      <c r="A46" s="3054" t="s">
        <v>3478</v>
      </c>
      <c r="B46" s="3054" t="s">
        <v>3224</v>
      </c>
      <c r="C46" s="3054" t="s">
        <v>3113</v>
      </c>
      <c r="D46" s="3054" t="s">
        <v>3479</v>
      </c>
      <c r="E46" s="3054" t="s">
        <v>3114</v>
      </c>
      <c r="F46" s="3054" t="s">
        <v>3480</v>
      </c>
      <c r="G46" s="3054" t="s">
        <v>3286</v>
      </c>
      <c r="H46" s="3054">
        <v>34940.019999999997</v>
      </c>
      <c r="I46" s="3054">
        <v>94338</v>
      </c>
      <c r="J46" s="3054">
        <v>2.7</v>
      </c>
      <c r="K46" s="3054" t="s">
        <v>3477</v>
      </c>
      <c r="L46" s="3054" t="s">
        <v>3481</v>
      </c>
      <c r="M46" s="3054">
        <v>246000</v>
      </c>
      <c r="N46" s="3054">
        <v>26076.45</v>
      </c>
      <c r="O46" s="3054">
        <v>17.14</v>
      </c>
      <c r="P46" s="3054" t="s">
        <v>3442</v>
      </c>
      <c r="R46" s="3054"/>
      <c r="T46" s="3054">
        <f t="shared" si="8"/>
        <v>0</v>
      </c>
      <c r="U46" s="3054"/>
      <c r="V46" s="3054"/>
      <c r="AB46" s="3054">
        <f t="shared" si="1"/>
        <v>70406.370688969269</v>
      </c>
      <c r="AC46" s="3054">
        <f>AB46*[3]年期修正系数!$G$9</f>
        <v>106947.27707654431</v>
      </c>
      <c r="AD46" s="3054">
        <f t="shared" si="9"/>
        <v>160420.91561481648</v>
      </c>
      <c r="AE46" s="3054">
        <f t="shared" si="3"/>
        <v>94365.244479303816</v>
      </c>
      <c r="AF46" s="3054" t="e">
        <f t="shared" si="4"/>
        <v>#DIV/0!</v>
      </c>
      <c r="AG46" s="3054">
        <f t="shared" si="5"/>
        <v>80210.457807408238</v>
      </c>
    </row>
    <row r="47" spans="1:33" hidden="1">
      <c r="A47" s="3054" t="s">
        <v>3482</v>
      </c>
      <c r="B47" s="3054" t="s">
        <v>3224</v>
      </c>
      <c r="C47" s="3054" t="s">
        <v>3241</v>
      </c>
      <c r="D47" s="3054" t="s">
        <v>3483</v>
      </c>
      <c r="E47" s="3054" t="s">
        <v>3114</v>
      </c>
      <c r="F47" s="3054" t="s">
        <v>3484</v>
      </c>
      <c r="G47" s="3054" t="s">
        <v>3227</v>
      </c>
      <c r="H47" s="3054">
        <v>39084.339999999997</v>
      </c>
      <c r="I47" s="3054">
        <v>59071</v>
      </c>
      <c r="J47" s="3054" t="s">
        <v>3485</v>
      </c>
      <c r="K47" s="3054" t="s">
        <v>3486</v>
      </c>
      <c r="L47" s="3054" t="s">
        <v>3487</v>
      </c>
      <c r="M47" s="3054">
        <v>188000</v>
      </c>
      <c r="N47" s="3054">
        <v>31826.11</v>
      </c>
      <c r="O47" s="3054">
        <v>42.42</v>
      </c>
      <c r="P47" s="3054" t="s">
        <v>3308</v>
      </c>
      <c r="R47" s="3054"/>
      <c r="T47" s="3054">
        <f t="shared" si="8"/>
        <v>0</v>
      </c>
      <c r="U47" s="3054"/>
      <c r="V47" s="3054"/>
      <c r="AB47" s="3054">
        <f t="shared" si="1"/>
        <v>48101.106478963193</v>
      </c>
      <c r="AC47" s="3054">
        <f>AB47*[3]年期修正系数!$G$9</f>
        <v>73065.580741545084</v>
      </c>
      <c r="AD47" s="3054">
        <f t="shared" si="9"/>
        <v>109598.37111231763</v>
      </c>
      <c r="AE47" s="3054">
        <f t="shared" si="3"/>
        <v>64469.6300660692</v>
      </c>
      <c r="AF47" s="3054" t="e">
        <f t="shared" si="4"/>
        <v>#DIV/0!</v>
      </c>
      <c r="AG47" s="3054">
        <f t="shared" si="5"/>
        <v>54799.185556158816</v>
      </c>
    </row>
    <row r="48" spans="1:33" hidden="1">
      <c r="A48" s="3054" t="s">
        <v>3488</v>
      </c>
      <c r="B48" s="3054" t="s">
        <v>3224</v>
      </c>
      <c r="C48" s="3054" t="s">
        <v>3283</v>
      </c>
      <c r="D48" s="3054" t="s">
        <v>3489</v>
      </c>
      <c r="E48" s="3054" t="s">
        <v>3114</v>
      </c>
      <c r="F48" s="3054" t="s">
        <v>3490</v>
      </c>
      <c r="G48" s="3054" t="s">
        <v>3227</v>
      </c>
      <c r="H48" s="3054">
        <v>168662.9</v>
      </c>
      <c r="I48" s="3054">
        <v>184119</v>
      </c>
      <c r="J48" s="3054" t="s">
        <v>3491</v>
      </c>
      <c r="K48" s="3054" t="s">
        <v>3486</v>
      </c>
      <c r="L48" s="3054" t="s">
        <v>3492</v>
      </c>
      <c r="M48" s="3054">
        <v>430000</v>
      </c>
      <c r="N48" s="3054">
        <v>23354.45</v>
      </c>
      <c r="O48" s="3054">
        <v>6.17</v>
      </c>
      <c r="P48" s="3054" t="s">
        <v>3308</v>
      </c>
      <c r="R48" s="3054"/>
      <c r="T48" s="3054">
        <f t="shared" si="8"/>
        <v>0</v>
      </c>
      <c r="U48" s="3054"/>
      <c r="V48" s="3054"/>
      <c r="AB48" s="3054">
        <f t="shared" si="1"/>
        <v>25494.640492959625</v>
      </c>
      <c r="AC48" s="3054">
        <f>AB48*[3]年期修正系数!$G$9</f>
        <v>38726.358908805669</v>
      </c>
      <c r="AD48" s="3054">
        <f t="shared" si="9"/>
        <v>58089.5383632085</v>
      </c>
      <c r="AE48" s="3054">
        <f t="shared" si="3"/>
        <v>34170.316684240293</v>
      </c>
      <c r="AF48" s="3054" t="e">
        <f t="shared" si="4"/>
        <v>#DIV/0!</v>
      </c>
      <c r="AG48" s="3054">
        <f t="shared" si="5"/>
        <v>29044.76918160425</v>
      </c>
    </row>
    <row r="49" spans="1:33" hidden="1">
      <c r="A49" s="3054" t="s">
        <v>3493</v>
      </c>
      <c r="B49" s="3054" t="s">
        <v>3224</v>
      </c>
      <c r="C49" s="3054" t="s">
        <v>3241</v>
      </c>
      <c r="D49" s="3054" t="s">
        <v>3494</v>
      </c>
      <c r="E49" s="3054" t="s">
        <v>3114</v>
      </c>
      <c r="F49" s="3054" t="s">
        <v>3495</v>
      </c>
      <c r="G49" s="3054" t="s">
        <v>3320</v>
      </c>
      <c r="H49" s="3054">
        <v>51248.95</v>
      </c>
      <c r="I49" s="3054">
        <v>78434</v>
      </c>
      <c r="J49" s="3054" t="s">
        <v>3496</v>
      </c>
      <c r="K49" s="3054" t="s">
        <v>3486</v>
      </c>
      <c r="L49" s="3054" t="s">
        <v>3497</v>
      </c>
      <c r="M49" s="3054">
        <v>183000</v>
      </c>
      <c r="N49" s="3054">
        <v>23331.72</v>
      </c>
      <c r="O49" s="3054">
        <v>19.61</v>
      </c>
      <c r="P49" s="3054" t="s">
        <v>3308</v>
      </c>
      <c r="R49" s="3054"/>
      <c r="T49" s="3054">
        <f t="shared" si="8"/>
        <v>0</v>
      </c>
      <c r="U49" s="3054"/>
      <c r="V49" s="3054"/>
      <c r="AB49" s="3054">
        <f t="shared" si="1"/>
        <v>35708.048652704107</v>
      </c>
      <c r="AC49" s="3054">
        <f>AB49*[3]年期修正系数!$G$9</f>
        <v>54240.525903457536</v>
      </c>
      <c r="AD49" s="3054">
        <f t="shared" si="9"/>
        <v>81360.7888551863</v>
      </c>
      <c r="AE49" s="3054">
        <f t="shared" si="3"/>
        <v>47859.287561874298</v>
      </c>
      <c r="AF49" s="3054" t="e">
        <f t="shared" si="4"/>
        <v>#DIV/0!</v>
      </c>
      <c r="AG49" s="3054">
        <f t="shared" si="5"/>
        <v>40680.39442759315</v>
      </c>
    </row>
    <row r="50" spans="1:33" hidden="1">
      <c r="A50" s="3054" t="s">
        <v>3498</v>
      </c>
      <c r="B50" s="3054" t="s">
        <v>3224</v>
      </c>
      <c r="C50" s="3054" t="s">
        <v>3435</v>
      </c>
      <c r="D50" s="3054" t="s">
        <v>3436</v>
      </c>
      <c r="E50" s="3054" t="s">
        <v>3114</v>
      </c>
      <c r="F50" s="3054" t="s">
        <v>3499</v>
      </c>
      <c r="G50" s="3054" t="s">
        <v>3500</v>
      </c>
      <c r="H50" s="3054">
        <v>50699.839999999997</v>
      </c>
      <c r="I50" s="3054">
        <v>133434</v>
      </c>
      <c r="J50" s="3054" t="s">
        <v>3501</v>
      </c>
      <c r="K50" s="3054" t="s">
        <v>3502</v>
      </c>
      <c r="L50" s="3054" t="s">
        <v>3503</v>
      </c>
      <c r="M50" s="3054">
        <v>160000</v>
      </c>
      <c r="N50" s="3054">
        <v>11990.95</v>
      </c>
      <c r="O50" s="3054">
        <v>0</v>
      </c>
      <c r="P50" s="3054" t="s">
        <v>3308</v>
      </c>
      <c r="R50" s="3054"/>
      <c r="T50" s="3054">
        <f t="shared" si="8"/>
        <v>0</v>
      </c>
      <c r="U50" s="3054"/>
      <c r="V50" s="3054"/>
      <c r="AB50" s="3054">
        <f t="shared" si="1"/>
        <v>31558.284996560149</v>
      </c>
      <c r="AC50" s="3054">
        <f>AB50*[3]年期修正系数!$G$9</f>
        <v>47937.034909774862</v>
      </c>
      <c r="AD50" s="3054">
        <f t="shared" si="9"/>
        <v>71905.55236466229</v>
      </c>
      <c r="AE50" s="3054">
        <f t="shared" si="3"/>
        <v>42297.383743918996</v>
      </c>
      <c r="AF50" s="3054" t="e">
        <f t="shared" si="4"/>
        <v>#DIV/0!</v>
      </c>
      <c r="AG50" s="3054">
        <f t="shared" si="5"/>
        <v>35952.776182331145</v>
      </c>
    </row>
    <row r="51" spans="1:33" hidden="1">
      <c r="A51" s="3054" t="s">
        <v>3504</v>
      </c>
      <c r="B51" s="3054" t="s">
        <v>3224</v>
      </c>
      <c r="C51" s="3054" t="s">
        <v>3303</v>
      </c>
      <c r="D51" s="3054" t="s">
        <v>3505</v>
      </c>
      <c r="E51" s="3054" t="s">
        <v>3114</v>
      </c>
      <c r="F51" s="3054" t="s">
        <v>3506</v>
      </c>
      <c r="G51" s="3054" t="s">
        <v>3507</v>
      </c>
      <c r="H51" s="3054">
        <v>60678.01</v>
      </c>
      <c r="I51" s="3054">
        <v>160145</v>
      </c>
      <c r="J51" s="3054" t="s">
        <v>3508</v>
      </c>
      <c r="K51" s="3054" t="s">
        <v>3502</v>
      </c>
      <c r="L51" s="3054" t="s">
        <v>3509</v>
      </c>
      <c r="M51" s="3054">
        <v>340800</v>
      </c>
      <c r="N51" s="3054">
        <v>21280.7</v>
      </c>
      <c r="O51" s="3054">
        <v>0.5</v>
      </c>
      <c r="P51" s="3054" t="s">
        <v>3308</v>
      </c>
      <c r="R51" s="3054"/>
      <c r="T51" s="3054">
        <f t="shared" si="8"/>
        <v>0</v>
      </c>
      <c r="U51" s="3054"/>
      <c r="V51" s="3054"/>
      <c r="AB51" s="3054">
        <f t="shared" si="1"/>
        <v>56165.322494920314</v>
      </c>
      <c r="AC51" s="3054">
        <f>AB51*[3]年期修正系数!$G$9</f>
        <v>85315.124869783947</v>
      </c>
      <c r="AD51" s="3054">
        <f t="shared" si="9"/>
        <v>127972.68730467593</v>
      </c>
      <c r="AE51" s="3054">
        <f t="shared" si="3"/>
        <v>75278.051355691729</v>
      </c>
      <c r="AF51" s="3054" t="e">
        <f t="shared" si="4"/>
        <v>#DIV/0!</v>
      </c>
      <c r="AG51" s="3054">
        <f t="shared" si="5"/>
        <v>63986.343652337964</v>
      </c>
    </row>
    <row r="52" spans="1:33" hidden="1">
      <c r="A52" s="3054" t="s">
        <v>3510</v>
      </c>
      <c r="B52" s="3054" t="s">
        <v>3233</v>
      </c>
      <c r="C52" s="3054" t="s">
        <v>3511</v>
      </c>
      <c r="D52" s="3054" t="s">
        <v>3512</v>
      </c>
      <c r="E52" s="3054" t="s">
        <v>3114</v>
      </c>
      <c r="F52" s="3054" t="s">
        <v>3513</v>
      </c>
      <c r="G52" s="3054" t="s">
        <v>3236</v>
      </c>
      <c r="H52" s="3054">
        <v>130729</v>
      </c>
      <c r="I52" s="3054">
        <v>152953</v>
      </c>
      <c r="J52" s="3054">
        <v>1.17</v>
      </c>
      <c r="K52" s="3054" t="s">
        <v>3502</v>
      </c>
      <c r="L52" s="3054" t="s">
        <v>3514</v>
      </c>
      <c r="M52" s="3054">
        <v>189000</v>
      </c>
      <c r="N52" s="3054">
        <v>12356.73</v>
      </c>
      <c r="O52" s="3054">
        <v>12.5</v>
      </c>
      <c r="P52" s="3054" t="s">
        <v>3308</v>
      </c>
      <c r="R52" s="3054"/>
      <c r="T52" s="3054">
        <f t="shared" si="8"/>
        <v>0</v>
      </c>
      <c r="U52" s="3054"/>
      <c r="V52" s="3054"/>
      <c r="AB52" s="3054">
        <f t="shared" si="1"/>
        <v>14457.388949659218</v>
      </c>
      <c r="AC52" s="3054">
        <f>AB52*[3]年期修正系数!$G$9</f>
        <v>21960.773814532353</v>
      </c>
      <c r="AD52" s="3054">
        <f t="shared" si="9"/>
        <v>32941.160721798529</v>
      </c>
      <c r="AE52" s="3054">
        <f t="shared" si="3"/>
        <v>19377.153365763843</v>
      </c>
      <c r="AF52" s="3054" t="e">
        <f t="shared" si="4"/>
        <v>#DIV/0!</v>
      </c>
      <c r="AG52" s="3054">
        <f t="shared" si="5"/>
        <v>16470.580360899265</v>
      </c>
    </row>
    <row r="53" spans="1:33" hidden="1">
      <c r="A53" s="3054" t="s">
        <v>3515</v>
      </c>
      <c r="B53" s="3054" t="s">
        <v>3224</v>
      </c>
      <c r="C53" s="3054" t="s">
        <v>3241</v>
      </c>
      <c r="D53" s="3054" t="s">
        <v>3516</v>
      </c>
      <c r="E53" s="3054" t="s">
        <v>3114</v>
      </c>
      <c r="F53" s="3054" t="s">
        <v>3517</v>
      </c>
      <c r="G53" s="3054" t="s">
        <v>3227</v>
      </c>
      <c r="H53" s="3054">
        <v>29550.2</v>
      </c>
      <c r="I53" s="3054">
        <v>54407</v>
      </c>
      <c r="J53" s="3054">
        <v>1.84</v>
      </c>
      <c r="K53" s="3054" t="s">
        <v>3518</v>
      </c>
      <c r="L53" s="3054" t="s">
        <v>3519</v>
      </c>
      <c r="M53" s="3054">
        <v>84000</v>
      </c>
      <c r="N53" s="3054">
        <v>15439.19</v>
      </c>
      <c r="O53" s="3054">
        <v>39.299999999999997</v>
      </c>
      <c r="P53" s="3054" t="s">
        <v>3308</v>
      </c>
      <c r="R53" s="3054"/>
      <c r="T53" s="3054">
        <f t="shared" si="8"/>
        <v>0</v>
      </c>
      <c r="U53" s="3054"/>
      <c r="V53" s="3054"/>
      <c r="AB53" s="3054">
        <f t="shared" si="1"/>
        <v>28426.203545153669</v>
      </c>
      <c r="AC53" s="3054">
        <f>AB53*[3]年期修正系数!$G$9</f>
        <v>43179.40318508842</v>
      </c>
      <c r="AD53" s="3054">
        <f t="shared" si="9"/>
        <v>64769.10477763263</v>
      </c>
      <c r="AE53" s="3054">
        <f t="shared" ref="AE53:AE84" si="10">AD53/$X$250</f>
        <v>38099.473398607428</v>
      </c>
      <c r="AF53" s="3054" t="e">
        <f t="shared" ref="AF53:AF84" si="11">AD53/$Y$250</f>
        <v>#DIV/0!</v>
      </c>
      <c r="AG53" s="3054">
        <f t="shared" ref="AG53:AG84" si="12">AD53/$Z$250</f>
        <v>32384.552388816315</v>
      </c>
    </row>
    <row r="54" spans="1:33" hidden="1">
      <c r="A54" s="3054" t="s">
        <v>3520</v>
      </c>
      <c r="B54" s="3054" t="s">
        <v>3224</v>
      </c>
      <c r="C54" s="3054" t="s">
        <v>3241</v>
      </c>
      <c r="D54" s="3054" t="s">
        <v>3516</v>
      </c>
      <c r="E54" s="3054" t="s">
        <v>3114</v>
      </c>
      <c r="F54" s="3054" t="s">
        <v>3521</v>
      </c>
      <c r="G54" s="3054" t="s">
        <v>3227</v>
      </c>
      <c r="H54" s="3054">
        <v>115506.3</v>
      </c>
      <c r="I54" s="3054">
        <v>280243</v>
      </c>
      <c r="J54" s="3054">
        <v>2.4300000000000002</v>
      </c>
      <c r="K54" s="3054" t="s">
        <v>3518</v>
      </c>
      <c r="L54" s="3054" t="s">
        <v>3522</v>
      </c>
      <c r="M54" s="3054">
        <v>666000</v>
      </c>
      <c r="N54" s="3054">
        <v>23765.09</v>
      </c>
      <c r="O54" s="3054">
        <v>2.46</v>
      </c>
      <c r="P54" s="3054" t="s">
        <v>3308</v>
      </c>
      <c r="R54" s="3054"/>
      <c r="T54" s="3054">
        <f t="shared" si="8"/>
        <v>0</v>
      </c>
      <c r="U54" s="3054"/>
      <c r="V54" s="3054"/>
      <c r="AB54" s="3054">
        <f t="shared" si="1"/>
        <v>57659.192615467728</v>
      </c>
      <c r="AC54" s="3054">
        <f>AB54*[3]年期修正系数!$G$9</f>
        <v>87584.313582895469</v>
      </c>
      <c r="AD54" s="3054">
        <f t="shared" si="9"/>
        <v>131376.47037434322</v>
      </c>
      <c r="AE54" s="3054">
        <f t="shared" si="10"/>
        <v>77280.276690790124</v>
      </c>
      <c r="AF54" s="3054" t="e">
        <f t="shared" si="11"/>
        <v>#DIV/0!</v>
      </c>
      <c r="AG54" s="3054">
        <f t="shared" si="12"/>
        <v>65688.235187171609</v>
      </c>
    </row>
    <row r="55" spans="1:33" hidden="1">
      <c r="A55" s="3054" t="s">
        <v>3523</v>
      </c>
      <c r="B55" s="3054" t="s">
        <v>3224</v>
      </c>
      <c r="C55" s="3054" t="s">
        <v>3366</v>
      </c>
      <c r="D55" s="3054" t="s">
        <v>3524</v>
      </c>
      <c r="E55" s="3054" t="s">
        <v>3114</v>
      </c>
      <c r="F55" s="3054" t="s">
        <v>3525</v>
      </c>
      <c r="G55" s="3054" t="s">
        <v>3227</v>
      </c>
      <c r="H55" s="3054">
        <v>48463.79</v>
      </c>
      <c r="I55" s="3054">
        <v>116359</v>
      </c>
      <c r="J55" s="3054">
        <v>2.4</v>
      </c>
      <c r="K55" s="3054" t="s">
        <v>3518</v>
      </c>
      <c r="L55" s="3054" t="s">
        <v>3526</v>
      </c>
      <c r="M55" s="3054">
        <v>495300</v>
      </c>
      <c r="N55" s="3054">
        <v>42566.54</v>
      </c>
      <c r="O55" s="3054">
        <v>0</v>
      </c>
      <c r="P55" s="3054" t="s">
        <v>3308</v>
      </c>
      <c r="R55" s="3054"/>
      <c r="T55" s="3054">
        <f t="shared" si="8"/>
        <v>0</v>
      </c>
      <c r="U55" s="3054"/>
      <c r="V55" s="3054"/>
      <c r="AB55" s="3054">
        <f t="shared" si="1"/>
        <v>102200.01365968282</v>
      </c>
      <c r="AC55" s="3054">
        <f>AB55*[3]年期修正系数!$G$9</f>
        <v>155241.82074905821</v>
      </c>
      <c r="AD55" s="3054">
        <f t="shared" si="9"/>
        <v>232862.73112358732</v>
      </c>
      <c r="AE55" s="3054">
        <f t="shared" si="10"/>
        <v>136978.07713152195</v>
      </c>
      <c r="AF55" s="3054" t="e">
        <f t="shared" si="11"/>
        <v>#DIV/0!</v>
      </c>
      <c r="AG55" s="3054">
        <f t="shared" si="12"/>
        <v>116431.36556179366</v>
      </c>
    </row>
    <row r="56" spans="1:33" hidden="1">
      <c r="A56" s="3054" t="s">
        <v>3527</v>
      </c>
      <c r="B56" s="3054" t="s">
        <v>3233</v>
      </c>
      <c r="C56" s="3054" t="s">
        <v>3241</v>
      </c>
      <c r="D56" s="3054" t="s">
        <v>3516</v>
      </c>
      <c r="E56" s="3054" t="s">
        <v>3114</v>
      </c>
      <c r="F56" s="3054" t="s">
        <v>3528</v>
      </c>
      <c r="G56" s="3054" t="s">
        <v>3236</v>
      </c>
      <c r="H56" s="3054">
        <v>69229.279999999999</v>
      </c>
      <c r="I56" s="3054">
        <v>173073</v>
      </c>
      <c r="J56" s="3054">
        <v>2.5</v>
      </c>
      <c r="K56" s="3054" t="s">
        <v>3518</v>
      </c>
      <c r="L56" s="3054" t="s">
        <v>3529</v>
      </c>
      <c r="M56" s="3054">
        <v>255000</v>
      </c>
      <c r="N56" s="3054">
        <v>14733.67</v>
      </c>
      <c r="O56" s="3054">
        <v>40.880000000000003</v>
      </c>
      <c r="P56" s="3054" t="s">
        <v>3308</v>
      </c>
      <c r="R56" s="3054"/>
      <c r="T56" s="3054">
        <f t="shared" si="8"/>
        <v>0</v>
      </c>
      <c r="U56" s="3054"/>
      <c r="V56" s="3054"/>
      <c r="AB56" s="3054">
        <f t="shared" si="1"/>
        <v>36834.12567630344</v>
      </c>
      <c r="AC56" s="3054">
        <f>AB56*[3]年期修正系数!$G$9</f>
        <v>55951.036902304921</v>
      </c>
      <c r="AD56" s="3054">
        <f t="shared" si="9"/>
        <v>83926.555353457385</v>
      </c>
      <c r="AE56" s="3054">
        <f t="shared" si="10"/>
        <v>49368.561972621996</v>
      </c>
      <c r="AF56" s="3054" t="e">
        <f t="shared" si="11"/>
        <v>#DIV/0!</v>
      </c>
      <c r="AG56" s="3054">
        <f t="shared" si="12"/>
        <v>41963.277676728692</v>
      </c>
    </row>
    <row r="57" spans="1:33" hidden="1">
      <c r="A57" s="3054" t="s">
        <v>3530</v>
      </c>
      <c r="B57" s="3054" t="s">
        <v>3224</v>
      </c>
      <c r="C57" s="3054" t="s">
        <v>3290</v>
      </c>
      <c r="D57" s="3054" t="s">
        <v>3531</v>
      </c>
      <c r="E57" s="3054" t="s">
        <v>3114</v>
      </c>
      <c r="F57" s="3054" t="s">
        <v>3532</v>
      </c>
      <c r="G57" s="3054" t="s">
        <v>3227</v>
      </c>
      <c r="H57" s="3054">
        <v>36338.199999999997</v>
      </c>
      <c r="I57" s="3054">
        <v>67633</v>
      </c>
      <c r="J57" s="3054">
        <v>1.86</v>
      </c>
      <c r="K57" s="3054" t="s">
        <v>3533</v>
      </c>
      <c r="L57" s="3054" t="s">
        <v>3534</v>
      </c>
      <c r="M57" s="3054">
        <v>79200</v>
      </c>
      <c r="N57" s="3054">
        <v>11710.26</v>
      </c>
      <c r="O57" s="3054">
        <v>0</v>
      </c>
      <c r="P57" s="3054" t="s">
        <v>3231</v>
      </c>
      <c r="R57" s="3054"/>
      <c r="T57" s="3054">
        <f t="shared" si="8"/>
        <v>0</v>
      </c>
      <c r="U57" s="3054"/>
      <c r="V57" s="3054"/>
      <c r="AB57" s="3054">
        <f t="shared" si="1"/>
        <v>21795.245774419207</v>
      </c>
      <c r="AC57" s="3054">
        <f>AB57*[3]年期修正系数!$G$9</f>
        <v>33106.978331342776</v>
      </c>
      <c r="AD57" s="3054">
        <f t="shared" si="9"/>
        <v>49660.467497014164</v>
      </c>
      <c r="AE57" s="3054">
        <f t="shared" si="10"/>
        <v>29212.039704125978</v>
      </c>
      <c r="AF57" s="3054" t="e">
        <f t="shared" si="11"/>
        <v>#DIV/0!</v>
      </c>
      <c r="AG57" s="3054">
        <f t="shared" si="12"/>
        <v>24830.233748507082</v>
      </c>
    </row>
    <row r="58" spans="1:33" hidden="1">
      <c r="A58" s="3054" t="s">
        <v>3535</v>
      </c>
      <c r="B58" s="3054" t="s">
        <v>3224</v>
      </c>
      <c r="C58" s="3054" t="s">
        <v>3241</v>
      </c>
      <c r="D58" s="3054" t="s">
        <v>3256</v>
      </c>
      <c r="E58" s="3054" t="s">
        <v>3114</v>
      </c>
      <c r="F58" s="3054" t="s">
        <v>3536</v>
      </c>
      <c r="G58" s="3054" t="s">
        <v>3469</v>
      </c>
      <c r="H58" s="3054">
        <v>65453.36</v>
      </c>
      <c r="I58" s="3054">
        <v>148992</v>
      </c>
      <c r="J58" s="3054">
        <v>2.2799999999999998</v>
      </c>
      <c r="K58" s="3054" t="s">
        <v>3533</v>
      </c>
      <c r="L58" s="3054" t="s">
        <v>3537</v>
      </c>
      <c r="M58" s="3054">
        <v>143500</v>
      </c>
      <c r="N58" s="3054">
        <v>9631.3799999999992</v>
      </c>
      <c r="O58" s="3054">
        <v>0</v>
      </c>
      <c r="P58" s="3054" t="s">
        <v>3231</v>
      </c>
      <c r="R58" s="3054"/>
      <c r="T58" s="3054">
        <f t="shared" si="8"/>
        <v>0</v>
      </c>
      <c r="U58" s="3054"/>
      <c r="V58" s="3054"/>
      <c r="AB58" s="3054">
        <f t="shared" si="1"/>
        <v>21924.008179259246</v>
      </c>
      <c r="AC58" s="3054">
        <f>AB58*[3]年期修正系数!$G$9</f>
        <v>33302.56842429479</v>
      </c>
      <c r="AD58" s="3054">
        <f t="shared" si="9"/>
        <v>49953.852636442185</v>
      </c>
      <c r="AE58" s="3054">
        <f t="shared" si="10"/>
        <v>29384.61919790717</v>
      </c>
      <c r="AF58" s="3054" t="e">
        <f t="shared" si="11"/>
        <v>#DIV/0!</v>
      </c>
      <c r="AG58" s="3054">
        <f t="shared" si="12"/>
        <v>24976.926318221093</v>
      </c>
    </row>
    <row r="59" spans="1:33" hidden="1">
      <c r="A59" s="3054" t="s">
        <v>3538</v>
      </c>
      <c r="B59" s="3054" t="s">
        <v>3233</v>
      </c>
      <c r="C59" s="3054" t="s">
        <v>3366</v>
      </c>
      <c r="D59" s="3054" t="s">
        <v>3539</v>
      </c>
      <c r="E59" s="3054" t="s">
        <v>3292</v>
      </c>
      <c r="F59" s="3054" t="s">
        <v>3540</v>
      </c>
      <c r="G59" s="3054" t="s">
        <v>3236</v>
      </c>
      <c r="H59" s="3054">
        <v>17006.62</v>
      </c>
      <c r="I59" s="3054">
        <v>43844</v>
      </c>
      <c r="J59" s="3054">
        <v>2.58</v>
      </c>
      <c r="K59" s="3054" t="s">
        <v>3541</v>
      </c>
      <c r="L59" s="3054" t="s">
        <v>3542</v>
      </c>
      <c r="M59" s="3054">
        <v>98500</v>
      </c>
      <c r="N59" s="3054">
        <v>22465.97</v>
      </c>
      <c r="O59" s="3054">
        <v>0</v>
      </c>
      <c r="P59" s="3054" t="s">
        <v>3308</v>
      </c>
      <c r="R59" s="3054"/>
      <c r="T59" s="3054">
        <f t="shared" si="8"/>
        <v>0</v>
      </c>
      <c r="U59" s="3054"/>
      <c r="V59" s="3054"/>
      <c r="AB59" s="3054">
        <f t="shared" si="1"/>
        <v>57918.622277677758</v>
      </c>
      <c r="AC59" s="3054">
        <f>AB59*[3]年期修正系数!$G$9</f>
        <v>87978.387239792515</v>
      </c>
      <c r="AD59" s="3054">
        <f t="shared" si="9"/>
        <v>131967.58085968878</v>
      </c>
      <c r="AE59" s="3054">
        <f t="shared" si="10"/>
        <v>77627.988740993402</v>
      </c>
      <c r="AF59" s="3054" t="e">
        <f t="shared" si="11"/>
        <v>#DIV/0!</v>
      </c>
      <c r="AG59" s="3054">
        <f t="shared" si="12"/>
        <v>65983.79042984439</v>
      </c>
    </row>
    <row r="60" spans="1:33" hidden="1">
      <c r="A60" s="3054" t="s">
        <v>3543</v>
      </c>
      <c r="B60" s="3054" t="s">
        <v>3224</v>
      </c>
      <c r="C60" s="3054" t="s">
        <v>3353</v>
      </c>
      <c r="D60" s="3054" t="s">
        <v>3544</v>
      </c>
      <c r="E60" s="3054" t="s">
        <v>3292</v>
      </c>
      <c r="F60" s="3054" t="s">
        <v>3545</v>
      </c>
      <c r="G60" s="3054" t="s">
        <v>3546</v>
      </c>
      <c r="H60" s="3054">
        <v>14680.08</v>
      </c>
      <c r="I60" s="3054">
        <v>31629</v>
      </c>
      <c r="J60" s="3054">
        <v>2.15</v>
      </c>
      <c r="K60" s="3054" t="s">
        <v>3541</v>
      </c>
      <c r="L60" s="3054" t="s">
        <v>3547</v>
      </c>
      <c r="M60" s="3054">
        <v>76000</v>
      </c>
      <c r="N60" s="3054">
        <v>24028.58</v>
      </c>
      <c r="O60" s="3054">
        <v>0</v>
      </c>
      <c r="P60" s="3054" t="s">
        <v>3231</v>
      </c>
      <c r="R60" s="3054"/>
      <c r="T60" s="3054">
        <f t="shared" si="8"/>
        <v>0</v>
      </c>
      <c r="U60" s="3054"/>
      <c r="V60" s="3054"/>
      <c r="AB60" s="3054">
        <f t="shared" si="1"/>
        <v>51770.835036321325</v>
      </c>
      <c r="AC60" s="3054">
        <f>AB60*[3]年期修正系数!$G$9</f>
        <v>78639.898420172089</v>
      </c>
      <c r="AD60" s="3054">
        <f t="shared" si="9"/>
        <v>117959.84763025813</v>
      </c>
      <c r="AE60" s="3054">
        <f t="shared" si="10"/>
        <v>69388.14566485773</v>
      </c>
      <c r="AF60" s="3054" t="e">
        <f t="shared" si="11"/>
        <v>#DIV/0!</v>
      </c>
      <c r="AG60" s="3054">
        <f t="shared" si="12"/>
        <v>58979.923815129063</v>
      </c>
    </row>
    <row r="61" spans="1:33" hidden="1">
      <c r="A61" s="3054" t="s">
        <v>3548</v>
      </c>
      <c r="B61" s="3054" t="s">
        <v>3224</v>
      </c>
      <c r="C61" s="3054" t="s">
        <v>3353</v>
      </c>
      <c r="D61" s="3054" t="s">
        <v>3549</v>
      </c>
      <c r="E61" s="3054" t="s">
        <v>3292</v>
      </c>
      <c r="F61" s="3054" t="s">
        <v>3550</v>
      </c>
      <c r="G61" s="3054" t="s">
        <v>3551</v>
      </c>
      <c r="H61" s="3054">
        <v>239378.2</v>
      </c>
      <c r="I61" s="3054">
        <v>302600</v>
      </c>
      <c r="J61" s="3054">
        <v>1.26</v>
      </c>
      <c r="K61" s="3054" t="s">
        <v>3541</v>
      </c>
      <c r="L61" s="3054" t="s">
        <v>3552</v>
      </c>
      <c r="M61" s="3054">
        <v>630000</v>
      </c>
      <c r="N61" s="3054">
        <v>20819.560000000001</v>
      </c>
      <c r="O61" s="3054">
        <v>0</v>
      </c>
      <c r="P61" s="3054" t="s">
        <v>3308</v>
      </c>
      <c r="R61" s="3054"/>
      <c r="T61" s="3054">
        <f t="shared" si="8"/>
        <v>0</v>
      </c>
      <c r="U61" s="3054"/>
      <c r="V61" s="3054"/>
      <c r="AB61" s="3054">
        <f t="shared" si="1"/>
        <v>26318.186033648843</v>
      </c>
      <c r="AC61" s="3054">
        <f>AB61*[3]年期修正系数!$G$9</f>
        <v>39977.32458511259</v>
      </c>
      <c r="AD61" s="3054">
        <f t="shared" si="9"/>
        <v>59965.986877668882</v>
      </c>
      <c r="AE61" s="3054">
        <f t="shared" si="10"/>
        <v>35274.109928040518</v>
      </c>
      <c r="AF61" s="3054" t="e">
        <f t="shared" si="11"/>
        <v>#DIV/0!</v>
      </c>
      <c r="AG61" s="3054">
        <f t="shared" si="12"/>
        <v>29982.993438834441</v>
      </c>
    </row>
    <row r="62" spans="1:33" hidden="1">
      <c r="A62" s="3054" t="s">
        <v>3553</v>
      </c>
      <c r="B62" s="3054" t="s">
        <v>3224</v>
      </c>
      <c r="C62" s="3054" t="s">
        <v>3353</v>
      </c>
      <c r="D62" s="3054" t="s">
        <v>3554</v>
      </c>
      <c r="E62" s="3054" t="s">
        <v>3292</v>
      </c>
      <c r="F62" s="3054" t="s">
        <v>3555</v>
      </c>
      <c r="G62" s="3054" t="s">
        <v>3556</v>
      </c>
      <c r="H62" s="3054">
        <v>68981.53</v>
      </c>
      <c r="I62" s="3054">
        <v>141907</v>
      </c>
      <c r="J62" s="3054">
        <v>2.06</v>
      </c>
      <c r="K62" s="3054" t="s">
        <v>3541</v>
      </c>
      <c r="L62" s="3054" t="s">
        <v>3547</v>
      </c>
      <c r="M62" s="3054">
        <v>389000</v>
      </c>
      <c r="N62" s="3054">
        <v>27412.31</v>
      </c>
      <c r="O62" s="3054">
        <v>0</v>
      </c>
      <c r="P62" s="3054" t="s">
        <v>3231</v>
      </c>
      <c r="R62" s="3054"/>
      <c r="T62" s="3054">
        <f t="shared" si="8"/>
        <v>0</v>
      </c>
      <c r="U62" s="3054"/>
      <c r="V62" s="3054"/>
      <c r="AB62" s="3054">
        <f t="shared" si="1"/>
        <v>56391.906645155599</v>
      </c>
      <c r="AC62" s="3054">
        <f>AB62*[3]年期修正系数!$G$9</f>
        <v>85659.306193991346</v>
      </c>
      <c r="AD62" s="3054">
        <f t="shared" si="9"/>
        <v>128488.95929098703</v>
      </c>
      <c r="AE62" s="3054">
        <f t="shared" si="10"/>
        <v>75581.740759404129</v>
      </c>
      <c r="AF62" s="3054" t="e">
        <f t="shared" si="11"/>
        <v>#DIV/0!</v>
      </c>
      <c r="AG62" s="3054">
        <f t="shared" si="12"/>
        <v>64244.479645493513</v>
      </c>
    </row>
    <row r="63" spans="1:33" s="3061" customFormat="1">
      <c r="A63" s="3061" t="s">
        <v>3557</v>
      </c>
      <c r="B63" s="3061" t="s">
        <v>3112</v>
      </c>
      <c r="C63" s="3061" t="s">
        <v>3113</v>
      </c>
      <c r="D63" s="3061" t="s">
        <v>3558</v>
      </c>
      <c r="E63" s="3061" t="s">
        <v>3114</v>
      </c>
      <c r="F63" s="3054" t="s">
        <v>3559</v>
      </c>
      <c r="G63" s="3061" t="s">
        <v>3560</v>
      </c>
      <c r="H63" s="3061">
        <v>104438.5</v>
      </c>
      <c r="I63" s="3061">
        <v>156658</v>
      </c>
      <c r="J63" s="3061">
        <v>1.5</v>
      </c>
      <c r="K63" s="3054" t="s">
        <v>3561</v>
      </c>
      <c r="L63" s="3054" t="s">
        <v>3562</v>
      </c>
      <c r="M63" s="3061">
        <v>16825</v>
      </c>
      <c r="N63" s="3061">
        <v>1074</v>
      </c>
      <c r="O63" s="3054">
        <v>0</v>
      </c>
      <c r="P63" s="3061" t="s">
        <v>3128</v>
      </c>
      <c r="Q63" s="3061">
        <f>M63/(H63/666.67)</f>
        <v>107.40026666411332</v>
      </c>
      <c r="R63" s="3062"/>
      <c r="S63" s="3054"/>
      <c r="T63" s="3062">
        <f t="shared" si="0"/>
        <v>0</v>
      </c>
      <c r="U63" s="3062"/>
      <c r="V63" s="3062"/>
      <c r="X63" s="3062"/>
      <c r="Y63" s="3062"/>
      <c r="Z63" s="3062"/>
      <c r="AB63" s="3062">
        <f t="shared" si="1"/>
        <v>1610.9959449819751</v>
      </c>
      <c r="AC63" s="3062">
        <f>AB63*[3]年期修正系数!$G$9</f>
        <v>2447.1028404276199</v>
      </c>
      <c r="AD63" s="3062">
        <f t="shared" si="2"/>
        <v>3670.6542606414296</v>
      </c>
      <c r="AE63" s="3061">
        <f t="shared" si="10"/>
        <v>2159.2083886126056</v>
      </c>
      <c r="AF63" s="3061" t="e">
        <f t="shared" si="11"/>
        <v>#DIV/0!</v>
      </c>
      <c r="AG63" s="3061">
        <f t="shared" si="12"/>
        <v>1835.3271303207148</v>
      </c>
    </row>
    <row r="64" spans="1:33" hidden="1">
      <c r="A64" s="3054" t="s">
        <v>3563</v>
      </c>
      <c r="B64" s="3054" t="s">
        <v>3224</v>
      </c>
      <c r="C64" s="3054" t="s">
        <v>3511</v>
      </c>
      <c r="D64" s="3054" t="s">
        <v>3564</v>
      </c>
      <c r="E64" s="3054" t="s">
        <v>3114</v>
      </c>
      <c r="F64" s="3054" t="s">
        <v>3565</v>
      </c>
      <c r="G64" s="3054" t="s">
        <v>3227</v>
      </c>
      <c r="H64" s="3054">
        <v>33062.86</v>
      </c>
      <c r="I64" s="3054">
        <v>61047</v>
      </c>
      <c r="J64" s="3054">
        <v>1.85</v>
      </c>
      <c r="K64" s="3054" t="s">
        <v>3561</v>
      </c>
      <c r="L64" s="3054" t="s">
        <v>3566</v>
      </c>
      <c r="M64" s="3054">
        <v>40800</v>
      </c>
      <c r="N64" s="3054">
        <v>6683.38</v>
      </c>
      <c r="O64" s="3054">
        <v>25.5</v>
      </c>
      <c r="P64" s="3054" t="s">
        <v>3231</v>
      </c>
      <c r="R64" s="3054"/>
      <c r="T64" s="3054">
        <f>R64*$V$1</f>
        <v>0</v>
      </c>
      <c r="U64" s="3054"/>
      <c r="V64" s="3054"/>
      <c r="AB64" s="3054">
        <f t="shared" si="1"/>
        <v>12340.130285159843</v>
      </c>
      <c r="AC64" s="3054">
        <f>AB64*[3]年期修正系数!$G$9</f>
        <v>18744.6579031578</v>
      </c>
      <c r="AD64" s="3054">
        <f>AC64*$V$1</f>
        <v>28116.9868547367</v>
      </c>
      <c r="AE64" s="3054">
        <f t="shared" si="10"/>
        <v>16539.404032198061</v>
      </c>
      <c r="AF64" s="3054" t="e">
        <f t="shared" si="11"/>
        <v>#DIV/0!</v>
      </c>
      <c r="AG64" s="3054">
        <f t="shared" si="12"/>
        <v>14058.49342736835</v>
      </c>
    </row>
    <row r="65" spans="1:33" s="3061" customFormat="1">
      <c r="A65" s="3061" t="s">
        <v>3567</v>
      </c>
      <c r="B65" s="3061" t="s">
        <v>3112</v>
      </c>
      <c r="C65" s="3061" t="s">
        <v>3113</v>
      </c>
      <c r="D65" s="3061" t="s">
        <v>3558</v>
      </c>
      <c r="E65" s="3061" t="s">
        <v>3114</v>
      </c>
      <c r="F65" s="3054" t="s">
        <v>3568</v>
      </c>
      <c r="G65" s="3061" t="s">
        <v>3560</v>
      </c>
      <c r="H65" s="3061">
        <v>90013.22</v>
      </c>
      <c r="I65" s="3061">
        <v>135020</v>
      </c>
      <c r="J65" s="3061">
        <v>1.5</v>
      </c>
      <c r="K65" s="3054" t="s">
        <v>3561</v>
      </c>
      <c r="L65" s="3054" t="s">
        <v>3569</v>
      </c>
      <c r="M65" s="3061">
        <v>13936</v>
      </c>
      <c r="N65" s="3061">
        <v>1032.2</v>
      </c>
      <c r="O65" s="3054">
        <v>0</v>
      </c>
      <c r="P65" s="3061" t="s">
        <v>3128</v>
      </c>
      <c r="Q65" s="3061">
        <f>M65/(H65/666.67)</f>
        <v>103.21498464336682</v>
      </c>
      <c r="R65" s="3062"/>
      <c r="S65" s="3054"/>
      <c r="T65" s="3062">
        <f t="shared" si="0"/>
        <v>0</v>
      </c>
      <c r="U65" s="3062"/>
      <c r="V65" s="3062"/>
      <c r="X65" s="3062"/>
      <c r="Y65" s="3062"/>
      <c r="Z65" s="3062"/>
      <c r="AB65" s="3062">
        <f t="shared" si="1"/>
        <v>1548.2170285653597</v>
      </c>
      <c r="AC65" s="3062">
        <f>AB65*[3]年期修正系数!$G$9</f>
        <v>2351.7416663907811</v>
      </c>
      <c r="AD65" s="3062">
        <f t="shared" si="2"/>
        <v>3527.6124995861719</v>
      </c>
      <c r="AE65" s="3061">
        <f t="shared" si="10"/>
        <v>2075.0661762271602</v>
      </c>
      <c r="AF65" s="3061" t="e">
        <f t="shared" si="11"/>
        <v>#DIV/0!</v>
      </c>
      <c r="AG65" s="3061">
        <f t="shared" si="12"/>
        <v>1763.806249793086</v>
      </c>
    </row>
    <row r="66" spans="1:33" hidden="1">
      <c r="A66" s="3054" t="s">
        <v>3570</v>
      </c>
      <c r="B66" s="3054" t="s">
        <v>3233</v>
      </c>
      <c r="C66" s="3054" t="s">
        <v>3303</v>
      </c>
      <c r="D66" s="3054" t="s">
        <v>3318</v>
      </c>
      <c r="E66" s="3054" t="s">
        <v>3114</v>
      </c>
      <c r="F66" s="3054" t="s">
        <v>3571</v>
      </c>
      <c r="G66" s="3054" t="s">
        <v>3236</v>
      </c>
      <c r="H66" s="3054">
        <v>41541.339999999997</v>
      </c>
      <c r="I66" s="3054">
        <v>87237</v>
      </c>
      <c r="J66" s="3054">
        <v>2.1</v>
      </c>
      <c r="K66" s="3054" t="s">
        <v>3561</v>
      </c>
      <c r="L66" s="3054" t="s">
        <v>3572</v>
      </c>
      <c r="M66" s="3054">
        <v>206000</v>
      </c>
      <c r="N66" s="3054">
        <v>23613.83</v>
      </c>
      <c r="O66" s="3054">
        <v>37.33</v>
      </c>
      <c r="P66" s="3054" t="s">
        <v>3231</v>
      </c>
      <c r="R66" s="3054"/>
      <c r="T66" s="3054">
        <f>R66*$V$1</f>
        <v>0</v>
      </c>
      <c r="U66" s="3054"/>
      <c r="V66" s="3054"/>
      <c r="AB66" s="3054">
        <f t="shared" si="1"/>
        <v>49589.15624772817</v>
      </c>
      <c r="AC66" s="3054">
        <f>AB66*[3]年期修正系数!$G$9</f>
        <v>75325.928340299084</v>
      </c>
      <c r="AD66" s="3054">
        <f>AC66*$V$1</f>
        <v>112988.89251044863</v>
      </c>
      <c r="AE66" s="3054">
        <f t="shared" si="10"/>
        <v>66464.054417910957</v>
      </c>
      <c r="AF66" s="3054" t="e">
        <f t="shared" si="11"/>
        <v>#DIV/0!</v>
      </c>
      <c r="AG66" s="3054">
        <f t="shared" si="12"/>
        <v>56494.446255224313</v>
      </c>
    </row>
    <row r="67" spans="1:33" s="3061" customFormat="1">
      <c r="A67" s="3061" t="s">
        <v>3573</v>
      </c>
      <c r="B67" s="3061" t="s">
        <v>3112</v>
      </c>
      <c r="C67" s="3061" t="s">
        <v>3113</v>
      </c>
      <c r="D67" s="3061" t="s">
        <v>3574</v>
      </c>
      <c r="E67" s="3061" t="s">
        <v>3114</v>
      </c>
      <c r="F67" s="3054" t="s">
        <v>3575</v>
      </c>
      <c r="G67" s="3061" t="s">
        <v>6</v>
      </c>
      <c r="H67" s="3061">
        <v>181625.8</v>
      </c>
      <c r="I67" s="3061">
        <v>181625</v>
      </c>
      <c r="J67" s="3061">
        <v>1</v>
      </c>
      <c r="K67" s="3063" t="s">
        <v>3576</v>
      </c>
      <c r="L67" s="3063" t="s">
        <v>3425</v>
      </c>
      <c r="M67" s="3061">
        <v>10661</v>
      </c>
      <c r="N67" s="3061">
        <v>587</v>
      </c>
      <c r="O67" s="3063">
        <v>0</v>
      </c>
      <c r="P67" s="3061" t="s">
        <v>3121</v>
      </c>
      <c r="Q67" s="3061">
        <f>M67/(H67/666.67)</f>
        <v>39.131934284666606</v>
      </c>
      <c r="R67" s="3062">
        <f>N67*[3]年期修正系数!$G$9</f>
        <v>891.65299999999991</v>
      </c>
      <c r="S67" s="3063">
        <f>I67/H67</f>
        <v>0.99999559533942872</v>
      </c>
      <c r="T67" s="3062">
        <f t="shared" si="0"/>
        <v>1337.4794999999999</v>
      </c>
      <c r="U67" s="3062">
        <f t="shared" ref="U67:U104" si="13">T67*J67</f>
        <v>1337.4794999999999</v>
      </c>
      <c r="V67" s="3062">
        <f>T67*666.67/10000</f>
        <v>89.165745826499986</v>
      </c>
      <c r="X67" s="3062">
        <f t="shared" ref="X67:X104" si="14">U67/$X$250</f>
        <v>786.75264705882353</v>
      </c>
      <c r="Y67" s="3062" t="e">
        <f t="shared" ref="Y67:Y104" si="15">U67/$Y$250</f>
        <v>#DIV/0!</v>
      </c>
      <c r="Z67" s="3062">
        <f t="shared" ref="Z67:Z104" si="16">U67/$Z$250</f>
        <v>668.73974999999996</v>
      </c>
      <c r="AB67" s="3062">
        <f t="shared" si="1"/>
        <v>586.97607938960221</v>
      </c>
      <c r="AC67" s="3062">
        <f>AB67*[3]年期修正系数!$G$9</f>
        <v>891.61666459280571</v>
      </c>
      <c r="AD67" s="3062">
        <f t="shared" si="2"/>
        <v>1337.4249968892086</v>
      </c>
      <c r="AE67" s="3061">
        <f t="shared" si="10"/>
        <v>786.72058640541684</v>
      </c>
      <c r="AF67" s="3061" t="e">
        <f t="shared" si="11"/>
        <v>#DIV/0!</v>
      </c>
      <c r="AG67" s="3061">
        <f t="shared" si="12"/>
        <v>668.71249844460431</v>
      </c>
    </row>
    <row r="68" spans="1:33" hidden="1">
      <c r="A68" s="3054" t="s">
        <v>3577</v>
      </c>
      <c r="B68" s="3054" t="s">
        <v>3224</v>
      </c>
      <c r="C68" s="3054" t="s">
        <v>3283</v>
      </c>
      <c r="D68" s="3054" t="s">
        <v>3578</v>
      </c>
      <c r="E68" s="3054" t="s">
        <v>3114</v>
      </c>
      <c r="F68" s="3054" t="s">
        <v>3579</v>
      </c>
      <c r="G68" s="3054" t="s">
        <v>3369</v>
      </c>
      <c r="H68" s="3054">
        <v>56736.89</v>
      </c>
      <c r="I68" s="3054">
        <v>162338</v>
      </c>
      <c r="J68" s="3054">
        <v>2.86</v>
      </c>
      <c r="K68" s="3054" t="s">
        <v>3580</v>
      </c>
      <c r="L68" s="3054" t="s">
        <v>3581</v>
      </c>
      <c r="M68" s="3054">
        <v>372000</v>
      </c>
      <c r="N68" s="3054">
        <v>22915.15</v>
      </c>
      <c r="O68" s="3054">
        <v>13.52</v>
      </c>
      <c r="P68" s="3054" t="s">
        <v>3231</v>
      </c>
      <c r="R68" s="3054">
        <f>N68*[3]年期修正系数!$G$9</f>
        <v>34808.112849999998</v>
      </c>
      <c r="T68" s="3054">
        <f t="shared" ref="T68:T103" si="17">R68*$V$1</f>
        <v>52212.169274999993</v>
      </c>
      <c r="U68" s="3054">
        <f t="shared" si="13"/>
        <v>149326.80412649998</v>
      </c>
      <c r="V68" s="3054"/>
      <c r="X68" s="3054">
        <f t="shared" si="14"/>
        <v>87839.29654499999</v>
      </c>
      <c r="Y68" s="3054" t="e">
        <f t="shared" si="15"/>
        <v>#DIV/0!</v>
      </c>
      <c r="Z68" s="3054">
        <f t="shared" si="16"/>
        <v>74663.402063249989</v>
      </c>
      <c r="AB68" s="3054">
        <f t="shared" si="1"/>
        <v>65565.807360960389</v>
      </c>
      <c r="AC68" s="3054">
        <f>AB68*[3]年期修正系数!$G$9</f>
        <v>99594.461381298825</v>
      </c>
      <c r="AD68" s="3054">
        <f t="shared" ref="AD68:AD103" si="18">AC68*$V$1</f>
        <v>149391.69207194823</v>
      </c>
      <c r="AE68" s="3054">
        <f t="shared" si="10"/>
        <v>87877.465924675431</v>
      </c>
      <c r="AF68" s="3054" t="e">
        <f t="shared" si="11"/>
        <v>#DIV/0!</v>
      </c>
      <c r="AG68" s="3054">
        <f t="shared" si="12"/>
        <v>74695.846035974115</v>
      </c>
    </row>
    <row r="69" spans="1:33" hidden="1">
      <c r="A69" s="3054" t="s">
        <v>3582</v>
      </c>
      <c r="B69" s="3054" t="s">
        <v>3112</v>
      </c>
      <c r="C69" s="3054" t="s">
        <v>3329</v>
      </c>
      <c r="D69" s="3054" t="s">
        <v>3583</v>
      </c>
      <c r="E69" s="3054" t="s">
        <v>3114</v>
      </c>
      <c r="F69" s="3054" t="s">
        <v>3584</v>
      </c>
      <c r="G69" s="3054" t="s">
        <v>3585</v>
      </c>
      <c r="H69" s="3054">
        <v>20000</v>
      </c>
      <c r="I69" s="3054">
        <v>24000</v>
      </c>
      <c r="J69" s="3054">
        <v>1.2</v>
      </c>
      <c r="K69" s="3054" t="s">
        <v>3580</v>
      </c>
      <c r="L69" s="3054" t="s">
        <v>3586</v>
      </c>
      <c r="M69" s="3054">
        <v>3271</v>
      </c>
      <c r="N69" s="3054">
        <v>1363.11</v>
      </c>
      <c r="O69" s="3054">
        <v>0</v>
      </c>
      <c r="P69" s="3054" t="s">
        <v>3121</v>
      </c>
      <c r="R69" s="3054">
        <f>N69*[3]年期修正系数!$G$9</f>
        <v>2070.5640899999999</v>
      </c>
      <c r="S69" s="3054">
        <f>I69/H69</f>
        <v>1.2</v>
      </c>
      <c r="T69" s="3054">
        <f t="shared" si="17"/>
        <v>3105.8461349999998</v>
      </c>
      <c r="U69" s="3054">
        <f t="shared" si="13"/>
        <v>3727.0153619999996</v>
      </c>
      <c r="V69" s="3054"/>
      <c r="X69" s="3054">
        <f t="shared" si="14"/>
        <v>2192.3619776470587</v>
      </c>
      <c r="Y69" s="3054" t="e">
        <f t="shared" si="15"/>
        <v>#DIV/0!</v>
      </c>
      <c r="Z69" s="3054">
        <f t="shared" si="16"/>
        <v>1863.5076809999998</v>
      </c>
      <c r="AB69" s="3054">
        <f t="shared" si="1"/>
        <v>1635.5</v>
      </c>
      <c r="AC69" s="3054">
        <f>AB69*[3]年期修正系数!$G$9</f>
        <v>2484.3244999999997</v>
      </c>
      <c r="AD69" s="3054">
        <f t="shared" si="18"/>
        <v>3726.4867499999996</v>
      </c>
      <c r="AE69" s="3054">
        <f t="shared" si="10"/>
        <v>2192.0510294117644</v>
      </c>
      <c r="AF69" s="3054" t="e">
        <f t="shared" si="11"/>
        <v>#DIV/0!</v>
      </c>
      <c r="AG69" s="3054">
        <f t="shared" si="12"/>
        <v>1863.2433749999998</v>
      </c>
    </row>
    <row r="70" spans="1:33" hidden="1">
      <c r="A70" s="3054" t="s">
        <v>3587</v>
      </c>
      <c r="B70" s="3054" t="s">
        <v>3112</v>
      </c>
      <c r="C70" s="3054" t="s">
        <v>3329</v>
      </c>
      <c r="D70" s="3054" t="s">
        <v>3583</v>
      </c>
      <c r="E70" s="3054" t="s">
        <v>3114</v>
      </c>
      <c r="F70" s="3054" t="s">
        <v>3588</v>
      </c>
      <c r="G70" s="3054" t="s">
        <v>3585</v>
      </c>
      <c r="H70" s="3054">
        <v>38375</v>
      </c>
      <c r="I70" s="3054">
        <v>46050</v>
      </c>
      <c r="J70" s="3054">
        <v>1.2</v>
      </c>
      <c r="K70" s="3054" t="s">
        <v>3589</v>
      </c>
      <c r="L70" s="3054" t="s">
        <v>3590</v>
      </c>
      <c r="M70" s="3054">
        <v>10703</v>
      </c>
      <c r="N70" s="3054">
        <v>2324.36</v>
      </c>
      <c r="O70" s="3054">
        <v>0</v>
      </c>
      <c r="P70" s="3054" t="s">
        <v>3121</v>
      </c>
      <c r="R70" s="3054">
        <f>N70*[3]年期修正系数!$G$9</f>
        <v>3530.7028399999999</v>
      </c>
      <c r="S70" s="3054">
        <f>I70/H70</f>
        <v>1.2</v>
      </c>
      <c r="T70" s="3054">
        <f t="shared" si="17"/>
        <v>5296.0542599999999</v>
      </c>
      <c r="U70" s="3054">
        <f t="shared" si="13"/>
        <v>6355.265112</v>
      </c>
      <c r="V70" s="3054"/>
      <c r="X70" s="3054">
        <f t="shared" si="14"/>
        <v>3738.3912423529414</v>
      </c>
      <c r="Y70" s="3054" t="e">
        <f t="shared" si="15"/>
        <v>#DIV/0!</v>
      </c>
      <c r="Z70" s="3054">
        <f t="shared" si="16"/>
        <v>3177.632556</v>
      </c>
      <c r="AB70" s="3054">
        <f t="shared" si="1"/>
        <v>2789.0553745928337</v>
      </c>
      <c r="AC70" s="3054">
        <f>AB70*[3]年期修正系数!$G$9</f>
        <v>4236.575114006514</v>
      </c>
      <c r="AD70" s="3054">
        <f t="shared" si="18"/>
        <v>6354.8626710097706</v>
      </c>
      <c r="AE70" s="3054">
        <f t="shared" si="10"/>
        <v>3738.1545123586889</v>
      </c>
      <c r="AF70" s="3054" t="e">
        <f t="shared" si="11"/>
        <v>#DIV/0!</v>
      </c>
      <c r="AG70" s="3054">
        <f t="shared" si="12"/>
        <v>3177.4313355048853</v>
      </c>
    </row>
    <row r="71" spans="1:33" hidden="1">
      <c r="A71" s="3054" t="s">
        <v>3591</v>
      </c>
      <c r="B71" s="3054" t="s">
        <v>3112</v>
      </c>
      <c r="C71" s="3054" t="s">
        <v>3378</v>
      </c>
      <c r="D71" s="3054" t="s">
        <v>3592</v>
      </c>
      <c r="E71" s="3054" t="s">
        <v>3114</v>
      </c>
      <c r="F71" s="3054" t="s">
        <v>3593</v>
      </c>
      <c r="G71" s="3054" t="s">
        <v>6</v>
      </c>
      <c r="H71" s="3054">
        <v>17333.330000000002</v>
      </c>
      <c r="I71" s="3054">
        <v>17333</v>
      </c>
      <c r="J71" s="3054">
        <v>1</v>
      </c>
      <c r="K71" s="3054" t="s">
        <v>3594</v>
      </c>
      <c r="L71" s="3054" t="s">
        <v>3595</v>
      </c>
      <c r="M71" s="3054">
        <v>1659</v>
      </c>
      <c r="N71" s="3054">
        <v>957.57</v>
      </c>
      <c r="O71" s="3054">
        <v>0</v>
      </c>
      <c r="P71" s="3054" t="s">
        <v>3121</v>
      </c>
      <c r="R71" s="3054">
        <f>N71*[3]年期修正系数!$G$9</f>
        <v>1454.54883</v>
      </c>
      <c r="S71" s="3054">
        <f>I71/H71</f>
        <v>0.99998096153480021</v>
      </c>
      <c r="T71" s="3054">
        <f t="shared" si="17"/>
        <v>2181.823245</v>
      </c>
      <c r="U71" s="3054">
        <f t="shared" si="13"/>
        <v>2181.823245</v>
      </c>
      <c r="V71" s="3054"/>
      <c r="X71" s="3054">
        <f t="shared" si="14"/>
        <v>1283.4254382352942</v>
      </c>
      <c r="Y71" s="3054" t="e">
        <f t="shared" si="15"/>
        <v>#DIV/0!</v>
      </c>
      <c r="Z71" s="3054">
        <f t="shared" si="16"/>
        <v>1090.9116225</v>
      </c>
      <c r="AB71" s="3054">
        <f t="shared" si="1"/>
        <v>957.11556867607078</v>
      </c>
      <c r="AC71" s="3054">
        <f>AB71*[3]年期修正系数!$G$9</f>
        <v>1453.8585488189515</v>
      </c>
      <c r="AD71" s="3054">
        <f t="shared" si="18"/>
        <v>2180.7878232284274</v>
      </c>
      <c r="AE71" s="3054">
        <f t="shared" si="10"/>
        <v>1282.8163666049575</v>
      </c>
      <c r="AF71" s="3054" t="e">
        <f t="shared" si="11"/>
        <v>#DIV/0!</v>
      </c>
      <c r="AG71" s="3054">
        <f t="shared" si="12"/>
        <v>1090.3939116142137</v>
      </c>
    </row>
    <row r="72" spans="1:33" hidden="1">
      <c r="A72" s="3054" t="s">
        <v>3596</v>
      </c>
      <c r="B72" s="3054" t="s">
        <v>3112</v>
      </c>
      <c r="C72" s="3054" t="s">
        <v>3378</v>
      </c>
      <c r="D72" s="3054" t="s">
        <v>3592</v>
      </c>
      <c r="E72" s="3054" t="s">
        <v>3114</v>
      </c>
      <c r="F72" s="3054" t="s">
        <v>3597</v>
      </c>
      <c r="G72" s="3054" t="s">
        <v>6</v>
      </c>
      <c r="H72" s="3054">
        <v>17333.330000000002</v>
      </c>
      <c r="I72" s="3054">
        <v>17333</v>
      </c>
      <c r="J72" s="3054">
        <v>1</v>
      </c>
      <c r="K72" s="3054" t="s">
        <v>3594</v>
      </c>
      <c r="L72" s="3054" t="s">
        <v>3598</v>
      </c>
      <c r="M72" s="3054">
        <v>1658</v>
      </c>
      <c r="N72" s="3054">
        <v>956.57</v>
      </c>
      <c r="O72" s="3054">
        <v>0</v>
      </c>
      <c r="P72" s="3054" t="s">
        <v>3121</v>
      </c>
      <c r="R72" s="3054">
        <f>N72*[3]年期修正系数!$G$9</f>
        <v>1453.0298299999999</v>
      </c>
      <c r="S72" s="3054">
        <f>I72/H72</f>
        <v>0.99998096153480021</v>
      </c>
      <c r="T72" s="3054">
        <f t="shared" si="17"/>
        <v>2179.5447450000001</v>
      </c>
      <c r="U72" s="3054">
        <f t="shared" si="13"/>
        <v>2179.5447450000001</v>
      </c>
      <c r="V72" s="3054"/>
      <c r="X72" s="3054">
        <f t="shared" si="14"/>
        <v>1282.0851441176471</v>
      </c>
      <c r="Y72" s="3054" t="e">
        <f t="shared" si="15"/>
        <v>#DIV/0!</v>
      </c>
      <c r="Z72" s="3054">
        <f t="shared" si="16"/>
        <v>1089.7723725000001</v>
      </c>
      <c r="AB72" s="3054">
        <f t="shared" si="1"/>
        <v>956.53864548820093</v>
      </c>
      <c r="AC72" s="3054">
        <f>AB72*[3]年期修正系数!$G$9</f>
        <v>1452.9822024965772</v>
      </c>
      <c r="AD72" s="3054">
        <f t="shared" si="18"/>
        <v>2179.4733037448659</v>
      </c>
      <c r="AE72" s="3054">
        <f t="shared" si="10"/>
        <v>1282.0431198499211</v>
      </c>
      <c r="AF72" s="3054" t="e">
        <f t="shared" si="11"/>
        <v>#DIV/0!</v>
      </c>
      <c r="AG72" s="3054">
        <f t="shared" si="12"/>
        <v>1089.736651872433</v>
      </c>
    </row>
    <row r="73" spans="1:33" hidden="1">
      <c r="A73" s="3054" t="s">
        <v>3599</v>
      </c>
      <c r="B73" s="3054" t="s">
        <v>3224</v>
      </c>
      <c r="C73" s="3054" t="s">
        <v>3600</v>
      </c>
      <c r="D73" s="3054" t="s">
        <v>3601</v>
      </c>
      <c r="E73" s="3054" t="s">
        <v>3114</v>
      </c>
      <c r="F73" s="3054" t="s">
        <v>3602</v>
      </c>
      <c r="G73" s="3054" t="s">
        <v>3344</v>
      </c>
      <c r="H73" s="3054">
        <v>121729.8</v>
      </c>
      <c r="I73" s="3054">
        <v>327948</v>
      </c>
      <c r="J73" s="3054">
        <v>2.69</v>
      </c>
      <c r="K73" s="3054" t="s">
        <v>3603</v>
      </c>
      <c r="L73" s="3054" t="s">
        <v>3604</v>
      </c>
      <c r="M73" s="3054">
        <v>690000</v>
      </c>
      <c r="N73" s="3054">
        <v>21039.91</v>
      </c>
      <c r="O73" s="3054">
        <v>13.23</v>
      </c>
      <c r="P73" s="3054" t="s">
        <v>3231</v>
      </c>
      <c r="R73" s="3054"/>
      <c r="T73" s="3054">
        <f t="shared" si="17"/>
        <v>0</v>
      </c>
      <c r="U73" s="3054">
        <f t="shared" si="13"/>
        <v>0</v>
      </c>
      <c r="V73" s="3054"/>
      <c r="X73" s="3054">
        <f t="shared" si="14"/>
        <v>0</v>
      </c>
      <c r="Y73" s="3054" t="e">
        <f t="shared" si="15"/>
        <v>#DIV/0!</v>
      </c>
      <c r="Z73" s="3054">
        <f t="shared" si="16"/>
        <v>0</v>
      </c>
      <c r="AB73" s="3054">
        <f t="shared" si="1"/>
        <v>56682.915769187166</v>
      </c>
      <c r="AC73" s="3054">
        <f>AB73*[3]年期修正系数!$G$9</f>
        <v>86101.349053395301</v>
      </c>
      <c r="AD73" s="3054">
        <f t="shared" si="18"/>
        <v>129152.02358009295</v>
      </c>
      <c r="AE73" s="3054">
        <f t="shared" si="10"/>
        <v>75971.778576525263</v>
      </c>
      <c r="AF73" s="3054" t="e">
        <f t="shared" si="11"/>
        <v>#DIV/0!</v>
      </c>
      <c r="AG73" s="3054">
        <f t="shared" si="12"/>
        <v>64576.011790046476</v>
      </c>
    </row>
    <row r="74" spans="1:33" hidden="1">
      <c r="A74" s="3054" t="s">
        <v>3605</v>
      </c>
      <c r="B74" s="3054" t="s">
        <v>3112</v>
      </c>
      <c r="C74" s="3054" t="s">
        <v>3329</v>
      </c>
      <c r="D74" s="3054" t="s">
        <v>3558</v>
      </c>
      <c r="E74" s="3054" t="s">
        <v>3114</v>
      </c>
      <c r="F74" s="3054" t="s">
        <v>3606</v>
      </c>
      <c r="G74" s="3054" t="s">
        <v>3560</v>
      </c>
      <c r="H74" s="3054">
        <v>18550.189999999999</v>
      </c>
      <c r="I74" s="3054">
        <v>18550</v>
      </c>
      <c r="J74" s="3054">
        <v>1</v>
      </c>
      <c r="K74" s="3054" t="s">
        <v>3603</v>
      </c>
      <c r="L74" s="3054" t="s">
        <v>3607</v>
      </c>
      <c r="M74" s="3054">
        <v>2221</v>
      </c>
      <c r="N74" s="3054">
        <v>1197.45</v>
      </c>
      <c r="O74" s="3054">
        <v>0</v>
      </c>
      <c r="P74" s="3054" t="s">
        <v>3128</v>
      </c>
      <c r="R74" s="3054"/>
      <c r="T74" s="3054">
        <f t="shared" si="17"/>
        <v>0</v>
      </c>
      <c r="U74" s="3054">
        <f t="shared" si="13"/>
        <v>0</v>
      </c>
      <c r="V74" s="3054"/>
      <c r="X74" s="3054">
        <f t="shared" si="14"/>
        <v>0</v>
      </c>
      <c r="Y74" s="3054" t="e">
        <f t="shared" si="15"/>
        <v>#DIV/0!</v>
      </c>
      <c r="Z74" s="3054">
        <f t="shared" si="16"/>
        <v>0</v>
      </c>
      <c r="AB74" s="3054">
        <f t="shared" si="1"/>
        <v>1197.2923188387829</v>
      </c>
      <c r="AC74" s="3054">
        <f>AB74*[3]年期修正系数!$G$9</f>
        <v>1818.6870323161111</v>
      </c>
      <c r="AD74" s="3054">
        <f t="shared" si="18"/>
        <v>2728.0305484741666</v>
      </c>
      <c r="AE74" s="3054">
        <f t="shared" si="10"/>
        <v>1604.7238520436274</v>
      </c>
      <c r="AF74" s="3054" t="e">
        <f t="shared" si="11"/>
        <v>#DIV/0!</v>
      </c>
      <c r="AG74" s="3054">
        <f t="shared" si="12"/>
        <v>1364.0152742370833</v>
      </c>
    </row>
    <row r="75" spans="1:33" hidden="1">
      <c r="A75" s="3054" t="s">
        <v>3608</v>
      </c>
      <c r="B75" s="3054" t="s">
        <v>3224</v>
      </c>
      <c r="C75" s="3054" t="s">
        <v>3290</v>
      </c>
      <c r="D75" s="3054" t="s">
        <v>3609</v>
      </c>
      <c r="E75" s="3054" t="s">
        <v>3114</v>
      </c>
      <c r="F75" s="3054" t="s">
        <v>3610</v>
      </c>
      <c r="G75" s="3054" t="s">
        <v>3611</v>
      </c>
      <c r="H75" s="3054">
        <v>115895.2</v>
      </c>
      <c r="I75" s="3054">
        <v>176111</v>
      </c>
      <c r="J75" s="3054">
        <v>1.52</v>
      </c>
      <c r="K75" s="3054" t="s">
        <v>3612</v>
      </c>
      <c r="L75" s="3054" t="s">
        <v>3613</v>
      </c>
      <c r="M75" s="3054">
        <v>255500</v>
      </c>
      <c r="N75" s="3054">
        <v>14507.89</v>
      </c>
      <c r="O75" s="3054">
        <v>0</v>
      </c>
      <c r="P75" s="3054" t="s">
        <v>3231</v>
      </c>
      <c r="R75" s="3054"/>
      <c r="T75" s="3054">
        <f t="shared" si="17"/>
        <v>0</v>
      </c>
      <c r="U75" s="3054">
        <f t="shared" si="13"/>
        <v>0</v>
      </c>
      <c r="V75" s="3054"/>
      <c r="X75" s="3054">
        <f t="shared" si="14"/>
        <v>0</v>
      </c>
      <c r="Y75" s="3054" t="e">
        <f t="shared" si="15"/>
        <v>#DIV/0!</v>
      </c>
      <c r="Z75" s="3054">
        <f t="shared" si="16"/>
        <v>0</v>
      </c>
      <c r="AB75" s="3054">
        <f t="shared" si="1"/>
        <v>22045.779290255334</v>
      </c>
      <c r="AC75" s="3054">
        <f>AB75*[3]年期修正系数!$G$9</f>
        <v>33487.53874189785</v>
      </c>
      <c r="AD75" s="3054">
        <f t="shared" si="18"/>
        <v>50231.308112846775</v>
      </c>
      <c r="AE75" s="3054">
        <f t="shared" si="10"/>
        <v>29547.828301674574</v>
      </c>
      <c r="AF75" s="3054" t="e">
        <f t="shared" si="11"/>
        <v>#DIV/0!</v>
      </c>
      <c r="AG75" s="3054">
        <f t="shared" si="12"/>
        <v>25115.654056423387</v>
      </c>
    </row>
    <row r="76" spans="1:33" hidden="1">
      <c r="A76" s="3054" t="s">
        <v>3614</v>
      </c>
      <c r="B76" s="3054" t="s">
        <v>3233</v>
      </c>
      <c r="C76" s="3054" t="s">
        <v>3324</v>
      </c>
      <c r="D76" s="3054" t="s">
        <v>3615</v>
      </c>
      <c r="E76" s="3054" t="s">
        <v>3114</v>
      </c>
      <c r="F76" s="3054" t="s">
        <v>3616</v>
      </c>
      <c r="G76" s="3054" t="s">
        <v>3236</v>
      </c>
      <c r="H76" s="3054">
        <v>21403.13</v>
      </c>
      <c r="I76" s="3054">
        <v>38526</v>
      </c>
      <c r="J76" s="3054">
        <v>1.8</v>
      </c>
      <c r="K76" s="3054" t="s">
        <v>3617</v>
      </c>
      <c r="L76" s="3054" t="s">
        <v>3618</v>
      </c>
      <c r="M76" s="3054">
        <v>92000</v>
      </c>
      <c r="N76" s="3054">
        <v>23879.97</v>
      </c>
      <c r="O76" s="3054">
        <v>29.58</v>
      </c>
      <c r="P76" s="3054" t="s">
        <v>3231</v>
      </c>
      <c r="R76" s="3054"/>
      <c r="T76" s="3054">
        <f t="shared" si="17"/>
        <v>0</v>
      </c>
      <c r="U76" s="3054">
        <f t="shared" si="13"/>
        <v>0</v>
      </c>
      <c r="V76" s="3054"/>
      <c r="X76" s="3054">
        <f t="shared" si="14"/>
        <v>0</v>
      </c>
      <c r="Y76" s="3054" t="e">
        <f t="shared" si="15"/>
        <v>#DIV/0!</v>
      </c>
      <c r="Z76" s="3054">
        <f t="shared" si="16"/>
        <v>0</v>
      </c>
      <c r="AB76" s="3054">
        <f t="shared" si="1"/>
        <v>42984.367239744839</v>
      </c>
      <c r="AC76" s="3054">
        <f>AB76*[3]年期修正系数!$G$9</f>
        <v>65293.253837172408</v>
      </c>
      <c r="AD76" s="3054">
        <f t="shared" si="18"/>
        <v>97939.880755758611</v>
      </c>
      <c r="AE76" s="3054">
        <f t="shared" si="10"/>
        <v>57611.694562210949</v>
      </c>
      <c r="AF76" s="3054" t="e">
        <f t="shared" si="11"/>
        <v>#DIV/0!</v>
      </c>
      <c r="AG76" s="3054">
        <f t="shared" si="12"/>
        <v>48969.940377879306</v>
      </c>
    </row>
    <row r="77" spans="1:33" hidden="1">
      <c r="A77" s="3054" t="s">
        <v>3619</v>
      </c>
      <c r="B77" s="3054" t="s">
        <v>3233</v>
      </c>
      <c r="C77" s="3054" t="s">
        <v>3324</v>
      </c>
      <c r="D77" s="3054" t="s">
        <v>3620</v>
      </c>
      <c r="E77" s="3054" t="s">
        <v>3114</v>
      </c>
      <c r="F77" s="3054" t="s">
        <v>3621</v>
      </c>
      <c r="G77" s="3054" t="s">
        <v>3236</v>
      </c>
      <c r="H77" s="3054">
        <v>43325.9</v>
      </c>
      <c r="I77" s="3054">
        <v>64988</v>
      </c>
      <c r="J77" s="3054">
        <v>1.5</v>
      </c>
      <c r="K77" s="3054" t="s">
        <v>3617</v>
      </c>
      <c r="L77" s="3054" t="s">
        <v>3622</v>
      </c>
      <c r="M77" s="3054">
        <v>204000</v>
      </c>
      <c r="N77" s="3054">
        <v>31390.400000000001</v>
      </c>
      <c r="O77" s="3054">
        <v>7.37</v>
      </c>
      <c r="P77" s="3054" t="s">
        <v>3231</v>
      </c>
      <c r="R77" s="3054"/>
      <c r="T77" s="3054">
        <f t="shared" si="17"/>
        <v>0</v>
      </c>
      <c r="U77" s="3054">
        <f t="shared" si="13"/>
        <v>0</v>
      </c>
      <c r="V77" s="3054"/>
      <c r="X77" s="3054">
        <f t="shared" si="14"/>
        <v>0</v>
      </c>
      <c r="Y77" s="3054" t="e">
        <f t="shared" si="15"/>
        <v>#DIV/0!</v>
      </c>
      <c r="Z77" s="3054">
        <f t="shared" si="16"/>
        <v>0</v>
      </c>
      <c r="AB77" s="3054">
        <f t="shared" si="1"/>
        <v>47084.999965378673</v>
      </c>
      <c r="AC77" s="3054">
        <f>AB77*[3]年期修正系数!$G$9</f>
        <v>71522.114947410199</v>
      </c>
      <c r="AD77" s="3054">
        <f t="shared" si="18"/>
        <v>107283.17242111531</v>
      </c>
      <c r="AE77" s="3054">
        <f t="shared" si="10"/>
        <v>63107.748483009003</v>
      </c>
      <c r="AF77" s="3054" t="e">
        <f t="shared" si="11"/>
        <v>#DIV/0!</v>
      </c>
      <c r="AG77" s="3054">
        <f t="shared" si="12"/>
        <v>53641.586210557653</v>
      </c>
    </row>
    <row r="78" spans="1:33" hidden="1">
      <c r="A78" s="3054" t="s">
        <v>3623</v>
      </c>
      <c r="B78" s="3054" t="s">
        <v>3224</v>
      </c>
      <c r="C78" s="3054" t="s">
        <v>3324</v>
      </c>
      <c r="D78" s="3054" t="s">
        <v>3624</v>
      </c>
      <c r="E78" s="3054" t="s">
        <v>3114</v>
      </c>
      <c r="F78" s="3054" t="s">
        <v>3625</v>
      </c>
      <c r="G78" s="3054" t="s">
        <v>3227</v>
      </c>
      <c r="H78" s="3054">
        <v>28367.279999999999</v>
      </c>
      <c r="I78" s="3054">
        <v>42028</v>
      </c>
      <c r="J78" s="3054">
        <v>1.48</v>
      </c>
      <c r="K78" s="3054" t="s">
        <v>3626</v>
      </c>
      <c r="L78" s="3054" t="s">
        <v>3357</v>
      </c>
      <c r="M78" s="3054">
        <v>88500</v>
      </c>
      <c r="N78" s="3054">
        <v>21057.38</v>
      </c>
      <c r="O78" s="3054">
        <v>16.45</v>
      </c>
      <c r="P78" s="3054" t="s">
        <v>3231</v>
      </c>
      <c r="R78" s="3054"/>
      <c r="T78" s="3054">
        <f t="shared" si="17"/>
        <v>0</v>
      </c>
      <c r="U78" s="3054">
        <f t="shared" si="13"/>
        <v>0</v>
      </c>
      <c r="V78" s="3054"/>
      <c r="X78" s="3054">
        <f t="shared" si="14"/>
        <v>0</v>
      </c>
      <c r="Y78" s="3054" t="e">
        <f t="shared" si="15"/>
        <v>#DIV/0!</v>
      </c>
      <c r="Z78" s="3054">
        <f t="shared" si="16"/>
        <v>0</v>
      </c>
      <c r="AB78" s="3054">
        <f t="shared" si="1"/>
        <v>31197.915344721103</v>
      </c>
      <c r="AC78" s="3054">
        <f>AB78*[3]年期修正系数!$G$9</f>
        <v>47389.633408631351</v>
      </c>
      <c r="AD78" s="3054">
        <f t="shared" si="18"/>
        <v>71084.45011294703</v>
      </c>
      <c r="AE78" s="3054">
        <f t="shared" si="10"/>
        <v>41814.382419380607</v>
      </c>
      <c r="AF78" s="3054" t="e">
        <f t="shared" si="11"/>
        <v>#DIV/0!</v>
      </c>
      <c r="AG78" s="3054">
        <f t="shared" si="12"/>
        <v>35542.225056473515</v>
      </c>
    </row>
    <row r="79" spans="1:33" hidden="1">
      <c r="A79" s="3054" t="s">
        <v>3627</v>
      </c>
      <c r="B79" s="3054" t="s">
        <v>3224</v>
      </c>
      <c r="C79" s="3054" t="s">
        <v>3324</v>
      </c>
      <c r="D79" s="3054" t="s">
        <v>3628</v>
      </c>
      <c r="E79" s="3054" t="s">
        <v>3114</v>
      </c>
      <c r="F79" s="3054" t="s">
        <v>3629</v>
      </c>
      <c r="G79" s="3054" t="s">
        <v>3630</v>
      </c>
      <c r="H79" s="3054">
        <v>69856.02</v>
      </c>
      <c r="I79" s="3054">
        <v>104180</v>
      </c>
      <c r="J79" s="3054">
        <v>1.49</v>
      </c>
      <c r="K79" s="3054" t="s">
        <v>3626</v>
      </c>
      <c r="L79" s="3054" t="s">
        <v>3631</v>
      </c>
      <c r="M79" s="3054">
        <v>233000</v>
      </c>
      <c r="N79" s="3054">
        <v>22365.13</v>
      </c>
      <c r="O79" s="3054">
        <v>22.63</v>
      </c>
      <c r="P79" s="3054" t="s">
        <v>3231</v>
      </c>
      <c r="R79" s="3054"/>
      <c r="T79" s="3054">
        <f t="shared" si="17"/>
        <v>0</v>
      </c>
      <c r="U79" s="3054">
        <f t="shared" si="13"/>
        <v>0</v>
      </c>
      <c r="V79" s="3054"/>
      <c r="X79" s="3054">
        <f t="shared" si="14"/>
        <v>0</v>
      </c>
      <c r="Y79" s="3054" t="e">
        <f t="shared" si="15"/>
        <v>#DIV/0!</v>
      </c>
      <c r="Z79" s="3054">
        <f t="shared" si="16"/>
        <v>0</v>
      </c>
      <c r="AB79" s="3054">
        <f t="shared" si="1"/>
        <v>33354.319355726249</v>
      </c>
      <c r="AC79" s="3054">
        <f>AB79*[3]年期修正系数!$G$9</f>
        <v>50665.21110134817</v>
      </c>
      <c r="AD79" s="3054">
        <f t="shared" si="18"/>
        <v>75997.816652022258</v>
      </c>
      <c r="AE79" s="3054">
        <f t="shared" si="10"/>
        <v>44704.59803060133</v>
      </c>
      <c r="AF79" s="3054" t="e">
        <f t="shared" si="11"/>
        <v>#DIV/0!</v>
      </c>
      <c r="AG79" s="3054">
        <f t="shared" si="12"/>
        <v>37998.908326011129</v>
      </c>
    </row>
    <row r="80" spans="1:33" hidden="1">
      <c r="A80" s="3054" t="s">
        <v>3632</v>
      </c>
      <c r="B80" s="3054" t="s">
        <v>3233</v>
      </c>
      <c r="C80" s="3054" t="s">
        <v>3113</v>
      </c>
      <c r="D80" s="3054" t="s">
        <v>3633</v>
      </c>
      <c r="E80" s="3054" t="s">
        <v>3114</v>
      </c>
      <c r="F80" s="3054" t="s">
        <v>3634</v>
      </c>
      <c r="G80" s="3054" t="s">
        <v>3236</v>
      </c>
      <c r="H80" s="3054">
        <v>54637.78</v>
      </c>
      <c r="I80" s="3054">
        <v>57370</v>
      </c>
      <c r="J80" s="3054">
        <v>1.05</v>
      </c>
      <c r="K80" s="3054" t="s">
        <v>3635</v>
      </c>
      <c r="L80" s="3054" t="s">
        <v>3636</v>
      </c>
      <c r="M80" s="3054">
        <v>94000</v>
      </c>
      <c r="N80" s="3054">
        <v>16384.86</v>
      </c>
      <c r="O80" s="3054">
        <v>27.11</v>
      </c>
      <c r="P80" s="3054" t="s">
        <v>3231</v>
      </c>
      <c r="R80" s="3054"/>
      <c r="T80" s="3054">
        <f t="shared" si="17"/>
        <v>0</v>
      </c>
      <c r="U80" s="3054">
        <f t="shared" si="13"/>
        <v>0</v>
      </c>
      <c r="V80" s="3054"/>
      <c r="X80" s="3054">
        <f t="shared" si="14"/>
        <v>0</v>
      </c>
      <c r="Y80" s="3054" t="e">
        <f t="shared" si="15"/>
        <v>#DIV/0!</v>
      </c>
      <c r="Z80" s="3054">
        <f t="shared" si="16"/>
        <v>0</v>
      </c>
      <c r="AB80" s="3054">
        <f t="shared" si="1"/>
        <v>17204.212909089645</v>
      </c>
      <c r="AC80" s="3054">
        <f>AB80*[3]年期修正系数!$G$9</f>
        <v>26133.19940890717</v>
      </c>
      <c r="AD80" s="3054">
        <f t="shared" si="18"/>
        <v>39199.799113360757</v>
      </c>
      <c r="AE80" s="3054">
        <f t="shared" si="10"/>
        <v>23058.705360800446</v>
      </c>
      <c r="AF80" s="3054" t="e">
        <f t="shared" si="11"/>
        <v>#DIV/0!</v>
      </c>
      <c r="AG80" s="3054">
        <f t="shared" si="12"/>
        <v>19599.899556680379</v>
      </c>
    </row>
    <row r="81" spans="1:33" hidden="1">
      <c r="A81" s="3054" t="s">
        <v>3637</v>
      </c>
      <c r="B81" s="3054" t="s">
        <v>3233</v>
      </c>
      <c r="C81" s="3054" t="s">
        <v>3324</v>
      </c>
      <c r="D81" s="3054" t="s">
        <v>3624</v>
      </c>
      <c r="E81" s="3054" t="s">
        <v>3114</v>
      </c>
      <c r="F81" s="3054" t="s">
        <v>3638</v>
      </c>
      <c r="G81" s="3054" t="s">
        <v>3236</v>
      </c>
      <c r="H81" s="3054">
        <v>41663.440000000002</v>
      </c>
      <c r="I81" s="3054">
        <v>70828</v>
      </c>
      <c r="J81" s="3054">
        <v>1.7</v>
      </c>
      <c r="K81" s="3054" t="s">
        <v>3635</v>
      </c>
      <c r="L81" s="3054" t="s">
        <v>3639</v>
      </c>
      <c r="M81" s="3054">
        <v>77900</v>
      </c>
      <c r="N81" s="3054">
        <v>10998.47</v>
      </c>
      <c r="O81" s="3054">
        <v>1.56</v>
      </c>
      <c r="P81" s="3054" t="s">
        <v>3231</v>
      </c>
      <c r="R81" s="3054"/>
      <c r="T81" s="3054">
        <f t="shared" si="17"/>
        <v>0</v>
      </c>
      <c r="U81" s="3054">
        <f t="shared" si="13"/>
        <v>0</v>
      </c>
      <c r="V81" s="3054"/>
      <c r="X81" s="3054">
        <f t="shared" si="14"/>
        <v>0</v>
      </c>
      <c r="Y81" s="3054" t="e">
        <f t="shared" si="15"/>
        <v>#DIV/0!</v>
      </c>
      <c r="Z81" s="3054">
        <f t="shared" si="16"/>
        <v>0</v>
      </c>
      <c r="AB81" s="3054">
        <f t="shared" si="1"/>
        <v>18697.447930367725</v>
      </c>
      <c r="AC81" s="3054">
        <f>AB81*[3]年期修正系数!$G$9</f>
        <v>28401.423406228572</v>
      </c>
      <c r="AD81" s="3054">
        <f t="shared" si="18"/>
        <v>42602.13510934286</v>
      </c>
      <c r="AE81" s="3054">
        <f t="shared" si="10"/>
        <v>25060.079476084036</v>
      </c>
      <c r="AF81" s="3054" t="e">
        <f t="shared" si="11"/>
        <v>#DIV/0!</v>
      </c>
      <c r="AG81" s="3054">
        <f t="shared" si="12"/>
        <v>21301.06755467143</v>
      </c>
    </row>
    <row r="82" spans="1:33" hidden="1">
      <c r="A82" s="3054" t="s">
        <v>3640</v>
      </c>
      <c r="B82" s="3054" t="s">
        <v>3233</v>
      </c>
      <c r="C82" s="3054" t="s">
        <v>3511</v>
      </c>
      <c r="D82" s="3054" t="s">
        <v>3641</v>
      </c>
      <c r="E82" s="3054" t="s">
        <v>3114</v>
      </c>
      <c r="F82" s="3054" t="s">
        <v>3642</v>
      </c>
      <c r="G82" s="3054" t="s">
        <v>3236</v>
      </c>
      <c r="H82" s="3054">
        <v>5690.63</v>
      </c>
      <c r="I82" s="3054">
        <v>13658</v>
      </c>
      <c r="J82" s="3054">
        <v>2.4</v>
      </c>
      <c r="K82" s="3054" t="s">
        <v>3635</v>
      </c>
      <c r="L82" s="3054" t="s">
        <v>3643</v>
      </c>
      <c r="M82" s="3054">
        <v>8200</v>
      </c>
      <c r="N82" s="3054">
        <v>6003.81</v>
      </c>
      <c r="O82" s="3054">
        <v>17.649999999999999</v>
      </c>
      <c r="P82" s="3054" t="s">
        <v>3231</v>
      </c>
      <c r="R82" s="3054"/>
      <c r="T82" s="3054">
        <f t="shared" si="17"/>
        <v>0</v>
      </c>
      <c r="U82" s="3054">
        <f t="shared" si="13"/>
        <v>0</v>
      </c>
      <c r="V82" s="3054"/>
      <c r="X82" s="3054">
        <f t="shared" si="14"/>
        <v>0</v>
      </c>
      <c r="Y82" s="3054" t="e">
        <f t="shared" si="15"/>
        <v>#DIV/0!</v>
      </c>
      <c r="Z82" s="3054">
        <f t="shared" si="16"/>
        <v>0</v>
      </c>
      <c r="AB82" s="3054">
        <f t="shared" si="1"/>
        <v>14409.65235835048</v>
      </c>
      <c r="AC82" s="3054">
        <f>AB82*[3]年期修正系数!$G$9</f>
        <v>21888.261932334379</v>
      </c>
      <c r="AD82" s="3054">
        <f t="shared" si="18"/>
        <v>32832.392898501566</v>
      </c>
      <c r="AE82" s="3054">
        <f t="shared" si="10"/>
        <v>19313.172293236217</v>
      </c>
      <c r="AF82" s="3054" t="e">
        <f t="shared" si="11"/>
        <v>#DIV/0!</v>
      </c>
      <c r="AG82" s="3054">
        <f t="shared" si="12"/>
        <v>16416.196449250783</v>
      </c>
    </row>
    <row r="83" spans="1:33" hidden="1">
      <c r="A83" s="3054" t="s">
        <v>3644</v>
      </c>
      <c r="B83" s="3054" t="s">
        <v>3233</v>
      </c>
      <c r="C83" s="3054" t="s">
        <v>3283</v>
      </c>
      <c r="D83" s="3054" t="s">
        <v>3645</v>
      </c>
      <c r="E83" s="3054" t="s">
        <v>3114</v>
      </c>
      <c r="F83" s="3054" t="s">
        <v>3646</v>
      </c>
      <c r="G83" s="3054" t="s">
        <v>3236</v>
      </c>
      <c r="H83" s="3054">
        <v>43166.27</v>
      </c>
      <c r="I83" s="3054">
        <v>131841</v>
      </c>
      <c r="J83" s="3054">
        <v>3.05</v>
      </c>
      <c r="K83" s="3054" t="s">
        <v>3635</v>
      </c>
      <c r="L83" s="3054" t="s">
        <v>3647</v>
      </c>
      <c r="M83" s="3054">
        <v>584000</v>
      </c>
      <c r="N83" s="3054">
        <v>44295.77</v>
      </c>
      <c r="O83" s="3054">
        <v>26.3</v>
      </c>
      <c r="P83" s="3054" t="s">
        <v>3231</v>
      </c>
      <c r="R83" s="3054"/>
      <c r="T83" s="3054">
        <f t="shared" si="17"/>
        <v>0</v>
      </c>
      <c r="U83" s="3054">
        <f t="shared" si="13"/>
        <v>0</v>
      </c>
      <c r="V83" s="3054"/>
      <c r="X83" s="3054">
        <f t="shared" si="14"/>
        <v>0</v>
      </c>
      <c r="Y83" s="3054" t="e">
        <f t="shared" si="15"/>
        <v>#DIV/0!</v>
      </c>
      <c r="Z83" s="3054">
        <f t="shared" si="16"/>
        <v>0</v>
      </c>
      <c r="AB83" s="3054">
        <f t="shared" si="1"/>
        <v>135290.81850250208</v>
      </c>
      <c r="AC83" s="3054">
        <f>AB83*[3]年期修正系数!$G$9</f>
        <v>205506.75330530063</v>
      </c>
      <c r="AD83" s="3054">
        <f t="shared" si="18"/>
        <v>308260.12995795097</v>
      </c>
      <c r="AE83" s="3054">
        <f t="shared" si="10"/>
        <v>181329.48821055939</v>
      </c>
      <c r="AF83" s="3054" t="e">
        <f t="shared" si="11"/>
        <v>#DIV/0!</v>
      </c>
      <c r="AG83" s="3054">
        <f t="shared" si="12"/>
        <v>154130.06497897548</v>
      </c>
    </row>
    <row r="84" spans="1:33" hidden="1">
      <c r="A84" s="3054" t="s">
        <v>3648</v>
      </c>
      <c r="B84" s="3054" t="s">
        <v>3240</v>
      </c>
      <c r="C84" s="3054" t="s">
        <v>3600</v>
      </c>
      <c r="D84" s="3054" t="s">
        <v>3601</v>
      </c>
      <c r="E84" s="3054" t="s">
        <v>3114</v>
      </c>
      <c r="F84" s="3054" t="s">
        <v>3649</v>
      </c>
      <c r="G84" s="3054" t="s">
        <v>3312</v>
      </c>
      <c r="H84" s="3054">
        <v>28622.32</v>
      </c>
      <c r="I84" s="3054">
        <v>71556</v>
      </c>
      <c r="J84" s="3054">
        <v>2.5</v>
      </c>
      <c r="K84" s="3054" t="s">
        <v>3635</v>
      </c>
      <c r="L84" s="3054" t="s">
        <v>3650</v>
      </c>
      <c r="M84" s="3054">
        <v>132000</v>
      </c>
      <c r="N84" s="3054">
        <v>18447.09</v>
      </c>
      <c r="O84" s="3054">
        <v>0</v>
      </c>
      <c r="P84" s="3054" t="s">
        <v>3358</v>
      </c>
      <c r="R84" s="3054"/>
      <c r="T84" s="3054">
        <f t="shared" si="17"/>
        <v>0</v>
      </c>
      <c r="U84" s="3054">
        <f t="shared" si="13"/>
        <v>0</v>
      </c>
      <c r="V84" s="3054"/>
      <c r="X84" s="3054">
        <f t="shared" si="14"/>
        <v>0</v>
      </c>
      <c r="Y84" s="3054" t="e">
        <f t="shared" si="15"/>
        <v>#DIV/0!</v>
      </c>
      <c r="Z84" s="3054">
        <f t="shared" si="16"/>
        <v>0</v>
      </c>
      <c r="AB84" s="3054">
        <f t="shared" si="1"/>
        <v>46117.854876893281</v>
      </c>
      <c r="AC84" s="3054">
        <f>AB84*[3]年期修正系数!$G$9</f>
        <v>70053.021558000895</v>
      </c>
      <c r="AD84" s="3054">
        <f t="shared" si="18"/>
        <v>105079.53233700135</v>
      </c>
      <c r="AE84" s="3054">
        <f t="shared" si="10"/>
        <v>61811.489610000797</v>
      </c>
      <c r="AF84" s="3054" t="e">
        <f t="shared" si="11"/>
        <v>#DIV/0!</v>
      </c>
      <c r="AG84" s="3054">
        <f t="shared" si="12"/>
        <v>52539.766168500675</v>
      </c>
    </row>
    <row r="85" spans="1:33" hidden="1">
      <c r="A85" s="3054" t="s">
        <v>3651</v>
      </c>
      <c r="B85" s="3054" t="s">
        <v>3233</v>
      </c>
      <c r="C85" s="3054" t="s">
        <v>3113</v>
      </c>
      <c r="D85" s="3054" t="s">
        <v>3633</v>
      </c>
      <c r="E85" s="3054" t="s">
        <v>3114</v>
      </c>
      <c r="F85" s="3054" t="s">
        <v>3652</v>
      </c>
      <c r="G85" s="3054" t="s">
        <v>3236</v>
      </c>
      <c r="H85" s="3054">
        <v>87590.77</v>
      </c>
      <c r="I85" s="3054">
        <v>91970</v>
      </c>
      <c r="J85" s="3054">
        <v>1.05</v>
      </c>
      <c r="K85" s="3054" t="s">
        <v>3635</v>
      </c>
      <c r="L85" s="3054" t="s">
        <v>3653</v>
      </c>
      <c r="M85" s="3054">
        <v>177000</v>
      </c>
      <c r="N85" s="3054">
        <v>19245.400000000001</v>
      </c>
      <c r="O85" s="3054">
        <v>49.3</v>
      </c>
      <c r="P85" s="3054" t="s">
        <v>3231</v>
      </c>
      <c r="R85" s="3054"/>
      <c r="T85" s="3054">
        <f t="shared" si="17"/>
        <v>0</v>
      </c>
      <c r="U85" s="3054">
        <f t="shared" si="13"/>
        <v>0</v>
      </c>
      <c r="V85" s="3054"/>
      <c r="X85" s="3054">
        <f t="shared" si="14"/>
        <v>0</v>
      </c>
      <c r="Y85" s="3054" t="e">
        <f t="shared" si="15"/>
        <v>#DIV/0!</v>
      </c>
      <c r="Z85" s="3054">
        <f t="shared" si="16"/>
        <v>0</v>
      </c>
      <c r="AB85" s="3054">
        <f t="shared" ref="AB85:AB119" si="19">M85*10000/H85</f>
        <v>20207.608632736075</v>
      </c>
      <c r="AC85" s="3054">
        <f>AB85*[3]年期修正系数!$G$9</f>
        <v>30695.357513126095</v>
      </c>
      <c r="AD85" s="3054">
        <f t="shared" si="18"/>
        <v>46043.036269689139</v>
      </c>
      <c r="AE85" s="3054">
        <f t="shared" ref="AE85:AE116" si="20">AD85/$X$250</f>
        <v>27084.138982170083</v>
      </c>
      <c r="AF85" s="3054" t="e">
        <f t="shared" ref="AF85:AF117" si="21">AD85/$Y$250</f>
        <v>#DIV/0!</v>
      </c>
      <c r="AG85" s="3054">
        <f t="shared" ref="AG85:AG117" si="22">AD85/$Z$250</f>
        <v>23021.518134844569</v>
      </c>
    </row>
    <row r="86" spans="1:33" hidden="1">
      <c r="A86" s="3054" t="s">
        <v>3654</v>
      </c>
      <c r="B86" s="3054" t="s">
        <v>3233</v>
      </c>
      <c r="C86" s="3054" t="s">
        <v>3324</v>
      </c>
      <c r="D86" s="3054" t="s">
        <v>3655</v>
      </c>
      <c r="E86" s="3054" t="s">
        <v>3114</v>
      </c>
      <c r="F86" s="3054" t="s">
        <v>3656</v>
      </c>
      <c r="G86" s="3054" t="s">
        <v>3236</v>
      </c>
      <c r="H86" s="3054">
        <v>66475.23</v>
      </c>
      <c r="I86" s="3054">
        <v>132950</v>
      </c>
      <c r="J86" s="3054">
        <v>2</v>
      </c>
      <c r="K86" s="3054" t="s">
        <v>3635</v>
      </c>
      <c r="L86" s="3054" t="s">
        <v>3657</v>
      </c>
      <c r="M86" s="3054">
        <v>450000</v>
      </c>
      <c r="N86" s="3054">
        <v>33847.300000000003</v>
      </c>
      <c r="O86" s="3054">
        <v>18.420000000000002</v>
      </c>
      <c r="P86" s="3054" t="s">
        <v>3231</v>
      </c>
      <c r="R86" s="3054"/>
      <c r="T86" s="3054">
        <f t="shared" si="17"/>
        <v>0</v>
      </c>
      <c r="U86" s="3054">
        <f t="shared" si="13"/>
        <v>0</v>
      </c>
      <c r="V86" s="3054"/>
      <c r="X86" s="3054">
        <f t="shared" si="14"/>
        <v>0</v>
      </c>
      <c r="Y86" s="3054" t="e">
        <f t="shared" si="15"/>
        <v>#DIV/0!</v>
      </c>
      <c r="Z86" s="3054">
        <f t="shared" si="16"/>
        <v>0</v>
      </c>
      <c r="AB86" s="3054">
        <f t="shared" si="19"/>
        <v>67694.387819342635</v>
      </c>
      <c r="AC86" s="3054">
        <f>AB86*[3]年期修正系数!$G$9</f>
        <v>102827.77509758146</v>
      </c>
      <c r="AD86" s="3054">
        <f t="shared" si="18"/>
        <v>154241.66264637219</v>
      </c>
      <c r="AE86" s="3054">
        <f t="shared" si="20"/>
        <v>90730.389791983645</v>
      </c>
      <c r="AF86" s="3054" t="e">
        <f t="shared" si="21"/>
        <v>#DIV/0!</v>
      </c>
      <c r="AG86" s="3054">
        <f t="shared" si="22"/>
        <v>77120.831323186096</v>
      </c>
    </row>
    <row r="87" spans="1:33" hidden="1">
      <c r="A87" s="3054" t="s">
        <v>3658</v>
      </c>
      <c r="B87" s="3054" t="s">
        <v>3224</v>
      </c>
      <c r="C87" s="3054" t="s">
        <v>3324</v>
      </c>
      <c r="D87" s="3054" t="s">
        <v>3655</v>
      </c>
      <c r="E87" s="3054" t="s">
        <v>3114</v>
      </c>
      <c r="F87" s="3054" t="s">
        <v>3659</v>
      </c>
      <c r="G87" s="3054" t="s">
        <v>3227</v>
      </c>
      <c r="H87" s="3054">
        <v>76571.12</v>
      </c>
      <c r="I87" s="3054">
        <v>132728</v>
      </c>
      <c r="J87" s="3054">
        <v>1.73</v>
      </c>
      <c r="K87" s="3054" t="s">
        <v>3635</v>
      </c>
      <c r="L87" s="3054" t="s">
        <v>3660</v>
      </c>
      <c r="M87" s="3054">
        <v>194500</v>
      </c>
      <c r="N87" s="3054">
        <v>14654.03</v>
      </c>
      <c r="O87" s="3054">
        <v>17.88</v>
      </c>
      <c r="P87" s="3054" t="s">
        <v>3231</v>
      </c>
      <c r="R87" s="3054"/>
      <c r="T87" s="3054">
        <f t="shared" si="17"/>
        <v>0</v>
      </c>
      <c r="U87" s="3054">
        <f t="shared" si="13"/>
        <v>0</v>
      </c>
      <c r="V87" s="3054"/>
      <c r="X87" s="3054">
        <f t="shared" si="14"/>
        <v>0</v>
      </c>
      <c r="Y87" s="3054" t="e">
        <f t="shared" si="15"/>
        <v>#DIV/0!</v>
      </c>
      <c r="Z87" s="3054">
        <f t="shared" si="16"/>
        <v>0</v>
      </c>
      <c r="AB87" s="3054">
        <f t="shared" si="19"/>
        <v>25401.221766117567</v>
      </c>
      <c r="AC87" s="3054">
        <f>AB87*[3]年期修正系数!$G$9</f>
        <v>38584.455862732582</v>
      </c>
      <c r="AD87" s="3054">
        <f t="shared" si="18"/>
        <v>57876.683794098877</v>
      </c>
      <c r="AE87" s="3054">
        <f t="shared" si="20"/>
        <v>34045.108114175811</v>
      </c>
      <c r="AF87" s="3054" t="e">
        <f t="shared" si="21"/>
        <v>#DIV/0!</v>
      </c>
      <c r="AG87" s="3054">
        <f t="shared" si="22"/>
        <v>28938.341897049439</v>
      </c>
    </row>
    <row r="88" spans="1:33" hidden="1">
      <c r="A88" s="3054" t="s">
        <v>3661</v>
      </c>
      <c r="B88" s="3054" t="s">
        <v>3224</v>
      </c>
      <c r="C88" s="3054" t="s">
        <v>3283</v>
      </c>
      <c r="D88" s="3054" t="s">
        <v>3645</v>
      </c>
      <c r="E88" s="3054" t="s">
        <v>3114</v>
      </c>
      <c r="F88" s="3054" t="s">
        <v>3662</v>
      </c>
      <c r="G88" s="3054" t="s">
        <v>3227</v>
      </c>
      <c r="H88" s="3054">
        <v>58664.08</v>
      </c>
      <c r="I88" s="3054">
        <v>163477</v>
      </c>
      <c r="J88" s="3054">
        <v>2.79</v>
      </c>
      <c r="K88" s="3054" t="s">
        <v>3635</v>
      </c>
      <c r="L88" s="3054" t="s">
        <v>3663</v>
      </c>
      <c r="M88" s="3054">
        <v>702000</v>
      </c>
      <c r="N88" s="3054">
        <v>42941.81</v>
      </c>
      <c r="O88" s="3054">
        <v>25.36</v>
      </c>
      <c r="P88" s="3054" t="s">
        <v>3231</v>
      </c>
      <c r="R88" s="3054"/>
      <c r="T88" s="3054">
        <f t="shared" si="17"/>
        <v>0</v>
      </c>
      <c r="U88" s="3054">
        <f t="shared" si="13"/>
        <v>0</v>
      </c>
      <c r="V88" s="3054"/>
      <c r="X88" s="3054">
        <f t="shared" si="14"/>
        <v>0</v>
      </c>
      <c r="Y88" s="3054" t="e">
        <f t="shared" si="15"/>
        <v>#DIV/0!</v>
      </c>
      <c r="Z88" s="3054">
        <f t="shared" si="16"/>
        <v>0</v>
      </c>
      <c r="AB88" s="3054">
        <f t="shared" si="19"/>
        <v>119664.3670198186</v>
      </c>
      <c r="AC88" s="3054">
        <f>AB88*[3]年期修正系数!$G$9</f>
        <v>181770.17350310445</v>
      </c>
      <c r="AD88" s="3054">
        <f t="shared" si="18"/>
        <v>272655.26025465666</v>
      </c>
      <c r="AE88" s="3054">
        <f t="shared" si="20"/>
        <v>160385.44720862157</v>
      </c>
      <c r="AF88" s="3054" t="e">
        <f t="shared" si="21"/>
        <v>#DIV/0!</v>
      </c>
      <c r="AG88" s="3054">
        <f t="shared" si="22"/>
        <v>136327.63012732833</v>
      </c>
    </row>
    <row r="89" spans="1:33" hidden="1">
      <c r="A89" s="3054" t="s">
        <v>3664</v>
      </c>
      <c r="B89" s="3054" t="s">
        <v>3224</v>
      </c>
      <c r="C89" s="3054" t="s">
        <v>3329</v>
      </c>
      <c r="D89" s="3054" t="s">
        <v>3665</v>
      </c>
      <c r="E89" s="3054" t="s">
        <v>3114</v>
      </c>
      <c r="F89" s="3054" t="s">
        <v>3666</v>
      </c>
      <c r="G89" s="3054" t="s">
        <v>3320</v>
      </c>
      <c r="H89" s="3054">
        <v>60622</v>
      </c>
      <c r="I89" s="3054">
        <v>157573</v>
      </c>
      <c r="J89" s="3054">
        <v>2.6</v>
      </c>
      <c r="K89" s="3054" t="s">
        <v>3635</v>
      </c>
      <c r="L89" s="3054" t="s">
        <v>3667</v>
      </c>
      <c r="M89" s="3054">
        <v>253350</v>
      </c>
      <c r="N89" s="3054">
        <v>16078.26</v>
      </c>
      <c r="O89" s="3054">
        <v>1.5</v>
      </c>
      <c r="P89" s="3054" t="s">
        <v>3231</v>
      </c>
      <c r="R89" s="3054"/>
      <c r="T89" s="3054">
        <f t="shared" si="17"/>
        <v>0</v>
      </c>
      <c r="U89" s="3054">
        <f t="shared" si="13"/>
        <v>0</v>
      </c>
      <c r="V89" s="3054"/>
      <c r="X89" s="3054">
        <f t="shared" si="14"/>
        <v>0</v>
      </c>
      <c r="Y89" s="3054" t="e">
        <f t="shared" si="15"/>
        <v>#DIV/0!</v>
      </c>
      <c r="Z89" s="3054">
        <f t="shared" si="16"/>
        <v>0</v>
      </c>
      <c r="AB89" s="3054">
        <f t="shared" si="19"/>
        <v>41791.75876744416</v>
      </c>
      <c r="AC89" s="3054">
        <f>AB89*[3]年期修正系数!$G$9</f>
        <v>63481.681567747677</v>
      </c>
      <c r="AD89" s="3054">
        <f t="shared" si="18"/>
        <v>95222.522351621519</v>
      </c>
      <c r="AE89" s="3054">
        <f t="shared" si="20"/>
        <v>56013.248442130309</v>
      </c>
      <c r="AF89" s="3054" t="e">
        <f t="shared" si="21"/>
        <v>#DIV/0!</v>
      </c>
      <c r="AG89" s="3054">
        <f t="shared" si="22"/>
        <v>47611.26117581076</v>
      </c>
    </row>
    <row r="90" spans="1:33" hidden="1">
      <c r="A90" s="3054" t="s">
        <v>3668</v>
      </c>
      <c r="B90" s="3054" t="s">
        <v>3224</v>
      </c>
      <c r="C90" s="3054" t="s">
        <v>3600</v>
      </c>
      <c r="D90" s="3054" t="s">
        <v>3669</v>
      </c>
      <c r="E90" s="3054" t="s">
        <v>3114</v>
      </c>
      <c r="F90" s="3054" t="s">
        <v>3670</v>
      </c>
      <c r="G90" s="3054" t="s">
        <v>3671</v>
      </c>
      <c r="H90" s="3054">
        <v>97107.81</v>
      </c>
      <c r="I90" s="3054">
        <v>194226</v>
      </c>
      <c r="J90" s="3054">
        <v>2</v>
      </c>
      <c r="K90" s="3054" t="s">
        <v>3635</v>
      </c>
      <c r="L90" s="3054" t="s">
        <v>3672</v>
      </c>
      <c r="M90" s="3054">
        <v>410000</v>
      </c>
      <c r="N90" s="3054">
        <v>21109.43</v>
      </c>
      <c r="O90" s="3054">
        <v>0.99</v>
      </c>
      <c r="P90" s="3054" t="s">
        <v>3231</v>
      </c>
      <c r="R90" s="3054"/>
      <c r="T90" s="3054">
        <f t="shared" si="17"/>
        <v>0</v>
      </c>
      <c r="U90" s="3054">
        <f t="shared" si="13"/>
        <v>0</v>
      </c>
      <c r="V90" s="3054"/>
      <c r="X90" s="3054">
        <f t="shared" si="14"/>
        <v>0</v>
      </c>
      <c r="Y90" s="3054" t="e">
        <f t="shared" si="15"/>
        <v>#DIV/0!</v>
      </c>
      <c r="Z90" s="3054">
        <f t="shared" si="16"/>
        <v>0</v>
      </c>
      <c r="AB90" s="3054">
        <f t="shared" si="19"/>
        <v>42221.114861925111</v>
      </c>
      <c r="AC90" s="3054">
        <f>AB90*[3]年期修正系数!$G$9</f>
        <v>64133.873475264241</v>
      </c>
      <c r="AD90" s="3054">
        <f t="shared" si="18"/>
        <v>96200.810212896366</v>
      </c>
      <c r="AE90" s="3054">
        <f t="shared" si="20"/>
        <v>56588.711889939041</v>
      </c>
      <c r="AF90" s="3054" t="e">
        <f t="shared" si="21"/>
        <v>#DIV/0!</v>
      </c>
      <c r="AG90" s="3054">
        <f t="shared" si="22"/>
        <v>48100.405106448183</v>
      </c>
    </row>
    <row r="91" spans="1:33" hidden="1">
      <c r="A91" s="3054" t="s">
        <v>3673</v>
      </c>
      <c r="B91" s="3054" t="s">
        <v>3224</v>
      </c>
      <c r="C91" s="3054" t="s">
        <v>3674</v>
      </c>
      <c r="D91" s="3054" t="s">
        <v>3675</v>
      </c>
      <c r="E91" s="3054" t="s">
        <v>3114</v>
      </c>
      <c r="F91" s="3054" t="s">
        <v>3676</v>
      </c>
      <c r="G91" s="3054" t="s">
        <v>3677</v>
      </c>
      <c r="H91" s="3054">
        <v>59487.99</v>
      </c>
      <c r="I91" s="3054">
        <v>126263</v>
      </c>
      <c r="J91" s="3054">
        <v>2.12</v>
      </c>
      <c r="K91" s="3054" t="s">
        <v>3635</v>
      </c>
      <c r="L91" s="3054" t="s">
        <v>3678</v>
      </c>
      <c r="M91" s="3054">
        <v>81650</v>
      </c>
      <c r="N91" s="3054">
        <v>6466.65</v>
      </c>
      <c r="O91" s="3054">
        <v>0.49</v>
      </c>
      <c r="P91" s="3054" t="s">
        <v>3231</v>
      </c>
      <c r="R91" s="3054"/>
      <c r="T91" s="3054">
        <f t="shared" si="17"/>
        <v>0</v>
      </c>
      <c r="U91" s="3054">
        <f t="shared" si="13"/>
        <v>0</v>
      </c>
      <c r="V91" s="3054"/>
      <c r="X91" s="3054">
        <f t="shared" si="14"/>
        <v>0</v>
      </c>
      <c r="Y91" s="3054" t="e">
        <f t="shared" si="15"/>
        <v>#DIV/0!</v>
      </c>
      <c r="Z91" s="3054">
        <f t="shared" si="16"/>
        <v>0</v>
      </c>
      <c r="AB91" s="3054">
        <f t="shared" si="19"/>
        <v>13725.459542337874</v>
      </c>
      <c r="AC91" s="3054">
        <f>AB91*[3]年期修正系数!$G$9</f>
        <v>20848.973044811228</v>
      </c>
      <c r="AD91" s="3054">
        <f t="shared" si="18"/>
        <v>31273.459567216843</v>
      </c>
      <c r="AE91" s="3054">
        <f t="shared" si="20"/>
        <v>18396.152686598143</v>
      </c>
      <c r="AF91" s="3054" t="e">
        <f t="shared" si="21"/>
        <v>#DIV/0!</v>
      </c>
      <c r="AG91" s="3054">
        <f t="shared" si="22"/>
        <v>15636.729783608422</v>
      </c>
    </row>
    <row r="92" spans="1:33" hidden="1">
      <c r="A92" s="3054" t="s">
        <v>3679</v>
      </c>
      <c r="B92" s="3054" t="s">
        <v>3240</v>
      </c>
      <c r="C92" s="3054" t="s">
        <v>3674</v>
      </c>
      <c r="D92" s="3054" t="s">
        <v>3675</v>
      </c>
      <c r="E92" s="3054" t="s">
        <v>3292</v>
      </c>
      <c r="F92" s="3054" t="s">
        <v>3680</v>
      </c>
      <c r="G92" s="3054" t="s">
        <v>3312</v>
      </c>
      <c r="H92" s="3054">
        <v>28725.47</v>
      </c>
      <c r="I92" s="3054">
        <v>71814</v>
      </c>
      <c r="J92" s="3054">
        <v>2.5</v>
      </c>
      <c r="K92" s="3054" t="s">
        <v>3681</v>
      </c>
      <c r="L92" s="3054" t="s">
        <v>3682</v>
      </c>
      <c r="M92" s="3054">
        <v>32000</v>
      </c>
      <c r="N92" s="3054">
        <v>4455.96</v>
      </c>
      <c r="O92" s="3054">
        <v>0</v>
      </c>
      <c r="P92" s="3054" t="s">
        <v>3358</v>
      </c>
      <c r="R92" s="3054"/>
      <c r="T92" s="3054">
        <f t="shared" si="17"/>
        <v>0</v>
      </c>
      <c r="U92" s="3054">
        <f t="shared" si="13"/>
        <v>0</v>
      </c>
      <c r="V92" s="3054"/>
      <c r="X92" s="3054">
        <f t="shared" si="14"/>
        <v>0</v>
      </c>
      <c r="Y92" s="3054" t="e">
        <f t="shared" si="15"/>
        <v>#DIV/0!</v>
      </c>
      <c r="Z92" s="3054">
        <f t="shared" si="16"/>
        <v>0</v>
      </c>
      <c r="AB92" s="3054">
        <f t="shared" si="19"/>
        <v>11139.939572790279</v>
      </c>
      <c r="AC92" s="3054">
        <f>AB92*[3]年期修正系数!$G$9</f>
        <v>16921.568211068432</v>
      </c>
      <c r="AD92" s="3054">
        <f t="shared" si="18"/>
        <v>25382.35231660265</v>
      </c>
      <c r="AE92" s="3054">
        <f t="shared" si="20"/>
        <v>14930.7954803545</v>
      </c>
      <c r="AF92" s="3054" t="e">
        <f t="shared" si="21"/>
        <v>#DIV/0!</v>
      </c>
      <c r="AG92" s="3054">
        <f t="shared" si="22"/>
        <v>12691.176158301325</v>
      </c>
    </row>
    <row r="93" spans="1:33" hidden="1">
      <c r="A93" s="3054" t="s">
        <v>3683</v>
      </c>
      <c r="B93" s="3054" t="s">
        <v>3224</v>
      </c>
      <c r="C93" s="3054" t="s">
        <v>3600</v>
      </c>
      <c r="D93" s="3054" t="s">
        <v>3684</v>
      </c>
      <c r="E93" s="3054" t="s">
        <v>3114</v>
      </c>
      <c r="F93" s="3054" t="s">
        <v>3685</v>
      </c>
      <c r="G93" s="3054" t="s">
        <v>3686</v>
      </c>
      <c r="H93" s="3054">
        <v>46848.3</v>
      </c>
      <c r="I93" s="3054">
        <v>137272</v>
      </c>
      <c r="J93" s="3054">
        <v>2.93</v>
      </c>
      <c r="K93" s="3054" t="s">
        <v>3687</v>
      </c>
      <c r="L93" s="3054" t="s">
        <v>3688</v>
      </c>
      <c r="M93" s="3054">
        <v>265700</v>
      </c>
      <c r="N93" s="3054">
        <v>19355.72</v>
      </c>
      <c r="O93" s="3054">
        <v>0</v>
      </c>
      <c r="P93" s="3054" t="s">
        <v>3231</v>
      </c>
      <c r="R93" s="3054"/>
      <c r="T93" s="3054">
        <f t="shared" si="17"/>
        <v>0</v>
      </c>
      <c r="U93" s="3054">
        <f t="shared" si="13"/>
        <v>0</v>
      </c>
      <c r="V93" s="3054"/>
      <c r="X93" s="3054">
        <f t="shared" si="14"/>
        <v>0</v>
      </c>
      <c r="Y93" s="3054" t="e">
        <f t="shared" si="15"/>
        <v>#DIV/0!</v>
      </c>
      <c r="Z93" s="3054">
        <f t="shared" si="16"/>
        <v>0</v>
      </c>
      <c r="AB93" s="3054">
        <f t="shared" si="19"/>
        <v>56714.971514441291</v>
      </c>
      <c r="AC93" s="3054">
        <f>AB93*[3]年期修正系数!$G$9</f>
        <v>86150.041730436322</v>
      </c>
      <c r="AD93" s="3054">
        <f t="shared" si="18"/>
        <v>129225.06259565448</v>
      </c>
      <c r="AE93" s="3054">
        <f t="shared" si="20"/>
        <v>76014.742703326163</v>
      </c>
      <c r="AF93" s="3054" t="e">
        <f t="shared" si="21"/>
        <v>#DIV/0!</v>
      </c>
      <c r="AG93" s="3054">
        <f t="shared" si="22"/>
        <v>64612.531297827241</v>
      </c>
    </row>
    <row r="94" spans="1:33" hidden="1">
      <c r="A94" s="3054" t="s">
        <v>3689</v>
      </c>
      <c r="B94" s="3054" t="s">
        <v>3240</v>
      </c>
      <c r="C94" s="3054" t="s">
        <v>3303</v>
      </c>
      <c r="D94" s="3054" t="s">
        <v>3690</v>
      </c>
      <c r="E94" s="3054" t="s">
        <v>3114</v>
      </c>
      <c r="F94" s="3054" t="s">
        <v>3691</v>
      </c>
      <c r="G94" s="3054" t="s">
        <v>3692</v>
      </c>
      <c r="H94" s="3054">
        <v>138746.29999999999</v>
      </c>
      <c r="I94" s="3054">
        <v>486596</v>
      </c>
      <c r="J94" s="3054">
        <v>3.51</v>
      </c>
      <c r="K94" s="3054" t="s">
        <v>3687</v>
      </c>
      <c r="L94" s="3054" t="s">
        <v>3693</v>
      </c>
      <c r="M94" s="3054">
        <v>866300</v>
      </c>
      <c r="N94" s="3054">
        <v>17803.27</v>
      </c>
      <c r="O94" s="3054">
        <v>0</v>
      </c>
      <c r="P94" s="3054" t="s">
        <v>3358</v>
      </c>
      <c r="R94" s="3054"/>
      <c r="T94" s="3054">
        <f t="shared" si="17"/>
        <v>0</v>
      </c>
      <c r="U94" s="3054">
        <f t="shared" si="13"/>
        <v>0</v>
      </c>
      <c r="V94" s="3054"/>
      <c r="X94" s="3054">
        <f t="shared" si="14"/>
        <v>0</v>
      </c>
      <c r="Y94" s="3054" t="e">
        <f t="shared" si="15"/>
        <v>#DIV/0!</v>
      </c>
      <c r="Z94" s="3054">
        <f t="shared" si="16"/>
        <v>0</v>
      </c>
      <c r="AB94" s="3054">
        <f t="shared" si="19"/>
        <v>62437.701041397144</v>
      </c>
      <c r="AC94" s="3054">
        <f>AB94*[3]年期修正系数!$G$9</f>
        <v>94842.867881882252</v>
      </c>
      <c r="AD94" s="3054">
        <f t="shared" si="18"/>
        <v>142264.30182282339</v>
      </c>
      <c r="AE94" s="3054">
        <f t="shared" si="20"/>
        <v>83684.88342519023</v>
      </c>
      <c r="AF94" s="3054" t="e">
        <f t="shared" si="21"/>
        <v>#DIV/0!</v>
      </c>
      <c r="AG94" s="3054">
        <f t="shared" si="22"/>
        <v>71132.150911411693</v>
      </c>
    </row>
    <row r="95" spans="1:33" hidden="1">
      <c r="A95" s="3054" t="s">
        <v>3694</v>
      </c>
      <c r="B95" s="3054" t="s">
        <v>3224</v>
      </c>
      <c r="C95" s="3054" t="s">
        <v>3303</v>
      </c>
      <c r="D95" s="3054" t="s">
        <v>3695</v>
      </c>
      <c r="E95" s="3054" t="s">
        <v>3114</v>
      </c>
      <c r="F95" s="3054" t="s">
        <v>3696</v>
      </c>
      <c r="G95" s="3054" t="s">
        <v>3286</v>
      </c>
      <c r="H95" s="3054">
        <v>22975.03</v>
      </c>
      <c r="I95" s="3054">
        <v>68925</v>
      </c>
      <c r="J95" s="3054">
        <v>3</v>
      </c>
      <c r="K95" s="3054" t="s">
        <v>3697</v>
      </c>
      <c r="L95" s="3054" t="s">
        <v>3698</v>
      </c>
      <c r="M95" s="3054">
        <v>264000</v>
      </c>
      <c r="N95" s="3054">
        <v>38302.5</v>
      </c>
      <c r="O95" s="3054">
        <v>26.92</v>
      </c>
      <c r="P95" s="3054" t="s">
        <v>3231</v>
      </c>
      <c r="R95" s="3054"/>
      <c r="T95" s="3054">
        <f t="shared" si="17"/>
        <v>0</v>
      </c>
      <c r="U95" s="3054">
        <f t="shared" si="13"/>
        <v>0</v>
      </c>
      <c r="V95" s="3054"/>
      <c r="X95" s="3054">
        <f t="shared" si="14"/>
        <v>0</v>
      </c>
      <c r="Y95" s="3054" t="e">
        <f t="shared" si="15"/>
        <v>#DIV/0!</v>
      </c>
      <c r="Z95" s="3054">
        <f t="shared" si="16"/>
        <v>0</v>
      </c>
      <c r="AB95" s="3054">
        <f t="shared" si="19"/>
        <v>114907.35811879246</v>
      </c>
      <c r="AC95" s="3054">
        <f>AB95*[3]年期修正系数!$G$9</f>
        <v>174544.27698244574</v>
      </c>
      <c r="AD95" s="3054">
        <f t="shared" si="18"/>
        <v>261816.4154736686</v>
      </c>
      <c r="AE95" s="3054">
        <f t="shared" si="20"/>
        <v>154009.65616098154</v>
      </c>
      <c r="AF95" s="3054" t="e">
        <f t="shared" si="21"/>
        <v>#DIV/0!</v>
      </c>
      <c r="AG95" s="3054">
        <f t="shared" si="22"/>
        <v>130908.2077368343</v>
      </c>
    </row>
    <row r="96" spans="1:33" hidden="1">
      <c r="A96" s="3054" t="s">
        <v>3699</v>
      </c>
      <c r="B96" s="3054" t="s">
        <v>3233</v>
      </c>
      <c r="C96" s="3054" t="s">
        <v>3366</v>
      </c>
      <c r="D96" s="3054" t="s">
        <v>3367</v>
      </c>
      <c r="E96" s="3054" t="s">
        <v>3114</v>
      </c>
      <c r="F96" s="3054" t="s">
        <v>3700</v>
      </c>
      <c r="G96" s="3054" t="s">
        <v>3236</v>
      </c>
      <c r="H96" s="3054">
        <v>61127.91</v>
      </c>
      <c r="I96" s="3054">
        <v>152820</v>
      </c>
      <c r="J96" s="3054">
        <v>2.5</v>
      </c>
      <c r="K96" s="3054" t="s">
        <v>3697</v>
      </c>
      <c r="L96" s="3054" t="s">
        <v>3701</v>
      </c>
      <c r="M96" s="3054">
        <v>483400</v>
      </c>
      <c r="N96" s="3054">
        <v>31631.99</v>
      </c>
      <c r="O96" s="3054">
        <v>0</v>
      </c>
      <c r="P96" s="3054" t="s">
        <v>3231</v>
      </c>
      <c r="R96" s="3054"/>
      <c r="T96" s="3054">
        <f t="shared" si="17"/>
        <v>0</v>
      </c>
      <c r="U96" s="3054">
        <f t="shared" si="13"/>
        <v>0</v>
      </c>
      <c r="V96" s="3054"/>
      <c r="X96" s="3054">
        <f t="shared" si="14"/>
        <v>0</v>
      </c>
      <c r="Y96" s="3054" t="e">
        <f t="shared" si="15"/>
        <v>#DIV/0!</v>
      </c>
      <c r="Z96" s="3054">
        <f t="shared" si="16"/>
        <v>0</v>
      </c>
      <c r="AB96" s="3054">
        <f t="shared" si="19"/>
        <v>79080.079786794609</v>
      </c>
      <c r="AC96" s="3054">
        <f>AB96*[3]年期修正系数!$G$9</f>
        <v>120122.641196141</v>
      </c>
      <c r="AD96" s="3054">
        <f t="shared" si="18"/>
        <v>180183.9617942115</v>
      </c>
      <c r="AE96" s="3054">
        <f t="shared" si="20"/>
        <v>105990.56576130088</v>
      </c>
      <c r="AF96" s="3054" t="e">
        <f t="shared" si="21"/>
        <v>#DIV/0!</v>
      </c>
      <c r="AG96" s="3054">
        <f t="shared" si="22"/>
        <v>90091.98089710575</v>
      </c>
    </row>
    <row r="97" spans="1:33" hidden="1">
      <c r="A97" s="3054" t="s">
        <v>3702</v>
      </c>
      <c r="B97" s="3054" t="s">
        <v>3224</v>
      </c>
      <c r="C97" s="3054" t="s">
        <v>3303</v>
      </c>
      <c r="D97" s="3054" t="s">
        <v>3695</v>
      </c>
      <c r="E97" s="3054" t="s">
        <v>3114</v>
      </c>
      <c r="F97" s="3054" t="s">
        <v>3703</v>
      </c>
      <c r="G97" s="3054" t="s">
        <v>3286</v>
      </c>
      <c r="H97" s="3054">
        <v>19200.669999999998</v>
      </c>
      <c r="I97" s="3054">
        <v>57602</v>
      </c>
      <c r="J97" s="3054">
        <v>3</v>
      </c>
      <c r="K97" s="3054" t="s">
        <v>3697</v>
      </c>
      <c r="L97" s="3054" t="s">
        <v>3704</v>
      </c>
      <c r="M97" s="3054">
        <v>234000</v>
      </c>
      <c r="N97" s="3054">
        <v>40623.58</v>
      </c>
      <c r="O97" s="3054">
        <v>17</v>
      </c>
      <c r="P97" s="3054" t="s">
        <v>3231</v>
      </c>
      <c r="R97" s="3054"/>
      <c r="T97" s="3054">
        <f t="shared" si="17"/>
        <v>0</v>
      </c>
      <c r="U97" s="3054">
        <f t="shared" si="13"/>
        <v>0</v>
      </c>
      <c r="V97" s="3054"/>
      <c r="X97" s="3054">
        <f t="shared" si="14"/>
        <v>0</v>
      </c>
      <c r="Y97" s="3054" t="e">
        <f t="shared" si="15"/>
        <v>#DIV/0!</v>
      </c>
      <c r="Z97" s="3054">
        <f t="shared" si="16"/>
        <v>0</v>
      </c>
      <c r="AB97" s="3054">
        <f t="shared" si="19"/>
        <v>121870.74721871686</v>
      </c>
      <c r="AC97" s="3054">
        <f>AB97*[3]年期修正系数!$G$9</f>
        <v>185121.6650252309</v>
      </c>
      <c r="AD97" s="3054">
        <f t="shared" si="18"/>
        <v>277682.49753784633</v>
      </c>
      <c r="AE97" s="3054">
        <f t="shared" si="20"/>
        <v>163342.64561049786</v>
      </c>
      <c r="AF97" s="3054" t="e">
        <f t="shared" si="21"/>
        <v>#DIV/0!</v>
      </c>
      <c r="AG97" s="3054">
        <f t="shared" si="22"/>
        <v>138841.24876892316</v>
      </c>
    </row>
    <row r="98" spans="1:33" hidden="1">
      <c r="A98" s="3054" t="s">
        <v>3705</v>
      </c>
      <c r="B98" s="3054" t="s">
        <v>3224</v>
      </c>
      <c r="C98" s="3054" t="s">
        <v>3329</v>
      </c>
      <c r="D98" s="3054" t="s">
        <v>3706</v>
      </c>
      <c r="E98" s="3054" t="s">
        <v>3114</v>
      </c>
      <c r="F98" s="3054" t="s">
        <v>3707</v>
      </c>
      <c r="G98" s="3054" t="s">
        <v>3344</v>
      </c>
      <c r="H98" s="3054">
        <v>54533</v>
      </c>
      <c r="I98" s="3054">
        <v>70556</v>
      </c>
      <c r="J98" s="3054">
        <v>1.29</v>
      </c>
      <c r="K98" s="3054" t="s">
        <v>3708</v>
      </c>
      <c r="L98" s="3054" t="s">
        <v>3709</v>
      </c>
      <c r="M98" s="3054">
        <v>92500</v>
      </c>
      <c r="N98" s="3054">
        <v>13110.14</v>
      </c>
      <c r="O98" s="3054">
        <v>0</v>
      </c>
      <c r="P98" s="3054" t="s">
        <v>3231</v>
      </c>
      <c r="R98" s="3054"/>
      <c r="T98" s="3054">
        <f t="shared" si="17"/>
        <v>0</v>
      </c>
      <c r="U98" s="3054">
        <f t="shared" si="13"/>
        <v>0</v>
      </c>
      <c r="V98" s="3054"/>
      <c r="X98" s="3054">
        <f t="shared" si="14"/>
        <v>0</v>
      </c>
      <c r="Y98" s="3054" t="e">
        <f t="shared" si="15"/>
        <v>#DIV/0!</v>
      </c>
      <c r="Z98" s="3054">
        <f t="shared" si="16"/>
        <v>0</v>
      </c>
      <c r="AB98" s="3054">
        <f t="shared" si="19"/>
        <v>16962.206370454587</v>
      </c>
      <c r="AC98" s="3054">
        <f>AB98*[3]年期修正系数!$G$9</f>
        <v>25765.591476720518</v>
      </c>
      <c r="AD98" s="3054">
        <f t="shared" si="18"/>
        <v>38648.387215080773</v>
      </c>
      <c r="AE98" s="3054">
        <f t="shared" si="20"/>
        <v>22734.345420635749</v>
      </c>
      <c r="AF98" s="3054" t="e">
        <f t="shared" si="21"/>
        <v>#DIV/0!</v>
      </c>
      <c r="AG98" s="3054">
        <f t="shared" si="22"/>
        <v>19324.193607540386</v>
      </c>
    </row>
    <row r="99" spans="1:33" hidden="1">
      <c r="A99" s="3054" t="s">
        <v>3710</v>
      </c>
      <c r="B99" s="3054" t="s">
        <v>3233</v>
      </c>
      <c r="C99" s="3054" t="s">
        <v>3113</v>
      </c>
      <c r="D99" s="3054" t="s">
        <v>3711</v>
      </c>
      <c r="E99" s="3054" t="s">
        <v>3114</v>
      </c>
      <c r="F99" s="3054" t="s">
        <v>3712</v>
      </c>
      <c r="G99" s="3054" t="s">
        <v>3236</v>
      </c>
      <c r="H99" s="3054">
        <v>38121.199999999997</v>
      </c>
      <c r="I99" s="3054">
        <v>95303</v>
      </c>
      <c r="J99" s="3054">
        <v>2.5</v>
      </c>
      <c r="K99" s="3054" t="s">
        <v>3708</v>
      </c>
      <c r="L99" s="3054" t="s">
        <v>3713</v>
      </c>
      <c r="M99" s="3054">
        <v>332000</v>
      </c>
      <c r="N99" s="3054">
        <v>34836.26</v>
      </c>
      <c r="O99" s="3054">
        <v>24.34</v>
      </c>
      <c r="P99" s="3054" t="s">
        <v>3231</v>
      </c>
      <c r="R99" s="3054"/>
      <c r="T99" s="3054">
        <f t="shared" si="17"/>
        <v>0</v>
      </c>
      <c r="U99" s="3054">
        <f t="shared" si="13"/>
        <v>0</v>
      </c>
      <c r="V99" s="3054"/>
      <c r="X99" s="3054">
        <f t="shared" si="14"/>
        <v>0</v>
      </c>
      <c r="Y99" s="3054" t="e">
        <f t="shared" si="15"/>
        <v>#DIV/0!</v>
      </c>
      <c r="Z99" s="3054">
        <f t="shared" si="16"/>
        <v>0</v>
      </c>
      <c r="AB99" s="3054">
        <f t="shared" si="19"/>
        <v>87090.647723576389</v>
      </c>
      <c r="AC99" s="3054">
        <f>AB99*[3]年期修正系数!$G$9</f>
        <v>132290.69389211253</v>
      </c>
      <c r="AD99" s="3054">
        <f t="shared" si="18"/>
        <v>198436.04083816879</v>
      </c>
      <c r="AE99" s="3054">
        <f t="shared" si="20"/>
        <v>116727.08284598164</v>
      </c>
      <c r="AF99" s="3054" t="e">
        <f t="shared" si="21"/>
        <v>#DIV/0!</v>
      </c>
      <c r="AG99" s="3054">
        <f t="shared" si="22"/>
        <v>99218.020419084394</v>
      </c>
    </row>
    <row r="100" spans="1:33" hidden="1">
      <c r="A100" s="3054" t="s">
        <v>3714</v>
      </c>
      <c r="B100" s="3054" t="s">
        <v>3233</v>
      </c>
      <c r="C100" s="3054" t="s">
        <v>3113</v>
      </c>
      <c r="D100" s="3054" t="s">
        <v>3715</v>
      </c>
      <c r="E100" s="3054" t="s">
        <v>3114</v>
      </c>
      <c r="F100" s="3054" t="s">
        <v>3716</v>
      </c>
      <c r="G100" s="3054" t="s">
        <v>3236</v>
      </c>
      <c r="H100" s="3054">
        <v>44933.4</v>
      </c>
      <c r="I100" s="3054">
        <v>112333</v>
      </c>
      <c r="J100" s="3054">
        <v>2.5</v>
      </c>
      <c r="K100" s="3054" t="s">
        <v>3708</v>
      </c>
      <c r="L100" s="3054" t="s">
        <v>3717</v>
      </c>
      <c r="M100" s="3054">
        <v>370000</v>
      </c>
      <c r="N100" s="3054">
        <v>32937.629999999997</v>
      </c>
      <c r="O100" s="3054">
        <v>17.46</v>
      </c>
      <c r="P100" s="3054" t="s">
        <v>3231</v>
      </c>
      <c r="R100" s="3054"/>
      <c r="T100" s="3054">
        <f t="shared" si="17"/>
        <v>0</v>
      </c>
      <c r="U100" s="3054">
        <f t="shared" si="13"/>
        <v>0</v>
      </c>
      <c r="V100" s="3054"/>
      <c r="X100" s="3054">
        <f t="shared" si="14"/>
        <v>0</v>
      </c>
      <c r="Y100" s="3054" t="e">
        <f t="shared" si="15"/>
        <v>#DIV/0!</v>
      </c>
      <c r="Z100" s="3054">
        <f t="shared" si="16"/>
        <v>0</v>
      </c>
      <c r="AB100" s="3054">
        <f t="shared" si="19"/>
        <v>82344.091477609079</v>
      </c>
      <c r="AC100" s="3054">
        <f>AB100*[3]年期修正系数!$G$9</f>
        <v>125080.67495448819</v>
      </c>
      <c r="AD100" s="3054">
        <f t="shared" si="18"/>
        <v>187621.01243173229</v>
      </c>
      <c r="AE100" s="3054">
        <f t="shared" si="20"/>
        <v>110365.30143043076</v>
      </c>
      <c r="AF100" s="3054" t="e">
        <f t="shared" si="21"/>
        <v>#DIV/0!</v>
      </c>
      <c r="AG100" s="3054">
        <f t="shared" si="22"/>
        <v>93810.506215866146</v>
      </c>
    </row>
    <row r="101" spans="1:33" hidden="1">
      <c r="A101" s="3054" t="s">
        <v>3718</v>
      </c>
      <c r="B101" s="3054" t="s">
        <v>3224</v>
      </c>
      <c r="C101" s="3054" t="s">
        <v>3329</v>
      </c>
      <c r="D101" s="3054" t="s">
        <v>3706</v>
      </c>
      <c r="E101" s="3054" t="s">
        <v>3114</v>
      </c>
      <c r="F101" s="3054" t="s">
        <v>3719</v>
      </c>
      <c r="G101" s="3054" t="s">
        <v>3720</v>
      </c>
      <c r="H101" s="3054">
        <v>55220.72</v>
      </c>
      <c r="I101" s="3054">
        <v>84310</v>
      </c>
      <c r="J101" s="3054">
        <v>1.53</v>
      </c>
      <c r="K101" s="3054" t="s">
        <v>3721</v>
      </c>
      <c r="L101" s="3054" t="s">
        <v>3722</v>
      </c>
      <c r="M101" s="3054">
        <v>115000</v>
      </c>
      <c r="N101" s="3054">
        <v>13640.13</v>
      </c>
      <c r="O101" s="3054">
        <v>0</v>
      </c>
      <c r="P101" s="3054" t="s">
        <v>3231</v>
      </c>
      <c r="R101" s="3054"/>
      <c r="T101" s="3054">
        <f t="shared" si="17"/>
        <v>0</v>
      </c>
      <c r="U101" s="3054">
        <f t="shared" si="13"/>
        <v>0</v>
      </c>
      <c r="V101" s="3054"/>
      <c r="X101" s="3054">
        <f t="shared" si="14"/>
        <v>0</v>
      </c>
      <c r="Y101" s="3054" t="e">
        <f t="shared" si="15"/>
        <v>#DIV/0!</v>
      </c>
      <c r="Z101" s="3054">
        <f t="shared" si="16"/>
        <v>0</v>
      </c>
      <c r="AB101" s="3054">
        <f t="shared" si="19"/>
        <v>20825.516219274214</v>
      </c>
      <c r="AC101" s="3054">
        <f>AB101*[3]年期修正系数!$G$9</f>
        <v>31633.959137077527</v>
      </c>
      <c r="AD101" s="3054">
        <f t="shared" si="18"/>
        <v>47450.938705616289</v>
      </c>
      <c r="AE101" s="3054">
        <f t="shared" si="20"/>
        <v>27912.316885656641</v>
      </c>
      <c r="AF101" s="3054" t="e">
        <f t="shared" si="21"/>
        <v>#DIV/0!</v>
      </c>
      <c r="AG101" s="3054">
        <f t="shared" si="22"/>
        <v>23725.469352808144</v>
      </c>
    </row>
    <row r="102" spans="1:33" hidden="1">
      <c r="A102" s="3054" t="s">
        <v>3723</v>
      </c>
      <c r="B102" s="3054" t="s">
        <v>3233</v>
      </c>
      <c r="C102" s="3054" t="s">
        <v>3378</v>
      </c>
      <c r="D102" s="3054" t="s">
        <v>3724</v>
      </c>
      <c r="E102" s="3054" t="s">
        <v>3114</v>
      </c>
      <c r="F102" s="3054" t="s">
        <v>3725</v>
      </c>
      <c r="G102" s="3054" t="s">
        <v>3236</v>
      </c>
      <c r="H102" s="3054">
        <v>81112.67</v>
      </c>
      <c r="I102" s="3054">
        <v>113557</v>
      </c>
      <c r="J102" s="3054">
        <v>1.4</v>
      </c>
      <c r="K102" s="3054" t="s">
        <v>3721</v>
      </c>
      <c r="L102" s="3054" t="s">
        <v>3726</v>
      </c>
      <c r="M102" s="3054">
        <v>73000</v>
      </c>
      <c r="N102" s="3054">
        <v>6428.48</v>
      </c>
      <c r="O102" s="3054">
        <v>17.34</v>
      </c>
      <c r="P102" s="3054" t="s">
        <v>3231</v>
      </c>
      <c r="R102" s="3054"/>
      <c r="T102" s="3054">
        <f t="shared" si="17"/>
        <v>0</v>
      </c>
      <c r="U102" s="3054">
        <f t="shared" si="13"/>
        <v>0</v>
      </c>
      <c r="V102" s="3054"/>
      <c r="X102" s="3054">
        <f t="shared" si="14"/>
        <v>0</v>
      </c>
      <c r="Y102" s="3054" t="e">
        <f t="shared" si="15"/>
        <v>#DIV/0!</v>
      </c>
      <c r="Z102" s="3054">
        <f t="shared" si="16"/>
        <v>0</v>
      </c>
      <c r="AB102" s="3054">
        <f t="shared" si="19"/>
        <v>8999.827030721588</v>
      </c>
      <c r="AC102" s="3054">
        <f>AB102*[3]年期修正系数!$G$9</f>
        <v>13670.737259666092</v>
      </c>
      <c r="AD102" s="3054">
        <f t="shared" si="18"/>
        <v>20506.105889499137</v>
      </c>
      <c r="AE102" s="3054">
        <f t="shared" si="20"/>
        <v>12062.415229117139</v>
      </c>
      <c r="AF102" s="3054" t="e">
        <f t="shared" si="21"/>
        <v>#DIV/0!</v>
      </c>
      <c r="AG102" s="3054">
        <f t="shared" si="22"/>
        <v>10253.052944749568</v>
      </c>
    </row>
    <row r="103" spans="1:33" hidden="1">
      <c r="A103" s="3054" t="s">
        <v>3727</v>
      </c>
      <c r="B103" s="3054" t="s">
        <v>3224</v>
      </c>
      <c r="C103" s="3054" t="s">
        <v>3303</v>
      </c>
      <c r="D103" s="3054" t="s">
        <v>3728</v>
      </c>
      <c r="E103" s="3054" t="s">
        <v>3114</v>
      </c>
      <c r="F103" s="3054" t="s">
        <v>3729</v>
      </c>
      <c r="G103" s="3054" t="s">
        <v>3730</v>
      </c>
      <c r="H103" s="3054">
        <v>74979.98</v>
      </c>
      <c r="I103" s="3054">
        <v>84324</v>
      </c>
      <c r="J103" s="3054">
        <v>1.1200000000000001</v>
      </c>
      <c r="K103" s="3054" t="s">
        <v>3721</v>
      </c>
      <c r="L103" s="3054" t="s">
        <v>3281</v>
      </c>
      <c r="M103" s="3054">
        <v>291000</v>
      </c>
      <c r="N103" s="3054">
        <v>34509.75</v>
      </c>
      <c r="O103" s="3054">
        <v>41.95</v>
      </c>
      <c r="P103" s="3054" t="s">
        <v>3231</v>
      </c>
      <c r="R103" s="3054"/>
      <c r="T103" s="3054">
        <f t="shared" si="17"/>
        <v>0</v>
      </c>
      <c r="U103" s="3054">
        <f t="shared" si="13"/>
        <v>0</v>
      </c>
      <c r="V103" s="3054"/>
      <c r="X103" s="3054">
        <f t="shared" si="14"/>
        <v>0</v>
      </c>
      <c r="Y103" s="3054" t="e">
        <f t="shared" si="15"/>
        <v>#DIV/0!</v>
      </c>
      <c r="Z103" s="3054">
        <f t="shared" si="16"/>
        <v>0</v>
      </c>
      <c r="AB103" s="3054">
        <f t="shared" si="19"/>
        <v>38810.359778703598</v>
      </c>
      <c r="AC103" s="3054">
        <f>AB103*[3]年期修正系数!$G$9</f>
        <v>58952.93650385076</v>
      </c>
      <c r="AD103" s="3054">
        <f t="shared" si="18"/>
        <v>88429.404755776137</v>
      </c>
      <c r="AE103" s="3054">
        <f t="shared" si="20"/>
        <v>52017.296915162435</v>
      </c>
      <c r="AF103" s="3054" t="e">
        <f t="shared" si="21"/>
        <v>#DIV/0!</v>
      </c>
      <c r="AG103" s="3054">
        <f t="shared" si="22"/>
        <v>44214.702377888068</v>
      </c>
    </row>
    <row r="104" spans="1:33" s="3061" customFormat="1">
      <c r="A104" s="3061" t="s">
        <v>3731</v>
      </c>
      <c r="B104" s="3061" t="s">
        <v>3112</v>
      </c>
      <c r="C104" s="3061" t="s">
        <v>3113</v>
      </c>
      <c r="D104" s="3061" t="s">
        <v>3731</v>
      </c>
      <c r="E104" s="3061" t="s">
        <v>3114</v>
      </c>
      <c r="F104" s="3054" t="s">
        <v>3732</v>
      </c>
      <c r="G104" s="3061" t="s">
        <v>6</v>
      </c>
      <c r="H104" s="3061">
        <v>101774.9</v>
      </c>
      <c r="I104" s="3061">
        <v>152662</v>
      </c>
      <c r="J104" s="3061">
        <v>1.5</v>
      </c>
      <c r="K104" s="3063" t="s">
        <v>3733</v>
      </c>
      <c r="L104" s="3063" t="s">
        <v>3425</v>
      </c>
      <c r="M104" s="3061">
        <v>8961</v>
      </c>
      <c r="N104" s="3061">
        <v>587</v>
      </c>
      <c r="O104" s="3063">
        <v>0</v>
      </c>
      <c r="P104" s="3061" t="s">
        <v>3121</v>
      </c>
      <c r="Q104" s="3061">
        <f>M104/(H104/666.67)</f>
        <v>58.698459738108312</v>
      </c>
      <c r="R104" s="3062">
        <f>N104*[3]年期修正系数!$G$9</f>
        <v>891.65299999999991</v>
      </c>
      <c r="S104" s="3063">
        <f>I104/H104</f>
        <v>1.4999965610381343</v>
      </c>
      <c r="T104" s="3062">
        <f t="shared" ref="T104:T119" si="23">R104*$V$1</f>
        <v>1337.4794999999999</v>
      </c>
      <c r="U104" s="3062">
        <f t="shared" si="13"/>
        <v>2006.2192499999999</v>
      </c>
      <c r="V104" s="3062">
        <f>T104*666.67/10000</f>
        <v>89.165745826499986</v>
      </c>
      <c r="X104" s="3062">
        <f t="shared" si="14"/>
        <v>1180.1289705882352</v>
      </c>
      <c r="Y104" s="3062" t="e">
        <f t="shared" si="15"/>
        <v>#DIV/0!</v>
      </c>
      <c r="Z104" s="3062">
        <f t="shared" si="16"/>
        <v>1003.1096249999999</v>
      </c>
      <c r="AB104" s="3062">
        <f t="shared" si="19"/>
        <v>880.4724937091562</v>
      </c>
      <c r="AC104" s="3062">
        <f>AB104*[3]年期修正系数!$G$9</f>
        <v>1337.4377179442081</v>
      </c>
      <c r="AD104" s="3062">
        <f t="shared" ref="AD104:AD119" si="24">AC104*$V$1</f>
        <v>2006.1565769163121</v>
      </c>
      <c r="AE104" s="3061">
        <f t="shared" si="20"/>
        <v>1180.0921040684188</v>
      </c>
      <c r="AF104" s="3061" t="e">
        <f t="shared" si="21"/>
        <v>#DIV/0!</v>
      </c>
      <c r="AG104" s="3061">
        <f t="shared" si="22"/>
        <v>1003.0782884581561</v>
      </c>
    </row>
    <row r="105" spans="1:33" s="3061" customFormat="1">
      <c r="A105" s="3061" t="s">
        <v>3734</v>
      </c>
      <c r="B105" s="3061" t="s">
        <v>3112</v>
      </c>
      <c r="C105" s="3061" t="s">
        <v>3113</v>
      </c>
      <c r="D105" s="3061" t="s">
        <v>3734</v>
      </c>
      <c r="E105" s="3061" t="s">
        <v>3114</v>
      </c>
      <c r="F105" s="3054" t="s">
        <v>3735</v>
      </c>
      <c r="G105" s="3061" t="s">
        <v>6</v>
      </c>
      <c r="H105" s="3061">
        <v>77958.5</v>
      </c>
      <c r="I105" s="3061">
        <v>155917</v>
      </c>
      <c r="J105" s="3061">
        <v>2</v>
      </c>
      <c r="K105" s="3061" t="s">
        <v>3733</v>
      </c>
      <c r="L105" s="3061" t="s">
        <v>3425</v>
      </c>
      <c r="M105" s="3061">
        <v>9152</v>
      </c>
      <c r="N105" s="3061">
        <v>587</v>
      </c>
      <c r="O105" s="3061">
        <v>0</v>
      </c>
      <c r="P105" s="3061" t="s">
        <v>3121</v>
      </c>
      <c r="Q105" s="3061">
        <f>M105/(H105/666.67)</f>
        <v>78.264253929975553</v>
      </c>
      <c r="R105" s="3062">
        <f>N105*[3]年期修正系数!$G$9</f>
        <v>891.65299999999991</v>
      </c>
      <c r="S105" s="3061">
        <f>I105/H105</f>
        <v>2</v>
      </c>
      <c r="T105" s="3062">
        <f t="shared" si="23"/>
        <v>1337.4794999999999</v>
      </c>
      <c r="U105" s="3062"/>
      <c r="V105" s="3062">
        <f>T105*666.67/10000</f>
        <v>89.165745826499986</v>
      </c>
      <c r="AB105" s="3062">
        <f t="shared" si="19"/>
        <v>1173.9579391599377</v>
      </c>
      <c r="AC105" s="3062">
        <f>AB105*[3]年期修正系数!$G$9</f>
        <v>1783.2421095839452</v>
      </c>
      <c r="AD105" s="3062">
        <f t="shared" si="24"/>
        <v>2674.8631643759177</v>
      </c>
      <c r="AE105" s="3061">
        <f t="shared" si="20"/>
        <v>1573.448920221128</v>
      </c>
      <c r="AF105" s="3061" t="e">
        <f t="shared" si="21"/>
        <v>#DIV/0!</v>
      </c>
      <c r="AG105" s="3061">
        <f t="shared" si="22"/>
        <v>1337.4315821879588</v>
      </c>
    </row>
    <row r="106" spans="1:33">
      <c r="A106" s="3054" t="s">
        <v>3736</v>
      </c>
      <c r="B106" s="3054" t="s">
        <v>3112</v>
      </c>
      <c r="C106" s="3054" t="s">
        <v>3113</v>
      </c>
      <c r="D106" s="3054" t="s">
        <v>3737</v>
      </c>
      <c r="E106" s="3054" t="s">
        <v>3114</v>
      </c>
      <c r="F106" s="3054" t="s">
        <v>3738</v>
      </c>
      <c r="G106" s="3054" t="s">
        <v>6</v>
      </c>
      <c r="H106" s="3054">
        <v>9951.4</v>
      </c>
      <c r="I106" s="3054">
        <v>19902</v>
      </c>
      <c r="J106" s="3054">
        <v>2</v>
      </c>
      <c r="K106" s="3054" t="s">
        <v>3733</v>
      </c>
      <c r="L106" s="3054" t="s">
        <v>3739</v>
      </c>
      <c r="M106" s="3054">
        <v>1444</v>
      </c>
      <c r="N106" s="3054">
        <v>726</v>
      </c>
      <c r="O106" s="3054">
        <v>0</v>
      </c>
      <c r="P106" s="3054" t="s">
        <v>3121</v>
      </c>
      <c r="Q106" s="3054">
        <f>M106/(H106/666.67)</f>
        <v>96.737291235404058</v>
      </c>
      <c r="R106" s="3056">
        <f>N106*[3]年期修正系数!$G$9</f>
        <v>1102.7939999999999</v>
      </c>
      <c r="S106" s="3054">
        <f>I106/H106</f>
        <v>1.9999196093012039</v>
      </c>
      <c r="T106" s="3056">
        <f t="shared" si="23"/>
        <v>1654.1909999999998</v>
      </c>
      <c r="V106" s="3056">
        <f>T106*666.67/10000</f>
        <v>110.27995139699998</v>
      </c>
      <c r="AB106" s="3056">
        <f t="shared" si="19"/>
        <v>1451.0521132704946</v>
      </c>
      <c r="AC106" s="3056">
        <f>AB106*[3]年期修正系数!$G$9</f>
        <v>2204.1481600578813</v>
      </c>
      <c r="AD106" s="3056">
        <f t="shared" si="24"/>
        <v>3306.2222400868222</v>
      </c>
      <c r="AE106" s="3054">
        <f t="shared" si="20"/>
        <v>1944.8366118157778</v>
      </c>
      <c r="AF106" s="3054" t="e">
        <f t="shared" si="21"/>
        <v>#DIV/0!</v>
      </c>
      <c r="AG106" s="3054">
        <f t="shared" si="22"/>
        <v>1653.1111200434111</v>
      </c>
    </row>
    <row r="107" spans="1:33">
      <c r="A107" s="3054" t="s">
        <v>3740</v>
      </c>
      <c r="B107" s="3054" t="s">
        <v>3112</v>
      </c>
      <c r="C107" s="3054" t="s">
        <v>3113</v>
      </c>
      <c r="D107" s="3054" t="s">
        <v>3741</v>
      </c>
      <c r="E107" s="3054" t="s">
        <v>3114</v>
      </c>
      <c r="F107" s="3054" t="s">
        <v>3742</v>
      </c>
      <c r="G107" s="3054" t="s">
        <v>6</v>
      </c>
      <c r="H107" s="3054">
        <v>84655.5</v>
      </c>
      <c r="I107" s="3054">
        <v>169311</v>
      </c>
      <c r="J107" s="3054">
        <v>2</v>
      </c>
      <c r="K107" s="3054" t="s">
        <v>3733</v>
      </c>
      <c r="L107" s="3054" t="s">
        <v>3425</v>
      </c>
      <c r="M107" s="3054">
        <v>9938</v>
      </c>
      <c r="N107" s="3054">
        <v>587</v>
      </c>
      <c r="O107" s="3054">
        <v>0</v>
      </c>
      <c r="P107" s="3054" t="s">
        <v>3121</v>
      </c>
      <c r="Q107" s="3054">
        <f>M107/(H107/666.67)</f>
        <v>78.262681810396245</v>
      </c>
      <c r="R107" s="3056">
        <f>N107*[3]年期修正系数!$G$9</f>
        <v>891.65299999999991</v>
      </c>
      <c r="S107" s="3054">
        <f>I107/H107</f>
        <v>2</v>
      </c>
      <c r="T107" s="3056">
        <f t="shared" si="23"/>
        <v>1337.4794999999999</v>
      </c>
      <c r="V107" s="3056">
        <f>T107*666.67/10000</f>
        <v>89.165745826499986</v>
      </c>
      <c r="AB107" s="3056">
        <f t="shared" si="19"/>
        <v>1173.9343574841564</v>
      </c>
      <c r="AC107" s="3056">
        <f>AB107*[3]年期修正系数!$G$9</f>
        <v>1783.2062890184334</v>
      </c>
      <c r="AD107" s="3056">
        <f t="shared" si="24"/>
        <v>2674.8094335276501</v>
      </c>
      <c r="AE107" s="3054">
        <f t="shared" si="20"/>
        <v>1573.4173138397941</v>
      </c>
      <c r="AF107" s="3054" t="e">
        <f t="shared" si="21"/>
        <v>#DIV/0!</v>
      </c>
      <c r="AG107" s="3054">
        <f t="shared" si="22"/>
        <v>1337.404716763825</v>
      </c>
    </row>
    <row r="108" spans="1:33" hidden="1">
      <c r="A108" s="3054" t="s">
        <v>3743</v>
      </c>
      <c r="B108" s="3054" t="s">
        <v>3224</v>
      </c>
      <c r="C108" s="3054" t="s">
        <v>3113</v>
      </c>
      <c r="D108" s="3054" t="s">
        <v>3744</v>
      </c>
      <c r="E108" s="3054" t="s">
        <v>3114</v>
      </c>
      <c r="F108" s="3054" t="s">
        <v>3745</v>
      </c>
      <c r="G108" s="3054" t="s">
        <v>3227</v>
      </c>
      <c r="H108" s="3054">
        <v>53689</v>
      </c>
      <c r="I108" s="3054">
        <v>110976</v>
      </c>
      <c r="J108" s="3054">
        <v>2.0699999999999998</v>
      </c>
      <c r="K108" s="3054" t="s">
        <v>3746</v>
      </c>
      <c r="L108" s="3054" t="s">
        <v>3747</v>
      </c>
      <c r="M108" s="3054">
        <v>208000</v>
      </c>
      <c r="N108" s="3054">
        <v>18742.79</v>
      </c>
      <c r="O108" s="3054">
        <v>0.97</v>
      </c>
      <c r="P108" s="3054" t="s">
        <v>3231</v>
      </c>
      <c r="R108" s="3054"/>
      <c r="T108" s="3054">
        <f>R108*$V$1</f>
        <v>0</v>
      </c>
      <c r="U108" s="3054"/>
      <c r="V108" s="3054"/>
      <c r="AB108" s="3054">
        <f t="shared" si="19"/>
        <v>38741.641677066065</v>
      </c>
      <c r="AC108" s="3054">
        <f>AB108*[3]年期修正系数!$G$9</f>
        <v>58848.553707463347</v>
      </c>
      <c r="AD108" s="3054">
        <f>AC108*$V$1</f>
        <v>88272.83056119502</v>
      </c>
      <c r="AE108" s="3054">
        <f t="shared" si="20"/>
        <v>51925.19444776178</v>
      </c>
      <c r="AF108" s="3054" t="e">
        <f t="shared" si="21"/>
        <v>#DIV/0!</v>
      </c>
      <c r="AG108" s="3054">
        <f t="shared" si="22"/>
        <v>44136.41528059751</v>
      </c>
    </row>
    <row r="109" spans="1:33" hidden="1">
      <c r="A109" s="3054" t="s">
        <v>3748</v>
      </c>
      <c r="B109" s="3054" t="s">
        <v>3233</v>
      </c>
      <c r="C109" s="3054" t="s">
        <v>3113</v>
      </c>
      <c r="D109" s="3054" t="s">
        <v>3744</v>
      </c>
      <c r="E109" s="3054" t="s">
        <v>3114</v>
      </c>
      <c r="F109" s="3054" t="s">
        <v>3749</v>
      </c>
      <c r="G109" s="3054" t="s">
        <v>3236</v>
      </c>
      <c r="H109" s="3054">
        <v>39735</v>
      </c>
      <c r="I109" s="3054">
        <v>87417</v>
      </c>
      <c r="J109" s="3054">
        <v>2.2000000000000002</v>
      </c>
      <c r="K109" s="3054" t="s">
        <v>3746</v>
      </c>
      <c r="L109" s="3054" t="s">
        <v>3281</v>
      </c>
      <c r="M109" s="3054">
        <v>172700</v>
      </c>
      <c r="N109" s="3054">
        <v>19755.88</v>
      </c>
      <c r="O109" s="3054">
        <v>1.59</v>
      </c>
      <c r="P109" s="3054" t="s">
        <v>3231</v>
      </c>
      <c r="R109" s="3054"/>
      <c r="T109" s="3054">
        <f>R109*$V$1</f>
        <v>0</v>
      </c>
      <c r="U109" s="3054"/>
      <c r="V109" s="3054"/>
      <c r="AB109" s="3054">
        <f t="shared" si="19"/>
        <v>43462.941990688312</v>
      </c>
      <c r="AC109" s="3054">
        <f>AB109*[3]年期修正系数!$G$9</f>
        <v>66020.208883855536</v>
      </c>
      <c r="AD109" s="3054">
        <f>AC109*$V$1</f>
        <v>99030.313325783296</v>
      </c>
      <c r="AE109" s="3054">
        <f t="shared" si="20"/>
        <v>58253.125485754885</v>
      </c>
      <c r="AF109" s="3054" t="e">
        <f t="shared" si="21"/>
        <v>#DIV/0!</v>
      </c>
      <c r="AG109" s="3054">
        <f t="shared" si="22"/>
        <v>49515.156662891648</v>
      </c>
    </row>
    <row r="110" spans="1:33">
      <c r="A110" s="3054" t="s">
        <v>3750</v>
      </c>
      <c r="B110" s="3054" t="s">
        <v>3112</v>
      </c>
      <c r="C110" s="3054" t="s">
        <v>3113</v>
      </c>
      <c r="D110" s="3054" t="s">
        <v>3272</v>
      </c>
      <c r="E110" s="3054" t="s">
        <v>3114</v>
      </c>
      <c r="F110" s="3054" t="s">
        <v>3751</v>
      </c>
      <c r="G110" s="3054" t="s">
        <v>3560</v>
      </c>
      <c r="H110" s="3054">
        <v>13485.05</v>
      </c>
      <c r="I110" s="3054">
        <v>26970</v>
      </c>
      <c r="J110" s="3054">
        <v>2</v>
      </c>
      <c r="K110" s="3054" t="s">
        <v>3752</v>
      </c>
      <c r="L110" s="3054" t="s">
        <v>3753</v>
      </c>
      <c r="M110" s="3054">
        <v>3073</v>
      </c>
      <c r="N110" s="3054">
        <v>1139.55</v>
      </c>
      <c r="O110" s="3054">
        <v>0</v>
      </c>
      <c r="P110" s="3054" t="s">
        <v>3128</v>
      </c>
      <c r="Q110" s="3054">
        <f>M110/(H110/666.67)</f>
        <v>151.92208482727168</v>
      </c>
      <c r="T110" s="3056">
        <f t="shared" si="23"/>
        <v>0</v>
      </c>
      <c r="AB110" s="3056">
        <f t="shared" si="19"/>
        <v>2278.8198783096836</v>
      </c>
      <c r="AC110" s="3056">
        <f>AB110*[3]年期修正系数!$G$9</f>
        <v>3461.5273951524091</v>
      </c>
      <c r="AD110" s="3056">
        <f t="shared" si="24"/>
        <v>5192.2910927286139</v>
      </c>
      <c r="AE110" s="3054">
        <f t="shared" si="20"/>
        <v>3054.2888780756552</v>
      </c>
      <c r="AF110" s="3054" t="e">
        <f t="shared" si="21"/>
        <v>#DIV/0!</v>
      </c>
      <c r="AG110" s="3054">
        <f t="shared" si="22"/>
        <v>2596.1455463643069</v>
      </c>
    </row>
    <row r="111" spans="1:33" hidden="1">
      <c r="A111" s="3054" t="s">
        <v>3754</v>
      </c>
      <c r="B111" s="3054" t="s">
        <v>3240</v>
      </c>
      <c r="C111" s="3054" t="s">
        <v>3283</v>
      </c>
      <c r="D111" s="3054" t="s">
        <v>3755</v>
      </c>
      <c r="E111" s="3054" t="s">
        <v>3292</v>
      </c>
      <c r="F111" s="3054" t="s">
        <v>3756</v>
      </c>
      <c r="G111" s="3054" t="s">
        <v>3244</v>
      </c>
      <c r="H111" s="3054">
        <v>39410.74</v>
      </c>
      <c r="I111" s="3054">
        <v>120000</v>
      </c>
      <c r="J111" s="3054">
        <v>3.04</v>
      </c>
      <c r="K111" s="3054" t="s">
        <v>3757</v>
      </c>
      <c r="L111" s="3054" t="s">
        <v>3758</v>
      </c>
      <c r="M111" s="3054">
        <v>318758</v>
      </c>
      <c r="N111" s="3054">
        <v>26563.16</v>
      </c>
      <c r="O111" s="3054">
        <v>0</v>
      </c>
      <c r="P111" s="3054" t="s">
        <v>3358</v>
      </c>
      <c r="R111" s="3054"/>
      <c r="T111" s="3054">
        <f t="shared" ref="T111:T117" si="25">R111*$V$1</f>
        <v>0</v>
      </c>
      <c r="U111" s="3054"/>
      <c r="V111" s="3054"/>
      <c r="AB111" s="3054">
        <f t="shared" si="19"/>
        <v>80880.9984283472</v>
      </c>
      <c r="AC111" s="3054">
        <f>AB111*[3]年期修正系数!$G$9</f>
        <v>122858.23661265938</v>
      </c>
      <c r="AD111" s="3054">
        <f t="shared" ref="AD111:AD117" si="26">AC111*$V$1</f>
        <v>184287.35491898906</v>
      </c>
      <c r="AE111" s="3054">
        <f t="shared" si="20"/>
        <v>108404.32642293474</v>
      </c>
      <c r="AF111" s="3054" t="e">
        <f t="shared" si="21"/>
        <v>#DIV/0!</v>
      </c>
      <c r="AG111" s="3054">
        <f t="shared" si="22"/>
        <v>92143.677459494531</v>
      </c>
    </row>
    <row r="112" spans="1:33" hidden="1">
      <c r="A112" s="3054" t="s">
        <v>3759</v>
      </c>
      <c r="B112" s="3054" t="s">
        <v>3233</v>
      </c>
      <c r="C112" s="3054" t="s">
        <v>3329</v>
      </c>
      <c r="D112" s="3054" t="s">
        <v>3706</v>
      </c>
      <c r="E112" s="3054" t="s">
        <v>3114</v>
      </c>
      <c r="F112" s="3054" t="s">
        <v>3760</v>
      </c>
      <c r="G112" s="3054" t="s">
        <v>3236</v>
      </c>
      <c r="H112" s="3054">
        <v>47849.94</v>
      </c>
      <c r="I112" s="3054">
        <v>76560</v>
      </c>
      <c r="J112" s="3054">
        <v>1.6</v>
      </c>
      <c r="K112" s="3054" t="s">
        <v>3761</v>
      </c>
      <c r="L112" s="3054" t="s">
        <v>3762</v>
      </c>
      <c r="M112" s="3054">
        <v>175000</v>
      </c>
      <c r="N112" s="3054">
        <v>22857.88</v>
      </c>
      <c r="O112" s="3054">
        <v>41.13</v>
      </c>
      <c r="P112" s="3054" t="s">
        <v>3231</v>
      </c>
      <c r="R112" s="3054"/>
      <c r="T112" s="3054">
        <f t="shared" si="25"/>
        <v>0</v>
      </c>
      <c r="U112" s="3054"/>
      <c r="V112" s="3054"/>
      <c r="AB112" s="3054">
        <f t="shared" si="19"/>
        <v>36572.66863866496</v>
      </c>
      <c r="AC112" s="3054">
        <f>AB112*[3]年期修正系数!$G$9</f>
        <v>55553.883662132073</v>
      </c>
      <c r="AD112" s="3054">
        <f t="shared" si="26"/>
        <v>83330.825493198106</v>
      </c>
      <c r="AE112" s="3054">
        <f t="shared" si="20"/>
        <v>49018.13264305771</v>
      </c>
      <c r="AF112" s="3054" t="e">
        <f t="shared" si="21"/>
        <v>#DIV/0!</v>
      </c>
      <c r="AG112" s="3054">
        <f t="shared" si="22"/>
        <v>41665.412746599053</v>
      </c>
    </row>
    <row r="113" spans="1:33" hidden="1">
      <c r="A113" s="3054" t="s">
        <v>3763</v>
      </c>
      <c r="B113" s="3054" t="s">
        <v>3233</v>
      </c>
      <c r="C113" s="3054" t="s">
        <v>3324</v>
      </c>
      <c r="D113" s="3054" t="s">
        <v>3764</v>
      </c>
      <c r="E113" s="3054" t="s">
        <v>3114</v>
      </c>
      <c r="F113" s="3054" t="s">
        <v>3765</v>
      </c>
      <c r="G113" s="3054" t="s">
        <v>3236</v>
      </c>
      <c r="H113" s="3054">
        <v>36365.370000000003</v>
      </c>
      <c r="I113" s="3054">
        <v>65458</v>
      </c>
      <c r="J113" s="3054">
        <v>1.8</v>
      </c>
      <c r="K113" s="3054" t="s">
        <v>3761</v>
      </c>
      <c r="L113" s="3054" t="s">
        <v>3766</v>
      </c>
      <c r="M113" s="3054">
        <v>260000</v>
      </c>
      <c r="N113" s="3054">
        <v>39720.120000000003</v>
      </c>
      <c r="O113" s="3054">
        <v>44.44</v>
      </c>
      <c r="P113" s="3054" t="s">
        <v>3231</v>
      </c>
      <c r="R113" s="3054"/>
      <c r="T113" s="3054">
        <f t="shared" si="25"/>
        <v>0</v>
      </c>
      <c r="U113" s="3054"/>
      <c r="V113" s="3054"/>
      <c r="AB113" s="3054">
        <f t="shared" si="19"/>
        <v>71496.591400004996</v>
      </c>
      <c r="AC113" s="3054">
        <f>AB113*[3]年期修正系数!$G$9</f>
        <v>108603.32233660758</v>
      </c>
      <c r="AD113" s="3054">
        <f t="shared" si="26"/>
        <v>162904.98350491136</v>
      </c>
      <c r="AE113" s="3054">
        <f t="shared" si="20"/>
        <v>95826.460885241977</v>
      </c>
      <c r="AF113" s="3054" t="e">
        <f t="shared" si="21"/>
        <v>#DIV/0!</v>
      </c>
      <c r="AG113" s="3054">
        <f t="shared" si="22"/>
        <v>81452.49175245568</v>
      </c>
    </row>
    <row r="114" spans="1:33" hidden="1">
      <c r="A114" s="3054" t="s">
        <v>3767</v>
      </c>
      <c r="B114" s="3054" t="s">
        <v>3224</v>
      </c>
      <c r="C114" s="3054" t="s">
        <v>3324</v>
      </c>
      <c r="D114" s="3054" t="s">
        <v>3655</v>
      </c>
      <c r="E114" s="3054" t="s">
        <v>3114</v>
      </c>
      <c r="F114" s="3054" t="s">
        <v>3768</v>
      </c>
      <c r="G114" s="3054" t="s">
        <v>3227</v>
      </c>
      <c r="H114" s="3054">
        <v>151738.6</v>
      </c>
      <c r="I114" s="3054">
        <v>152374</v>
      </c>
      <c r="J114" s="3054">
        <v>1.004</v>
      </c>
      <c r="K114" s="3054" t="s">
        <v>3769</v>
      </c>
      <c r="L114" s="3054" t="s">
        <v>3647</v>
      </c>
      <c r="M114" s="3054">
        <v>685400</v>
      </c>
      <c r="N114" s="3054">
        <v>44981.43</v>
      </c>
      <c r="O114" s="3054">
        <v>49</v>
      </c>
      <c r="P114" s="3054" t="s">
        <v>3231</v>
      </c>
      <c r="R114" s="3054"/>
      <c r="T114" s="3054">
        <f t="shared" si="25"/>
        <v>0</v>
      </c>
      <c r="U114" s="3054"/>
      <c r="V114" s="3054"/>
      <c r="AB114" s="3054">
        <f t="shared" si="19"/>
        <v>45169.785407272771</v>
      </c>
      <c r="AC114" s="3054">
        <f>AB114*[3]年期修正系数!$G$9</f>
        <v>68612.904033647341</v>
      </c>
      <c r="AD114" s="3054">
        <f t="shared" si="26"/>
        <v>102919.35605047102</v>
      </c>
      <c r="AE114" s="3054">
        <f t="shared" si="20"/>
        <v>60540.797676747658</v>
      </c>
      <c r="AF114" s="3054" t="e">
        <f t="shared" si="21"/>
        <v>#DIV/0!</v>
      </c>
      <c r="AG114" s="3054">
        <f t="shared" si="22"/>
        <v>51459.678025235509</v>
      </c>
    </row>
    <row r="115" spans="1:33" hidden="1">
      <c r="A115" s="3054" t="s">
        <v>3770</v>
      </c>
      <c r="B115" s="3054" t="s">
        <v>3224</v>
      </c>
      <c r="C115" s="3054" t="s">
        <v>3283</v>
      </c>
      <c r="D115" s="3054" t="s">
        <v>3771</v>
      </c>
      <c r="E115" s="3054" t="s">
        <v>3114</v>
      </c>
      <c r="F115" s="3054" t="s">
        <v>3772</v>
      </c>
      <c r="G115" s="3054" t="s">
        <v>3773</v>
      </c>
      <c r="H115" s="3054">
        <v>90247.13</v>
      </c>
      <c r="I115" s="3054">
        <v>290836</v>
      </c>
      <c r="J115" s="3054">
        <v>3.2229999999999999</v>
      </c>
      <c r="K115" s="3054" t="s">
        <v>3769</v>
      </c>
      <c r="L115" s="3054" t="s">
        <v>3774</v>
      </c>
      <c r="M115" s="3054">
        <v>498000</v>
      </c>
      <c r="N115" s="3054">
        <v>17123.04</v>
      </c>
      <c r="O115" s="3054">
        <v>0</v>
      </c>
      <c r="P115" s="3054" t="s">
        <v>3231</v>
      </c>
      <c r="R115" s="3054"/>
      <c r="T115" s="3054">
        <f t="shared" si="25"/>
        <v>0</v>
      </c>
      <c r="U115" s="3054"/>
      <c r="V115" s="3054"/>
      <c r="AB115" s="3054">
        <f t="shared" si="19"/>
        <v>55181.810213798482</v>
      </c>
      <c r="AC115" s="3054">
        <f>AB115*[3]年期修正系数!$G$9</f>
        <v>83821.16971475989</v>
      </c>
      <c r="AD115" s="3054">
        <f t="shared" si="26"/>
        <v>125731.75457213983</v>
      </c>
      <c r="AE115" s="3054">
        <f t="shared" si="20"/>
        <v>73959.8556306705</v>
      </c>
      <c r="AF115" s="3054" t="e">
        <f t="shared" si="21"/>
        <v>#DIV/0!</v>
      </c>
      <c r="AG115" s="3054">
        <f t="shared" si="22"/>
        <v>62865.877286069917</v>
      </c>
    </row>
    <row r="116" spans="1:33" hidden="1">
      <c r="A116" s="3054" t="s">
        <v>3775</v>
      </c>
      <c r="B116" s="3054" t="s">
        <v>3240</v>
      </c>
      <c r="C116" s="3054" t="s">
        <v>3329</v>
      </c>
      <c r="D116" s="3054" t="s">
        <v>3776</v>
      </c>
      <c r="E116" s="3054" t="s">
        <v>3114</v>
      </c>
      <c r="F116" s="3054" t="s">
        <v>3777</v>
      </c>
      <c r="G116" s="3054" t="s">
        <v>3244</v>
      </c>
      <c r="H116" s="3054">
        <v>113768</v>
      </c>
      <c r="I116" s="3054">
        <v>119494</v>
      </c>
      <c r="J116" s="3054">
        <v>1.05</v>
      </c>
      <c r="K116" s="3054" t="s">
        <v>3778</v>
      </c>
      <c r="L116" s="3054" t="s">
        <v>3779</v>
      </c>
      <c r="M116" s="3054">
        <v>74000</v>
      </c>
      <c r="N116" s="3054">
        <v>6192.77</v>
      </c>
      <c r="O116" s="3054">
        <v>0</v>
      </c>
      <c r="P116" s="3054" t="s">
        <v>3358</v>
      </c>
      <c r="R116" s="3054"/>
      <c r="T116" s="3054">
        <f t="shared" si="25"/>
        <v>0</v>
      </c>
      <c r="U116" s="3054"/>
      <c r="V116" s="3054"/>
      <c r="AB116" s="3054">
        <f t="shared" si="19"/>
        <v>6504.4652274804866</v>
      </c>
      <c r="AC116" s="3054">
        <f>AB116*[3]年期修正系数!$G$9</f>
        <v>9880.2826805428595</v>
      </c>
      <c r="AD116" s="3054">
        <f t="shared" si="26"/>
        <v>14820.424020814289</v>
      </c>
      <c r="AE116" s="3054">
        <f t="shared" si="20"/>
        <v>8717.8964828319349</v>
      </c>
      <c r="AF116" s="3054" t="e">
        <f t="shared" si="21"/>
        <v>#DIV/0!</v>
      </c>
      <c r="AG116" s="3054">
        <f t="shared" si="22"/>
        <v>7410.2120104071446</v>
      </c>
    </row>
    <row r="117" spans="1:33" hidden="1">
      <c r="A117" s="3054" t="s">
        <v>3780</v>
      </c>
      <c r="B117" s="3054" t="s">
        <v>3240</v>
      </c>
      <c r="C117" s="3054" t="s">
        <v>3113</v>
      </c>
      <c r="D117" s="3054" t="s">
        <v>3780</v>
      </c>
      <c r="E117" s="3054" t="s">
        <v>3114</v>
      </c>
      <c r="F117" s="3054" t="s">
        <v>3781</v>
      </c>
      <c r="G117" s="3054" t="s">
        <v>3782</v>
      </c>
      <c r="H117" s="3054">
        <v>33071.620000000003</v>
      </c>
      <c r="I117" s="3054">
        <v>122423</v>
      </c>
      <c r="J117" s="3054">
        <v>3.7</v>
      </c>
      <c r="K117" s="3054" t="s">
        <v>3783</v>
      </c>
      <c r="L117" s="3054" t="s">
        <v>3784</v>
      </c>
      <c r="M117" s="3054">
        <v>183000</v>
      </c>
      <c r="N117" s="3054">
        <v>14948.05</v>
      </c>
      <c r="O117" s="3054">
        <v>0</v>
      </c>
      <c r="P117" s="3054" t="s">
        <v>3316</v>
      </c>
      <c r="R117" s="3054"/>
      <c r="T117" s="3054">
        <f t="shared" si="25"/>
        <v>0</v>
      </c>
      <c r="U117" s="3054"/>
      <c r="V117" s="3054"/>
      <c r="AB117" s="3054">
        <f t="shared" si="19"/>
        <v>55334.452923685014</v>
      </c>
      <c r="AC117" s="3054">
        <f>AB117*[3]年期修正系数!$G$9</f>
        <v>84053.033991077536</v>
      </c>
      <c r="AD117" s="3054">
        <f t="shared" si="26"/>
        <v>126079.5509866163</v>
      </c>
      <c r="AE117" s="3054">
        <f t="shared" ref="AE117" si="27">AD117/$X$250</f>
        <v>74164.441756833126</v>
      </c>
      <c r="AF117" s="3054" t="e">
        <f t="shared" si="21"/>
        <v>#DIV/0!</v>
      </c>
      <c r="AG117" s="3054">
        <f t="shared" si="22"/>
        <v>63039.775493308152</v>
      </c>
    </row>
    <row r="118" spans="1:33">
      <c r="A118" s="3054" t="s">
        <v>3785</v>
      </c>
      <c r="B118" s="3054" t="s">
        <v>3112</v>
      </c>
      <c r="C118" s="3054" t="s">
        <v>3113</v>
      </c>
      <c r="D118" s="3054" t="s">
        <v>3785</v>
      </c>
      <c r="E118" s="3054" t="s">
        <v>3114</v>
      </c>
      <c r="F118" s="3054" t="s">
        <v>3786</v>
      </c>
      <c r="G118" s="3054" t="s">
        <v>6</v>
      </c>
      <c r="H118" s="3054">
        <v>73230.3</v>
      </c>
      <c r="I118" s="3054">
        <v>124491</v>
      </c>
      <c r="J118" s="3054" t="s">
        <v>3787</v>
      </c>
      <c r="K118" s="3054" t="s">
        <v>3788</v>
      </c>
      <c r="L118" s="3054" t="s">
        <v>3789</v>
      </c>
      <c r="M118" s="3054">
        <v>9038</v>
      </c>
      <c r="N118" s="3054">
        <v>726</v>
      </c>
      <c r="O118" s="3054">
        <v>0</v>
      </c>
      <c r="P118" s="3054" t="s">
        <v>3121</v>
      </c>
      <c r="Q118" s="3054">
        <f>M118/(H118/666.67)</f>
        <v>82.279650090194906</v>
      </c>
      <c r="R118" s="3056">
        <f>N118*[3]年期修正系数!$G$9</f>
        <v>1102.7939999999999</v>
      </c>
      <c r="S118" s="3054">
        <f>I118/H118</f>
        <v>1.6999930356696613</v>
      </c>
      <c r="T118" s="3056">
        <f t="shared" si="23"/>
        <v>1654.1909999999998</v>
      </c>
      <c r="V118" s="3056">
        <f>T118*666.67/10000</f>
        <v>110.27995139699998</v>
      </c>
      <c r="AB118" s="3056">
        <f t="shared" si="19"/>
        <v>1234.1885804100216</v>
      </c>
      <c r="AC118" s="3056">
        <f>AB118*[3]年期修正系数!$G$9</f>
        <v>1874.7324536428227</v>
      </c>
      <c r="AD118" s="3056">
        <f t="shared" si="24"/>
        <v>2812.0986804642343</v>
      </c>
      <c r="AE118" s="3054">
        <f t="shared" ref="AE118:AE119" si="28">AD118/$X$250</f>
        <v>1654.1756943907262</v>
      </c>
      <c r="AF118" s="3054" t="e">
        <f t="shared" ref="AF118:AF119" si="29">AD118/$Y$250</f>
        <v>#DIV/0!</v>
      </c>
      <c r="AG118" s="3054">
        <f t="shared" ref="AG118:AG119" si="30">AD118/$Z$250</f>
        <v>1406.0493402321172</v>
      </c>
    </row>
    <row r="119" spans="1:33">
      <c r="A119" s="3054" t="s">
        <v>3790</v>
      </c>
      <c r="B119" s="3054" t="s">
        <v>3112</v>
      </c>
      <c r="C119" s="3054" t="s">
        <v>3113</v>
      </c>
      <c r="D119" s="3054" t="s">
        <v>3790</v>
      </c>
      <c r="E119" s="3054" t="s">
        <v>3114</v>
      </c>
      <c r="F119" s="3054" t="s">
        <v>3791</v>
      </c>
      <c r="G119" s="3054" t="s">
        <v>6</v>
      </c>
      <c r="H119" s="3054">
        <v>11958.6</v>
      </c>
      <c r="I119" s="3054">
        <v>17937</v>
      </c>
      <c r="J119" s="3054">
        <v>1.5</v>
      </c>
      <c r="K119" s="3054" t="s">
        <v>3788</v>
      </c>
      <c r="L119" s="3054" t="s">
        <v>3792</v>
      </c>
      <c r="M119" s="3054">
        <v>1302</v>
      </c>
      <c r="N119" s="3054">
        <v>726</v>
      </c>
      <c r="O119" s="3054">
        <v>0</v>
      </c>
      <c r="P119" s="3054" t="s">
        <v>3121</v>
      </c>
      <c r="Q119" s="3054">
        <f>M119/(H119/666.67)</f>
        <v>72.584110180121414</v>
      </c>
      <c r="R119" s="3056">
        <f>N119*[3]年期修正系数!$G$9</f>
        <v>1102.7939999999999</v>
      </c>
      <c r="S119" s="3054">
        <f>I119/H119</f>
        <v>1.499924740354222</v>
      </c>
      <c r="T119" s="3056">
        <f t="shared" si="23"/>
        <v>1654.1909999999998</v>
      </c>
      <c r="V119" s="3056">
        <f>T119*666.67/10000</f>
        <v>110.27995139699998</v>
      </c>
      <c r="AB119" s="3056">
        <f t="shared" si="19"/>
        <v>1088.7562089207765</v>
      </c>
      <c r="AC119" s="3056">
        <f>AB119*[3]年期修正系数!$G$9</f>
        <v>1653.8206813506595</v>
      </c>
      <c r="AD119" s="3056">
        <f t="shared" si="24"/>
        <v>2480.7310220259892</v>
      </c>
      <c r="AE119" s="3054">
        <f t="shared" si="28"/>
        <v>1459.2535423682291</v>
      </c>
      <c r="AF119" s="3054" t="e">
        <f t="shared" si="29"/>
        <v>#DIV/0!</v>
      </c>
      <c r="AG119" s="3054">
        <f t="shared" si="30"/>
        <v>1240.3655110129946</v>
      </c>
    </row>
    <row r="120" spans="1:33" hidden="1">
      <c r="A120" s="3054" t="s">
        <v>3793</v>
      </c>
      <c r="B120" s="3054" t="s">
        <v>3224</v>
      </c>
      <c r="C120" s="3054" t="s">
        <v>3674</v>
      </c>
      <c r="D120" s="3054" t="s">
        <v>3794</v>
      </c>
      <c r="E120" s="3054" t="s">
        <v>3114</v>
      </c>
      <c r="F120" s="3054" t="s">
        <v>3795</v>
      </c>
      <c r="G120" s="3054" t="s">
        <v>3344</v>
      </c>
      <c r="H120" s="3054">
        <v>123689.1</v>
      </c>
      <c r="I120" s="3054">
        <v>197903</v>
      </c>
      <c r="J120" s="3054">
        <v>1.6</v>
      </c>
      <c r="K120" s="3054" t="s">
        <v>3796</v>
      </c>
      <c r="L120" s="3054" t="s">
        <v>3797</v>
      </c>
      <c r="M120" s="3054">
        <v>332000</v>
      </c>
      <c r="N120" s="3054">
        <v>16775.900000000001</v>
      </c>
      <c r="O120" s="3054">
        <v>9.7200000000000006</v>
      </c>
      <c r="P120" s="3054" t="s">
        <v>3231</v>
      </c>
      <c r="R120" s="3054"/>
      <c r="T120" s="3054"/>
      <c r="U120" s="3054"/>
      <c r="V120" s="3054"/>
    </row>
    <row r="121" spans="1:33" hidden="1">
      <c r="A121" s="3054" t="s">
        <v>3798</v>
      </c>
      <c r="B121" s="3054" t="s">
        <v>3240</v>
      </c>
      <c r="C121" s="3054" t="s">
        <v>3674</v>
      </c>
      <c r="D121" s="3054" t="s">
        <v>3799</v>
      </c>
      <c r="E121" s="3054" t="s">
        <v>3292</v>
      </c>
      <c r="F121" s="3054" t="s">
        <v>3800</v>
      </c>
      <c r="G121" s="3054" t="s">
        <v>3801</v>
      </c>
      <c r="H121" s="3054">
        <v>338760.2</v>
      </c>
      <c r="I121" s="3054">
        <v>232306</v>
      </c>
      <c r="J121" s="3054">
        <v>0.69</v>
      </c>
      <c r="K121" s="3054" t="s">
        <v>3802</v>
      </c>
      <c r="L121" s="3054" t="s">
        <v>3803</v>
      </c>
      <c r="M121" s="3054">
        <v>89500</v>
      </c>
      <c r="N121" s="3054">
        <v>3852.67</v>
      </c>
      <c r="O121" s="3054">
        <v>0</v>
      </c>
      <c r="P121" s="3054" t="s">
        <v>3358</v>
      </c>
      <c r="R121" s="3054"/>
      <c r="T121" s="3054"/>
      <c r="U121" s="3054"/>
      <c r="V121" s="3054"/>
    </row>
    <row r="122" spans="1:33" hidden="1">
      <c r="A122" s="3054" t="s">
        <v>3804</v>
      </c>
      <c r="B122" s="3054" t="s">
        <v>3240</v>
      </c>
      <c r="C122" s="3054" t="s">
        <v>3435</v>
      </c>
      <c r="D122" s="3054" t="s">
        <v>3436</v>
      </c>
      <c r="E122" s="3054" t="s">
        <v>3114</v>
      </c>
      <c r="F122" s="3054" t="s">
        <v>3805</v>
      </c>
      <c r="G122" s="3054" t="s">
        <v>3312</v>
      </c>
      <c r="H122" s="3054">
        <v>18015.060000000001</v>
      </c>
      <c r="I122" s="3054">
        <v>54046</v>
      </c>
      <c r="J122" s="3054">
        <v>3</v>
      </c>
      <c r="K122" s="3054" t="s">
        <v>3806</v>
      </c>
      <c r="L122" s="3054" t="s">
        <v>3807</v>
      </c>
      <c r="M122" s="3054">
        <v>60000</v>
      </c>
      <c r="N122" s="3054">
        <v>11101.64</v>
      </c>
      <c r="O122" s="3054">
        <v>0</v>
      </c>
      <c r="P122" s="3054" t="s">
        <v>3358</v>
      </c>
      <c r="R122" s="3054"/>
      <c r="T122" s="3054"/>
      <c r="U122" s="3054"/>
      <c r="V122" s="3054"/>
    </row>
    <row r="123" spans="1:33" hidden="1">
      <c r="A123" s="3054" t="s">
        <v>3808</v>
      </c>
      <c r="B123" s="3054" t="s">
        <v>3233</v>
      </c>
      <c r="C123" s="3054" t="s">
        <v>3241</v>
      </c>
      <c r="D123" s="3054" t="s">
        <v>3516</v>
      </c>
      <c r="E123" s="3054" t="s">
        <v>3114</v>
      </c>
      <c r="F123" s="3054" t="s">
        <v>3809</v>
      </c>
      <c r="G123" s="3054" t="s">
        <v>3236</v>
      </c>
      <c r="H123" s="3054">
        <v>39199.449999999997</v>
      </c>
      <c r="I123" s="3054">
        <v>97998</v>
      </c>
      <c r="J123" s="3054">
        <v>2.5</v>
      </c>
      <c r="K123" s="3054" t="s">
        <v>3810</v>
      </c>
      <c r="L123" s="3054" t="s">
        <v>3811</v>
      </c>
      <c r="M123" s="3054">
        <v>157000</v>
      </c>
      <c r="N123" s="3054">
        <v>16020.73</v>
      </c>
      <c r="O123" s="3054">
        <v>33.619999999999997</v>
      </c>
      <c r="P123" s="3054" t="s">
        <v>3231</v>
      </c>
      <c r="R123" s="3054"/>
      <c r="T123" s="3054"/>
      <c r="U123" s="3054"/>
      <c r="V123" s="3054"/>
    </row>
    <row r="124" spans="1:33" hidden="1">
      <c r="A124" s="3054" t="s">
        <v>3812</v>
      </c>
      <c r="B124" s="3054" t="s">
        <v>3224</v>
      </c>
      <c r="C124" s="3054" t="s">
        <v>3378</v>
      </c>
      <c r="D124" s="3054" t="s">
        <v>3813</v>
      </c>
      <c r="E124" s="3054" t="s">
        <v>3114</v>
      </c>
      <c r="F124" s="3054" t="s">
        <v>3814</v>
      </c>
      <c r="G124" s="3054" t="s">
        <v>3227</v>
      </c>
      <c r="H124" s="3054">
        <v>51499.68</v>
      </c>
      <c r="I124" s="3054">
        <v>123649</v>
      </c>
      <c r="J124" s="3054">
        <v>2.4</v>
      </c>
      <c r="K124" s="3054" t="s">
        <v>3810</v>
      </c>
      <c r="L124" s="3054" t="s">
        <v>3815</v>
      </c>
      <c r="M124" s="3054">
        <v>91000</v>
      </c>
      <c r="N124" s="3054">
        <v>7359.53</v>
      </c>
      <c r="O124" s="3054">
        <v>15.04</v>
      </c>
      <c r="P124" s="3054" t="s">
        <v>3231</v>
      </c>
      <c r="R124" s="3054"/>
      <c r="T124" s="3054"/>
      <c r="U124" s="3054"/>
      <c r="V124" s="3054"/>
    </row>
    <row r="125" spans="1:33" hidden="1">
      <c r="A125" s="3054" t="s">
        <v>3816</v>
      </c>
      <c r="B125" s="3054" t="s">
        <v>3224</v>
      </c>
      <c r="C125" s="3054" t="s">
        <v>3435</v>
      </c>
      <c r="D125" s="3054" t="s">
        <v>3817</v>
      </c>
      <c r="E125" s="3054" t="s">
        <v>3114</v>
      </c>
      <c r="F125" s="3054" t="s">
        <v>3818</v>
      </c>
      <c r="G125" s="3054" t="s">
        <v>3819</v>
      </c>
      <c r="H125" s="3054">
        <v>32797.360000000001</v>
      </c>
      <c r="I125" s="3054">
        <v>91833</v>
      </c>
      <c r="J125" s="3054">
        <v>2.8</v>
      </c>
      <c r="K125" s="3054" t="s">
        <v>3810</v>
      </c>
      <c r="L125" s="3054" t="s">
        <v>3647</v>
      </c>
      <c r="M125" s="3054">
        <v>165000</v>
      </c>
      <c r="N125" s="3054">
        <v>17967.400000000001</v>
      </c>
      <c r="O125" s="3054">
        <v>0</v>
      </c>
      <c r="P125" s="3054" t="s">
        <v>3231</v>
      </c>
      <c r="R125" s="3054"/>
      <c r="T125" s="3054"/>
      <c r="U125" s="3054"/>
      <c r="V125" s="3054"/>
    </row>
    <row r="126" spans="1:33" hidden="1">
      <c r="A126" s="3054" t="s">
        <v>3820</v>
      </c>
      <c r="B126" s="3054" t="s">
        <v>3233</v>
      </c>
      <c r="C126" s="3054" t="s">
        <v>3435</v>
      </c>
      <c r="D126" s="3054" t="s">
        <v>3821</v>
      </c>
      <c r="E126" s="3054" t="s">
        <v>3114</v>
      </c>
      <c r="F126" s="3054" t="s">
        <v>3822</v>
      </c>
      <c r="G126" s="3054" t="s">
        <v>3236</v>
      </c>
      <c r="H126" s="3054">
        <v>82458.61</v>
      </c>
      <c r="I126" s="3054">
        <v>99309</v>
      </c>
      <c r="J126" s="3054">
        <v>1.2</v>
      </c>
      <c r="K126" s="3054" t="s">
        <v>3823</v>
      </c>
      <c r="L126" s="3054" t="s">
        <v>3824</v>
      </c>
      <c r="M126" s="3054">
        <v>345000</v>
      </c>
      <c r="N126" s="3054">
        <v>34740.050000000003</v>
      </c>
      <c r="O126" s="3054">
        <v>28.83</v>
      </c>
      <c r="P126" s="3054" t="s">
        <v>3231</v>
      </c>
      <c r="R126" s="3054"/>
      <c r="T126" s="3054"/>
      <c r="U126" s="3054"/>
      <c r="V126" s="3054"/>
    </row>
    <row r="127" spans="1:33" hidden="1">
      <c r="A127" s="3054" t="s">
        <v>3825</v>
      </c>
      <c r="B127" s="3054" t="s">
        <v>3233</v>
      </c>
      <c r="C127" s="3054" t="s">
        <v>3113</v>
      </c>
      <c r="D127" s="3054" t="s">
        <v>3272</v>
      </c>
      <c r="E127" s="3054" t="s">
        <v>3114</v>
      </c>
      <c r="F127" s="3054" t="s">
        <v>3826</v>
      </c>
      <c r="G127" s="3054" t="s">
        <v>3236</v>
      </c>
      <c r="H127" s="3054">
        <v>74464</v>
      </c>
      <c r="I127" s="3054">
        <v>119142</v>
      </c>
      <c r="J127" s="3054">
        <v>1.6</v>
      </c>
      <c r="K127" s="3054" t="s">
        <v>3823</v>
      </c>
      <c r="L127" s="3054" t="s">
        <v>3281</v>
      </c>
      <c r="M127" s="3054">
        <v>327500</v>
      </c>
      <c r="N127" s="3054">
        <v>27488.2</v>
      </c>
      <c r="O127" s="3054">
        <v>42.39</v>
      </c>
      <c r="P127" s="3054" t="s">
        <v>3231</v>
      </c>
      <c r="R127" s="3054"/>
      <c r="T127" s="3054"/>
      <c r="U127" s="3054"/>
      <c r="V127" s="3054"/>
    </row>
    <row r="128" spans="1:33" hidden="1">
      <c r="A128" s="3054" t="s">
        <v>3827</v>
      </c>
      <c r="B128" s="3054" t="s">
        <v>3224</v>
      </c>
      <c r="C128" s="3054" t="s">
        <v>3435</v>
      </c>
      <c r="D128" s="3054" t="s">
        <v>3821</v>
      </c>
      <c r="E128" s="3054" t="s">
        <v>3114</v>
      </c>
      <c r="F128" s="3054" t="s">
        <v>3828</v>
      </c>
      <c r="G128" s="3054" t="s">
        <v>3829</v>
      </c>
      <c r="H128" s="3054">
        <v>315990.3</v>
      </c>
      <c r="I128" s="3054">
        <v>272690</v>
      </c>
      <c r="J128" s="3054">
        <v>0.86</v>
      </c>
      <c r="K128" s="3054" t="s">
        <v>3823</v>
      </c>
      <c r="L128" s="3054" t="s">
        <v>3830</v>
      </c>
      <c r="M128" s="3054">
        <v>465000</v>
      </c>
      <c r="N128" s="3054">
        <v>17052.330000000002</v>
      </c>
      <c r="O128" s="3054">
        <v>0</v>
      </c>
      <c r="P128" s="3054" t="s">
        <v>3231</v>
      </c>
      <c r="R128" s="3054"/>
      <c r="T128" s="3054"/>
      <c r="U128" s="3054"/>
      <c r="V128" s="3054"/>
    </row>
    <row r="129" spans="1:22" hidden="1">
      <c r="A129" s="3054" t="s">
        <v>3831</v>
      </c>
      <c r="B129" s="3054" t="s">
        <v>3233</v>
      </c>
      <c r="C129" s="3054" t="s">
        <v>3283</v>
      </c>
      <c r="D129" s="3054" t="s">
        <v>3771</v>
      </c>
      <c r="E129" s="3054" t="s">
        <v>3114</v>
      </c>
      <c r="F129" s="3054" t="s">
        <v>3832</v>
      </c>
      <c r="G129" s="3054" t="s">
        <v>3236</v>
      </c>
      <c r="H129" s="3054">
        <v>27200</v>
      </c>
      <c r="I129" s="3054">
        <v>76160</v>
      </c>
      <c r="J129" s="3054">
        <v>2.8</v>
      </c>
      <c r="K129" s="3054" t="s">
        <v>3833</v>
      </c>
      <c r="L129" s="3054" t="s">
        <v>3834</v>
      </c>
      <c r="M129" s="3054">
        <v>312500</v>
      </c>
      <c r="N129" s="3054">
        <v>41032.04</v>
      </c>
      <c r="O129" s="3054">
        <v>4.83</v>
      </c>
      <c r="P129" s="3054" t="s">
        <v>3231</v>
      </c>
      <c r="R129" s="3054"/>
      <c r="T129" s="3054"/>
      <c r="U129" s="3054"/>
      <c r="V129" s="3054"/>
    </row>
    <row r="130" spans="1:22" hidden="1">
      <c r="A130" s="3054" t="s">
        <v>3835</v>
      </c>
      <c r="B130" s="3054" t="s">
        <v>3224</v>
      </c>
      <c r="C130" s="3054" t="s">
        <v>3113</v>
      </c>
      <c r="D130" s="3054" t="s">
        <v>3250</v>
      </c>
      <c r="E130" s="3054" t="s">
        <v>3114</v>
      </c>
      <c r="F130" s="3054" t="s">
        <v>3836</v>
      </c>
      <c r="G130" s="3054" t="s">
        <v>3286</v>
      </c>
      <c r="H130" s="3054">
        <v>39491.11</v>
      </c>
      <c r="I130" s="3054">
        <v>98728</v>
      </c>
      <c r="J130" s="3054">
        <v>2.5</v>
      </c>
      <c r="K130" s="3054" t="s">
        <v>3833</v>
      </c>
      <c r="L130" s="3054" t="s">
        <v>3837</v>
      </c>
      <c r="M130" s="3054">
        <v>302500</v>
      </c>
      <c r="N130" s="3054">
        <v>30639.74</v>
      </c>
      <c r="O130" s="3054">
        <v>13.72</v>
      </c>
      <c r="P130" s="3054" t="s">
        <v>3231</v>
      </c>
      <c r="R130" s="3054"/>
      <c r="T130" s="3054"/>
      <c r="U130" s="3054"/>
      <c r="V130" s="3054"/>
    </row>
    <row r="131" spans="1:22" hidden="1">
      <c r="A131" s="3054" t="s">
        <v>3838</v>
      </c>
      <c r="B131" s="3054" t="s">
        <v>3224</v>
      </c>
      <c r="C131" s="3054" t="s">
        <v>3303</v>
      </c>
      <c r="D131" s="3054" t="s">
        <v>3839</v>
      </c>
      <c r="E131" s="3054" t="s">
        <v>3114</v>
      </c>
      <c r="F131" s="3054" t="s">
        <v>3840</v>
      </c>
      <c r="G131" s="3054" t="s">
        <v>3841</v>
      </c>
      <c r="H131" s="3054">
        <v>55477.35</v>
      </c>
      <c r="I131" s="3054">
        <v>87924</v>
      </c>
      <c r="J131" s="3054">
        <v>1.58</v>
      </c>
      <c r="K131" s="3054" t="s">
        <v>3842</v>
      </c>
      <c r="L131" s="3054" t="s">
        <v>3843</v>
      </c>
      <c r="M131" s="3054">
        <v>168000</v>
      </c>
      <c r="N131" s="3054">
        <v>19107.400000000001</v>
      </c>
      <c r="O131" s="3054">
        <v>12</v>
      </c>
      <c r="P131" s="3054" t="s">
        <v>3231</v>
      </c>
      <c r="R131" s="3054"/>
      <c r="T131" s="3054"/>
      <c r="U131" s="3054"/>
      <c r="V131" s="3054"/>
    </row>
    <row r="132" spans="1:22" hidden="1">
      <c r="A132" s="3054" t="s">
        <v>3844</v>
      </c>
      <c r="B132" s="3054" t="s">
        <v>3233</v>
      </c>
      <c r="C132" s="3054" t="s">
        <v>3290</v>
      </c>
      <c r="D132" s="3054" t="s">
        <v>3845</v>
      </c>
      <c r="E132" s="3054" t="s">
        <v>3292</v>
      </c>
      <c r="F132" s="3054" t="s">
        <v>3846</v>
      </c>
      <c r="G132" s="3054" t="s">
        <v>3236</v>
      </c>
      <c r="H132" s="3054">
        <v>43539.77</v>
      </c>
      <c r="I132" s="3054">
        <v>108849</v>
      </c>
      <c r="J132" s="3054">
        <v>2.5</v>
      </c>
      <c r="K132" s="3054" t="s">
        <v>3847</v>
      </c>
      <c r="L132" s="3054" t="s">
        <v>3848</v>
      </c>
      <c r="M132" s="3054">
        <v>99450</v>
      </c>
      <c r="N132" s="3054">
        <v>9136.51</v>
      </c>
      <c r="O132" s="3054">
        <v>0</v>
      </c>
      <c r="P132" s="3054" t="s">
        <v>3231</v>
      </c>
      <c r="R132" s="3054"/>
      <c r="T132" s="3054"/>
      <c r="U132" s="3054"/>
      <c r="V132" s="3054"/>
    </row>
    <row r="133" spans="1:22" hidden="1">
      <c r="A133" s="3054" t="s">
        <v>3849</v>
      </c>
      <c r="B133" s="3054" t="s">
        <v>3233</v>
      </c>
      <c r="C133" s="3054" t="s">
        <v>3113</v>
      </c>
      <c r="D133" s="3054" t="s">
        <v>3250</v>
      </c>
      <c r="E133" s="3054" t="s">
        <v>3292</v>
      </c>
      <c r="F133" s="3054" t="s">
        <v>3850</v>
      </c>
      <c r="G133" s="3054" t="s">
        <v>3236</v>
      </c>
      <c r="H133" s="3054">
        <v>20291.37</v>
      </c>
      <c r="I133" s="3054">
        <v>36524</v>
      </c>
      <c r="J133" s="3054">
        <v>1.8</v>
      </c>
      <c r="K133" s="3054" t="s">
        <v>3847</v>
      </c>
      <c r="L133" s="3054" t="s">
        <v>3851</v>
      </c>
      <c r="M133" s="3054">
        <v>62800</v>
      </c>
      <c r="N133" s="3054">
        <v>17194.16</v>
      </c>
      <c r="O133" s="3054">
        <v>0</v>
      </c>
      <c r="P133" s="3054" t="s">
        <v>3231</v>
      </c>
      <c r="R133" s="3054"/>
      <c r="T133" s="3054"/>
      <c r="U133" s="3054"/>
      <c r="V133" s="3054"/>
    </row>
    <row r="134" spans="1:22" hidden="1">
      <c r="A134" s="3054" t="s">
        <v>3852</v>
      </c>
      <c r="B134" s="3054" t="s">
        <v>3224</v>
      </c>
      <c r="C134" s="3054" t="s">
        <v>3600</v>
      </c>
      <c r="D134" s="3054" t="s">
        <v>3684</v>
      </c>
      <c r="E134" s="3054" t="s">
        <v>3114</v>
      </c>
      <c r="F134" s="3054" t="s">
        <v>3853</v>
      </c>
      <c r="G134" s="3054" t="s">
        <v>3854</v>
      </c>
      <c r="H134" s="3054">
        <v>175114.7</v>
      </c>
      <c r="I134" s="3054">
        <v>299579</v>
      </c>
      <c r="J134" s="3054">
        <v>1.7</v>
      </c>
      <c r="K134" s="3054" t="s">
        <v>3855</v>
      </c>
      <c r="L134" s="3054" t="s">
        <v>3281</v>
      </c>
      <c r="M134" s="3054">
        <v>545000</v>
      </c>
      <c r="N134" s="3054">
        <v>18192.2</v>
      </c>
      <c r="O134" s="3054">
        <v>20.309999999999999</v>
      </c>
      <c r="P134" s="3054" t="s">
        <v>3231</v>
      </c>
      <c r="R134" s="3054"/>
      <c r="T134" s="3054"/>
      <c r="U134" s="3054"/>
      <c r="V134" s="3054"/>
    </row>
    <row r="135" spans="1:22" hidden="1">
      <c r="A135" s="3054" t="s">
        <v>3856</v>
      </c>
      <c r="B135" s="3054" t="s">
        <v>3233</v>
      </c>
      <c r="C135" s="3054" t="s">
        <v>3303</v>
      </c>
      <c r="D135" s="3054" t="s">
        <v>3856</v>
      </c>
      <c r="E135" s="3054" t="s">
        <v>3114</v>
      </c>
      <c r="F135" s="3054" t="s">
        <v>3857</v>
      </c>
      <c r="G135" s="3054" t="s">
        <v>3236</v>
      </c>
      <c r="H135" s="3054">
        <v>53525.81</v>
      </c>
      <c r="I135" s="3054">
        <v>58878</v>
      </c>
      <c r="J135" s="3054">
        <v>1.1000000000000001</v>
      </c>
      <c r="K135" s="3054" t="s">
        <v>3855</v>
      </c>
      <c r="L135" s="3054" t="s">
        <v>3858</v>
      </c>
      <c r="M135" s="3054">
        <v>336500</v>
      </c>
      <c r="N135" s="3054">
        <v>57152.08</v>
      </c>
      <c r="O135" s="3054">
        <v>1.02</v>
      </c>
      <c r="P135" s="3054" t="s">
        <v>3231</v>
      </c>
      <c r="R135" s="3054"/>
      <c r="T135" s="3054"/>
      <c r="U135" s="3054"/>
      <c r="V135" s="3054"/>
    </row>
    <row r="136" spans="1:22" hidden="1">
      <c r="A136" s="3054" t="s">
        <v>3859</v>
      </c>
      <c r="B136" s="3054" t="s">
        <v>3224</v>
      </c>
      <c r="C136" s="3054" t="s">
        <v>3600</v>
      </c>
      <c r="D136" s="3054" t="s">
        <v>3860</v>
      </c>
      <c r="E136" s="3054" t="s">
        <v>3114</v>
      </c>
      <c r="F136" s="3054" t="s">
        <v>3861</v>
      </c>
      <c r="G136" s="3054" t="s">
        <v>3862</v>
      </c>
      <c r="H136" s="3054">
        <v>122262</v>
      </c>
      <c r="I136" s="3054">
        <v>285496</v>
      </c>
      <c r="J136" s="3054">
        <v>2.335</v>
      </c>
      <c r="K136" s="3054" t="s">
        <v>3863</v>
      </c>
      <c r="L136" s="3054" t="s">
        <v>3864</v>
      </c>
      <c r="M136" s="3054">
        <v>328500</v>
      </c>
      <c r="N136" s="3054">
        <v>11506.29</v>
      </c>
      <c r="O136" s="3054">
        <v>0</v>
      </c>
      <c r="P136" s="3054" t="s">
        <v>3231</v>
      </c>
      <c r="R136" s="3054"/>
      <c r="T136" s="3054"/>
      <c r="U136" s="3054"/>
      <c r="V136" s="3054"/>
    </row>
    <row r="137" spans="1:22" hidden="1">
      <c r="A137" s="3054" t="s">
        <v>3865</v>
      </c>
      <c r="B137" s="3054" t="s">
        <v>3233</v>
      </c>
      <c r="C137" s="3054" t="s">
        <v>3353</v>
      </c>
      <c r="D137" s="3054" t="s">
        <v>3866</v>
      </c>
      <c r="E137" s="3054" t="s">
        <v>3114</v>
      </c>
      <c r="F137" s="3054" t="s">
        <v>3867</v>
      </c>
      <c r="G137" s="3054" t="s">
        <v>3236</v>
      </c>
      <c r="H137" s="3054">
        <v>74772.84</v>
      </c>
      <c r="I137" s="3054">
        <v>134591</v>
      </c>
      <c r="J137" s="3054">
        <v>1.8</v>
      </c>
      <c r="K137" s="3054" t="s">
        <v>3863</v>
      </c>
      <c r="L137" s="3054" t="s">
        <v>3868</v>
      </c>
      <c r="M137" s="3054">
        <v>550000</v>
      </c>
      <c r="N137" s="3054">
        <v>40864.550000000003</v>
      </c>
      <c r="O137" s="3054">
        <v>16.45</v>
      </c>
      <c r="P137" s="3054" t="s">
        <v>3231</v>
      </c>
      <c r="R137" s="3054"/>
      <c r="T137" s="3054"/>
      <c r="U137" s="3054"/>
      <c r="V137" s="3054"/>
    </row>
    <row r="138" spans="1:22" hidden="1">
      <c r="A138" s="3054" t="s">
        <v>3869</v>
      </c>
      <c r="B138" s="3054" t="s">
        <v>3240</v>
      </c>
      <c r="C138" s="3054" t="s">
        <v>3366</v>
      </c>
      <c r="D138" s="3054" t="s">
        <v>3870</v>
      </c>
      <c r="E138" s="3054" t="s">
        <v>3114</v>
      </c>
      <c r="F138" s="3054" t="s">
        <v>3871</v>
      </c>
      <c r="G138" s="3054" t="s">
        <v>3872</v>
      </c>
      <c r="H138" s="3054">
        <v>59747.77</v>
      </c>
      <c r="I138" s="3054">
        <v>89622</v>
      </c>
      <c r="J138" s="3054">
        <v>1.5</v>
      </c>
      <c r="K138" s="3054" t="s">
        <v>3873</v>
      </c>
      <c r="L138" s="3054" t="s">
        <v>3874</v>
      </c>
      <c r="M138" s="3054">
        <v>146800</v>
      </c>
      <c r="N138" s="3054">
        <v>16379.9</v>
      </c>
      <c r="O138" s="3054">
        <v>0</v>
      </c>
      <c r="P138" s="3054" t="s">
        <v>3875</v>
      </c>
      <c r="R138" s="3054"/>
      <c r="T138" s="3054"/>
      <c r="U138" s="3054"/>
      <c r="V138" s="3054"/>
    </row>
    <row r="139" spans="1:22" hidden="1">
      <c r="A139" s="3054" t="s">
        <v>3876</v>
      </c>
      <c r="B139" s="3054" t="s">
        <v>3240</v>
      </c>
      <c r="C139" s="3054" t="s">
        <v>3366</v>
      </c>
      <c r="D139" s="3054" t="s">
        <v>3870</v>
      </c>
      <c r="E139" s="3054" t="s">
        <v>3114</v>
      </c>
      <c r="F139" s="3054" t="s">
        <v>3877</v>
      </c>
      <c r="G139" s="3054" t="s">
        <v>3872</v>
      </c>
      <c r="H139" s="3054">
        <v>31420.65</v>
      </c>
      <c r="I139" s="3054">
        <v>65983</v>
      </c>
      <c r="J139" s="3054">
        <v>2.1</v>
      </c>
      <c r="K139" s="3054" t="s">
        <v>3873</v>
      </c>
      <c r="L139" s="3054" t="s">
        <v>3878</v>
      </c>
      <c r="M139" s="3054">
        <v>108100</v>
      </c>
      <c r="N139" s="3054">
        <v>16383.01</v>
      </c>
      <c r="O139" s="3054">
        <v>0</v>
      </c>
      <c r="P139" s="3054" t="s">
        <v>3875</v>
      </c>
      <c r="R139" s="3054"/>
      <c r="T139" s="3054"/>
      <c r="U139" s="3054"/>
      <c r="V139" s="3054"/>
    </row>
    <row r="140" spans="1:22" hidden="1">
      <c r="A140" s="3054" t="s">
        <v>3879</v>
      </c>
      <c r="B140" s="3054" t="s">
        <v>3240</v>
      </c>
      <c r="C140" s="3054" t="s">
        <v>3378</v>
      </c>
      <c r="D140" s="3054" t="s">
        <v>3880</v>
      </c>
      <c r="E140" s="3054" t="s">
        <v>3114</v>
      </c>
      <c r="F140" s="3054" t="s">
        <v>3881</v>
      </c>
      <c r="G140" s="3054" t="s">
        <v>3401</v>
      </c>
      <c r="H140" s="3054">
        <v>176099.5</v>
      </c>
      <c r="I140" s="3054">
        <v>153071</v>
      </c>
      <c r="J140" s="3054">
        <v>0.86899999999999999</v>
      </c>
      <c r="K140" s="3054" t="s">
        <v>3882</v>
      </c>
      <c r="L140" s="3054" t="s">
        <v>3883</v>
      </c>
      <c r="M140" s="3054">
        <v>93800</v>
      </c>
      <c r="N140" s="3054">
        <v>6127.88</v>
      </c>
      <c r="O140" s="3054">
        <v>0</v>
      </c>
      <c r="P140" s="3054" t="s">
        <v>3358</v>
      </c>
      <c r="R140" s="3054"/>
      <c r="T140" s="3054"/>
      <c r="U140" s="3054"/>
      <c r="V140" s="3054"/>
    </row>
    <row r="141" spans="1:22" hidden="1">
      <c r="A141" s="3054" t="s">
        <v>3884</v>
      </c>
      <c r="B141" s="3054" t="s">
        <v>3224</v>
      </c>
      <c r="C141" s="3054" t="s">
        <v>3283</v>
      </c>
      <c r="D141" s="3054" t="s">
        <v>3885</v>
      </c>
      <c r="E141" s="3054" t="s">
        <v>3114</v>
      </c>
      <c r="F141" s="3054" t="s">
        <v>3886</v>
      </c>
      <c r="G141" s="3054" t="s">
        <v>3227</v>
      </c>
      <c r="H141" s="3054">
        <v>21975.01</v>
      </c>
      <c r="I141" s="3054">
        <v>41704</v>
      </c>
      <c r="J141" s="3054">
        <v>1.9</v>
      </c>
      <c r="K141" s="3054" t="s">
        <v>3887</v>
      </c>
      <c r="L141" s="3054" t="s">
        <v>3888</v>
      </c>
      <c r="M141" s="3054">
        <v>167500</v>
      </c>
      <c r="N141" s="3054">
        <v>40164.01</v>
      </c>
      <c r="O141" s="3054">
        <v>24.07</v>
      </c>
      <c r="P141" s="3054" t="s">
        <v>3231</v>
      </c>
      <c r="R141" s="3054"/>
      <c r="T141" s="3054"/>
      <c r="U141" s="3054"/>
      <c r="V141" s="3054"/>
    </row>
    <row r="142" spans="1:22" hidden="1">
      <c r="A142" s="3054" t="s">
        <v>3889</v>
      </c>
      <c r="B142" s="3054" t="s">
        <v>3233</v>
      </c>
      <c r="C142" s="3054" t="s">
        <v>3303</v>
      </c>
      <c r="D142" s="3054" t="s">
        <v>3304</v>
      </c>
      <c r="E142" s="3054" t="s">
        <v>3114</v>
      </c>
      <c r="F142" s="3054" t="s">
        <v>3890</v>
      </c>
      <c r="G142" s="3054" t="s">
        <v>3236</v>
      </c>
      <c r="H142" s="3054">
        <v>90394.02</v>
      </c>
      <c r="I142" s="3054">
        <v>99433</v>
      </c>
      <c r="J142" s="3054">
        <v>1.1000000000000001</v>
      </c>
      <c r="K142" s="3054" t="s">
        <v>3887</v>
      </c>
      <c r="L142" s="3054" t="s">
        <v>3891</v>
      </c>
      <c r="M142" s="3054">
        <v>610000</v>
      </c>
      <c r="N142" s="3054">
        <v>61347.83</v>
      </c>
      <c r="O142" s="3054">
        <v>9.34</v>
      </c>
      <c r="P142" s="3054" t="s">
        <v>3231</v>
      </c>
      <c r="R142" s="3054"/>
      <c r="T142" s="3054"/>
      <c r="U142" s="3054"/>
      <c r="V142" s="3054"/>
    </row>
    <row r="143" spans="1:22" hidden="1">
      <c r="A143" s="3054" t="s">
        <v>3892</v>
      </c>
      <c r="B143" s="3054" t="s">
        <v>3233</v>
      </c>
      <c r="C143" s="3054" t="s">
        <v>3511</v>
      </c>
      <c r="D143" s="3054" t="s">
        <v>3893</v>
      </c>
      <c r="E143" s="3054" t="s">
        <v>3114</v>
      </c>
      <c r="F143" s="3054" t="s">
        <v>3894</v>
      </c>
      <c r="G143" s="3054" t="s">
        <v>3236</v>
      </c>
      <c r="H143" s="3054">
        <v>63574.45</v>
      </c>
      <c r="I143" s="3054">
        <v>127149</v>
      </c>
      <c r="J143" s="3054">
        <v>2</v>
      </c>
      <c r="K143" s="3054" t="s">
        <v>3887</v>
      </c>
      <c r="L143" s="3054" t="s">
        <v>3895</v>
      </c>
      <c r="M143" s="3054">
        <v>194250</v>
      </c>
      <c r="N143" s="3054">
        <v>15277.35</v>
      </c>
      <c r="O143" s="3054">
        <v>50</v>
      </c>
      <c r="P143" s="3054" t="s">
        <v>3231</v>
      </c>
      <c r="R143" s="3054"/>
      <c r="T143" s="3054"/>
      <c r="U143" s="3054"/>
      <c r="V143" s="3054"/>
    </row>
    <row r="144" spans="1:22">
      <c r="A144" s="3054" t="s">
        <v>3123</v>
      </c>
      <c r="B144" s="3054" t="s">
        <v>3112</v>
      </c>
      <c r="C144" s="3054" t="s">
        <v>3113</v>
      </c>
      <c r="D144" s="3054" t="s">
        <v>3123</v>
      </c>
      <c r="E144" s="3054" t="s">
        <v>3114</v>
      </c>
      <c r="F144" s="3054" t="s">
        <v>3124</v>
      </c>
      <c r="G144" s="3054" t="s">
        <v>6</v>
      </c>
      <c r="H144" s="3054">
        <v>23044.5</v>
      </c>
      <c r="I144" s="3054">
        <v>46089</v>
      </c>
      <c r="J144" s="3054">
        <v>2</v>
      </c>
      <c r="K144" s="3054" t="s">
        <v>3126</v>
      </c>
      <c r="L144" s="3054" t="s">
        <v>3127</v>
      </c>
      <c r="M144" s="3054">
        <v>4977</v>
      </c>
      <c r="N144" s="3054">
        <v>1080</v>
      </c>
      <c r="O144" s="3054">
        <v>0</v>
      </c>
      <c r="P144" s="3054" t="s">
        <v>3128</v>
      </c>
      <c r="Q144" s="3054">
        <f>M144/(H144/666.67)</f>
        <v>143.98301503612575</v>
      </c>
    </row>
    <row r="145" spans="1:22" hidden="1">
      <c r="A145" s="3054" t="s">
        <v>3896</v>
      </c>
      <c r="B145" s="3054" t="s">
        <v>3233</v>
      </c>
      <c r="C145" s="3054" t="s">
        <v>3353</v>
      </c>
      <c r="D145" s="3054" t="s">
        <v>3897</v>
      </c>
      <c r="E145" s="3054" t="s">
        <v>3292</v>
      </c>
      <c r="F145" s="3054" t="s">
        <v>3898</v>
      </c>
      <c r="G145" s="3054" t="s">
        <v>3236</v>
      </c>
      <c r="H145" s="3054">
        <v>6180.98</v>
      </c>
      <c r="I145" s="3054">
        <v>32400</v>
      </c>
      <c r="J145" s="3054">
        <v>5.24</v>
      </c>
      <c r="K145" s="3054" t="s">
        <v>3899</v>
      </c>
      <c r="L145" s="3054" t="s">
        <v>3900</v>
      </c>
      <c r="M145" s="3054" t="s">
        <v>1298</v>
      </c>
      <c r="N145" s="3054">
        <v>0</v>
      </c>
      <c r="O145" s="3054">
        <v>0</v>
      </c>
      <c r="P145" s="3054" t="s">
        <v>3231</v>
      </c>
      <c r="R145" s="3054"/>
      <c r="T145" s="3054"/>
      <c r="U145" s="3054"/>
      <c r="V145" s="3054"/>
    </row>
    <row r="146" spans="1:22" hidden="1">
      <c r="A146" s="3054" t="s">
        <v>3901</v>
      </c>
      <c r="B146" s="3054" t="s">
        <v>3112</v>
      </c>
      <c r="C146" s="3054" t="s">
        <v>3324</v>
      </c>
      <c r="D146" s="3054" t="s">
        <v>3902</v>
      </c>
      <c r="E146" s="3054" t="s">
        <v>3114</v>
      </c>
      <c r="F146" s="3054" t="s">
        <v>3903</v>
      </c>
      <c r="G146" s="3054" t="s">
        <v>3904</v>
      </c>
      <c r="H146" s="3054">
        <v>4280.58</v>
      </c>
      <c r="I146" s="3054">
        <v>3424</v>
      </c>
      <c r="J146" s="3054">
        <v>0.8</v>
      </c>
      <c r="K146" s="3054" t="s">
        <v>3905</v>
      </c>
      <c r="L146" s="3054" t="s">
        <v>3906</v>
      </c>
      <c r="M146" s="3054">
        <v>642</v>
      </c>
      <c r="N146" s="3054">
        <v>1875.25</v>
      </c>
      <c r="O146" s="3054">
        <v>0</v>
      </c>
      <c r="P146" s="3054" t="s">
        <v>3128</v>
      </c>
      <c r="R146" s="3054"/>
      <c r="T146" s="3054"/>
      <c r="U146" s="3054"/>
      <c r="V146" s="3054"/>
    </row>
    <row r="147" spans="1:22" hidden="1">
      <c r="A147" s="3054" t="s">
        <v>3907</v>
      </c>
      <c r="B147" s="3054" t="s">
        <v>3224</v>
      </c>
      <c r="C147" s="3054" t="s">
        <v>3600</v>
      </c>
      <c r="D147" s="3054" t="s">
        <v>3908</v>
      </c>
      <c r="E147" s="3054" t="s">
        <v>3114</v>
      </c>
      <c r="F147" s="3054" t="s">
        <v>3909</v>
      </c>
      <c r="G147" s="3054" t="s">
        <v>3227</v>
      </c>
      <c r="H147" s="3054">
        <v>71022.78</v>
      </c>
      <c r="I147" s="3054">
        <v>170414</v>
      </c>
      <c r="J147" s="3054">
        <v>2.4</v>
      </c>
      <c r="K147" s="3054" t="s">
        <v>3910</v>
      </c>
      <c r="L147" s="3054" t="s">
        <v>3911</v>
      </c>
      <c r="M147" s="3054">
        <v>648000</v>
      </c>
      <c r="N147" s="3054">
        <v>38025.040000000001</v>
      </c>
      <c r="O147" s="3054">
        <v>44</v>
      </c>
      <c r="P147" s="3054" t="s">
        <v>3231</v>
      </c>
      <c r="R147" s="3054"/>
      <c r="T147" s="3054"/>
      <c r="U147" s="3054"/>
      <c r="V147" s="3054"/>
    </row>
    <row r="148" spans="1:22" hidden="1">
      <c r="A148" s="3054" t="s">
        <v>3912</v>
      </c>
      <c r="B148" s="3054" t="s">
        <v>3224</v>
      </c>
      <c r="C148" s="3054" t="s">
        <v>3324</v>
      </c>
      <c r="D148" s="3054" t="s">
        <v>3615</v>
      </c>
      <c r="E148" s="3054" t="s">
        <v>3114</v>
      </c>
      <c r="F148" s="3054" t="s">
        <v>3913</v>
      </c>
      <c r="G148" s="3054" t="s">
        <v>3914</v>
      </c>
      <c r="H148" s="3054">
        <v>132352.79999999999</v>
      </c>
      <c r="I148" s="3054">
        <v>201775</v>
      </c>
      <c r="J148" s="3054">
        <v>1.52</v>
      </c>
      <c r="K148" s="3054" t="s">
        <v>3915</v>
      </c>
      <c r="L148" s="3054" t="s">
        <v>3916</v>
      </c>
      <c r="M148" s="3054">
        <v>380000</v>
      </c>
      <c r="N148" s="3054">
        <v>18832.86</v>
      </c>
      <c r="O148" s="3054">
        <v>4.1100000000000003</v>
      </c>
      <c r="P148" s="3054" t="s">
        <v>3231</v>
      </c>
      <c r="R148" s="3054"/>
      <c r="T148" s="3054"/>
      <c r="U148" s="3054"/>
      <c r="V148" s="3054"/>
    </row>
    <row r="149" spans="1:22" hidden="1">
      <c r="A149" s="3054" t="s">
        <v>3917</v>
      </c>
      <c r="B149" s="3054" t="s">
        <v>3224</v>
      </c>
      <c r="C149" s="3054" t="s">
        <v>3674</v>
      </c>
      <c r="D149" s="3054" t="s">
        <v>3918</v>
      </c>
      <c r="E149" s="3054" t="s">
        <v>3114</v>
      </c>
      <c r="F149" s="3054" t="s">
        <v>3919</v>
      </c>
      <c r="G149" s="3054" t="s">
        <v>3920</v>
      </c>
      <c r="H149" s="3054">
        <v>99493.38</v>
      </c>
      <c r="I149" s="3054">
        <v>218506</v>
      </c>
      <c r="J149" s="3054" t="s">
        <v>3921</v>
      </c>
      <c r="K149" s="3054" t="s">
        <v>3915</v>
      </c>
      <c r="L149" s="3054" t="s">
        <v>3922</v>
      </c>
      <c r="M149" s="3054">
        <v>214000</v>
      </c>
      <c r="N149" s="3054">
        <v>9793.7800000000007</v>
      </c>
      <c r="O149" s="3054">
        <v>67.19</v>
      </c>
      <c r="P149" s="3054" t="s">
        <v>3231</v>
      </c>
      <c r="R149" s="3054"/>
      <c r="T149" s="3054"/>
      <c r="U149" s="3054"/>
      <c r="V149" s="3054"/>
    </row>
    <row r="150" spans="1:22" hidden="1">
      <c r="A150" s="3054" t="s">
        <v>3923</v>
      </c>
      <c r="B150" s="3054" t="s">
        <v>3233</v>
      </c>
      <c r="C150" s="3054" t="s">
        <v>3303</v>
      </c>
      <c r="D150" s="3054" t="s">
        <v>3839</v>
      </c>
      <c r="E150" s="3054" t="s">
        <v>3114</v>
      </c>
      <c r="F150" s="3054" t="s">
        <v>3924</v>
      </c>
      <c r="G150" s="3054" t="s">
        <v>3236</v>
      </c>
      <c r="H150" s="3054">
        <v>35847.35</v>
      </c>
      <c r="I150" s="3054">
        <v>75279</v>
      </c>
      <c r="J150" s="3054">
        <v>2.1</v>
      </c>
      <c r="K150" s="3054" t="s">
        <v>3915</v>
      </c>
      <c r="L150" s="3054" t="s">
        <v>3843</v>
      </c>
      <c r="M150" s="3054">
        <v>186000</v>
      </c>
      <c r="N150" s="3054">
        <v>24708.09</v>
      </c>
      <c r="O150" s="3054">
        <v>9.41</v>
      </c>
      <c r="P150" s="3054" t="s">
        <v>3231</v>
      </c>
      <c r="R150" s="3054"/>
      <c r="T150" s="3054"/>
      <c r="U150" s="3054"/>
      <c r="V150" s="3054"/>
    </row>
    <row r="151" spans="1:22" hidden="1">
      <c r="A151" s="3054" t="s">
        <v>3925</v>
      </c>
      <c r="B151" s="3054" t="s">
        <v>3224</v>
      </c>
      <c r="C151" s="3054" t="s">
        <v>3329</v>
      </c>
      <c r="D151" s="3054" t="s">
        <v>3926</v>
      </c>
      <c r="E151" s="3054" t="s">
        <v>3114</v>
      </c>
      <c r="F151" s="3054" t="s">
        <v>3927</v>
      </c>
      <c r="G151" s="3054" t="s">
        <v>3928</v>
      </c>
      <c r="H151" s="3054">
        <v>72996.72</v>
      </c>
      <c r="I151" s="3054">
        <v>155965</v>
      </c>
      <c r="J151" s="3054">
        <v>2.14</v>
      </c>
      <c r="K151" s="3054" t="s">
        <v>3929</v>
      </c>
      <c r="L151" s="3054" t="s">
        <v>3930</v>
      </c>
      <c r="M151" s="3054">
        <v>254000</v>
      </c>
      <c r="N151" s="3054">
        <v>16285.7</v>
      </c>
      <c r="O151" s="3054">
        <v>25.37</v>
      </c>
      <c r="P151" s="3054" t="s">
        <v>3231</v>
      </c>
      <c r="R151" s="3054"/>
      <c r="T151" s="3054"/>
      <c r="U151" s="3054"/>
      <c r="V151" s="3054"/>
    </row>
    <row r="152" spans="1:22" hidden="1">
      <c r="A152" s="3054" t="s">
        <v>3931</v>
      </c>
      <c r="B152" s="3054" t="s">
        <v>3224</v>
      </c>
      <c r="C152" s="3054" t="s">
        <v>3329</v>
      </c>
      <c r="D152" s="3054" t="s">
        <v>3932</v>
      </c>
      <c r="E152" s="3054" t="s">
        <v>3114</v>
      </c>
      <c r="F152" s="3054" t="s">
        <v>3933</v>
      </c>
      <c r="G152" s="3054" t="s">
        <v>3934</v>
      </c>
      <c r="H152" s="3054">
        <v>59994</v>
      </c>
      <c r="I152" s="3054">
        <v>123171</v>
      </c>
      <c r="J152" s="3054">
        <v>2.0499999999999998</v>
      </c>
      <c r="K152" s="3054" t="s">
        <v>3929</v>
      </c>
      <c r="L152" s="3054" t="s">
        <v>3935</v>
      </c>
      <c r="M152" s="3054">
        <v>182000</v>
      </c>
      <c r="N152" s="3054">
        <v>14776.2</v>
      </c>
      <c r="O152" s="3054">
        <v>12.69</v>
      </c>
      <c r="P152" s="3054" t="s">
        <v>3231</v>
      </c>
      <c r="R152" s="3054"/>
      <c r="T152" s="3054"/>
      <c r="U152" s="3054"/>
      <c r="V152" s="3054"/>
    </row>
    <row r="153" spans="1:22" hidden="1">
      <c r="A153" s="3054" t="s">
        <v>3936</v>
      </c>
      <c r="B153" s="3054" t="s">
        <v>3224</v>
      </c>
      <c r="C153" s="3054" t="s">
        <v>3353</v>
      </c>
      <c r="D153" s="3054" t="s">
        <v>3937</v>
      </c>
      <c r="E153" s="3054" t="s">
        <v>3114</v>
      </c>
      <c r="F153" s="3054" t="s">
        <v>3938</v>
      </c>
      <c r="G153" s="3054" t="s">
        <v>3939</v>
      </c>
      <c r="H153" s="3054">
        <v>105309.9</v>
      </c>
      <c r="I153" s="3054">
        <v>201320</v>
      </c>
      <c r="J153" s="3054">
        <v>1.9116899999999999</v>
      </c>
      <c r="K153" s="3054" t="s">
        <v>3940</v>
      </c>
      <c r="L153" s="3054" t="s">
        <v>3941</v>
      </c>
      <c r="M153" s="3054">
        <v>762000</v>
      </c>
      <c r="N153" s="3054">
        <v>37850.19</v>
      </c>
      <c r="O153" s="3054">
        <v>10.039999999999999</v>
      </c>
      <c r="P153" s="3054" t="s">
        <v>3231</v>
      </c>
      <c r="R153" s="3054"/>
      <c r="T153" s="3054"/>
      <c r="U153" s="3054"/>
      <c r="V153" s="3054"/>
    </row>
    <row r="154" spans="1:22" hidden="1">
      <c r="A154" s="3054" t="s">
        <v>3942</v>
      </c>
      <c r="B154" s="3054" t="s">
        <v>3240</v>
      </c>
      <c r="C154" s="3054" t="s">
        <v>3353</v>
      </c>
      <c r="D154" s="3054" t="s">
        <v>3943</v>
      </c>
      <c r="E154" s="3054" t="s">
        <v>3114</v>
      </c>
      <c r="F154" s="3054" t="s">
        <v>3944</v>
      </c>
      <c r="G154" s="3054" t="s">
        <v>3312</v>
      </c>
      <c r="H154" s="3054">
        <v>15240.2</v>
      </c>
      <c r="I154" s="3054">
        <v>86800</v>
      </c>
      <c r="J154" s="3054">
        <v>5.6955</v>
      </c>
      <c r="K154" s="3054" t="s">
        <v>3940</v>
      </c>
      <c r="L154" s="3054" t="s">
        <v>3945</v>
      </c>
      <c r="M154" s="3054">
        <v>242500</v>
      </c>
      <c r="N154" s="3054">
        <v>27937.79</v>
      </c>
      <c r="O154" s="3054">
        <v>2.11</v>
      </c>
      <c r="P154" s="3054" t="s">
        <v>3358</v>
      </c>
      <c r="R154" s="3054"/>
      <c r="T154" s="3054"/>
      <c r="U154" s="3054"/>
      <c r="V154" s="3054"/>
    </row>
    <row r="155" spans="1:22" hidden="1">
      <c r="A155" s="3054" t="s">
        <v>3946</v>
      </c>
      <c r="B155" s="3054" t="s">
        <v>3240</v>
      </c>
      <c r="C155" s="3054" t="s">
        <v>3366</v>
      </c>
      <c r="D155" s="3054" t="s">
        <v>3947</v>
      </c>
      <c r="E155" s="3054" t="s">
        <v>3114</v>
      </c>
      <c r="F155" s="3054" t="s">
        <v>3948</v>
      </c>
      <c r="G155" s="3054" t="s">
        <v>3312</v>
      </c>
      <c r="H155" s="3054">
        <v>16863.939999999999</v>
      </c>
      <c r="I155" s="3054">
        <v>87923</v>
      </c>
      <c r="J155" s="3054">
        <v>5.2137000000000002</v>
      </c>
      <c r="K155" s="3054" t="s">
        <v>3949</v>
      </c>
      <c r="L155" s="3054" t="s">
        <v>3950</v>
      </c>
      <c r="M155" s="3054">
        <v>211000</v>
      </c>
      <c r="N155" s="3054">
        <v>23998.09</v>
      </c>
      <c r="O155" s="3054">
        <v>0</v>
      </c>
      <c r="P155" s="3054" t="s">
        <v>3358</v>
      </c>
      <c r="R155" s="3054"/>
      <c r="T155" s="3054"/>
      <c r="U155" s="3054"/>
      <c r="V155" s="3054"/>
    </row>
    <row r="156" spans="1:22" hidden="1">
      <c r="A156" s="3054" t="s">
        <v>3951</v>
      </c>
      <c r="B156" s="3054" t="s">
        <v>3224</v>
      </c>
      <c r="C156" s="3054" t="s">
        <v>3366</v>
      </c>
      <c r="D156" s="3054" t="s">
        <v>3952</v>
      </c>
      <c r="E156" s="3054" t="s">
        <v>3114</v>
      </c>
      <c r="F156" s="3054" t="s">
        <v>3953</v>
      </c>
      <c r="G156" s="3054" t="s">
        <v>3954</v>
      </c>
      <c r="H156" s="3054">
        <v>202550.5</v>
      </c>
      <c r="I156" s="3054">
        <v>346496</v>
      </c>
      <c r="J156" s="3054">
        <v>1.7</v>
      </c>
      <c r="K156" s="3054" t="s">
        <v>3949</v>
      </c>
      <c r="L156" s="3054" t="s">
        <v>3955</v>
      </c>
      <c r="M156" s="3054">
        <v>780000</v>
      </c>
      <c r="N156" s="3054">
        <v>22511.08</v>
      </c>
      <c r="O156" s="3054">
        <v>12.39</v>
      </c>
      <c r="P156" s="3054" t="s">
        <v>3231</v>
      </c>
      <c r="R156" s="3054"/>
      <c r="T156" s="3054"/>
      <c r="U156" s="3054"/>
      <c r="V156" s="3054"/>
    </row>
    <row r="157" spans="1:22" hidden="1">
      <c r="A157" s="3054" t="s">
        <v>3956</v>
      </c>
      <c r="B157" s="3054" t="s">
        <v>3240</v>
      </c>
      <c r="C157" s="3054" t="s">
        <v>3283</v>
      </c>
      <c r="D157" s="3054" t="s">
        <v>3755</v>
      </c>
      <c r="E157" s="3054" t="s">
        <v>3114</v>
      </c>
      <c r="F157" s="3054" t="s">
        <v>3957</v>
      </c>
      <c r="G157" s="3054" t="s">
        <v>3312</v>
      </c>
      <c r="H157" s="3054">
        <v>14089.17</v>
      </c>
      <c r="I157" s="3054">
        <v>105000</v>
      </c>
      <c r="J157" s="3054">
        <v>7.4525300000000003</v>
      </c>
      <c r="K157" s="3054" t="s">
        <v>3949</v>
      </c>
      <c r="L157" s="3054" t="s">
        <v>3958</v>
      </c>
      <c r="M157" s="3054">
        <v>355000</v>
      </c>
      <c r="N157" s="3054">
        <v>33809.51</v>
      </c>
      <c r="O157" s="3054">
        <v>40.869999999999997</v>
      </c>
      <c r="P157" s="3054" t="s">
        <v>3358</v>
      </c>
      <c r="R157" s="3054"/>
      <c r="T157" s="3054"/>
      <c r="U157" s="3054"/>
      <c r="V157" s="3054"/>
    </row>
    <row r="158" spans="1:22" hidden="1">
      <c r="A158" s="3054" t="s">
        <v>3959</v>
      </c>
      <c r="B158" s="3054" t="s">
        <v>3233</v>
      </c>
      <c r="C158" s="3054" t="s">
        <v>3113</v>
      </c>
      <c r="D158" s="3054" t="s">
        <v>3744</v>
      </c>
      <c r="E158" s="3054" t="s">
        <v>3114</v>
      </c>
      <c r="F158" s="3054" t="s">
        <v>3960</v>
      </c>
      <c r="G158" s="3054" t="s">
        <v>3236</v>
      </c>
      <c r="H158" s="3054">
        <v>95947</v>
      </c>
      <c r="I158" s="3054">
        <v>211083</v>
      </c>
      <c r="J158" s="3054">
        <v>2.2000000000000002</v>
      </c>
      <c r="K158" s="3054" t="s">
        <v>3961</v>
      </c>
      <c r="L158" s="3054" t="s">
        <v>3962</v>
      </c>
      <c r="M158" s="3054">
        <v>370000</v>
      </c>
      <c r="N158" s="3054">
        <v>17528.650000000001</v>
      </c>
      <c r="O158" s="3054">
        <v>0</v>
      </c>
      <c r="P158" s="3054" t="s">
        <v>3231</v>
      </c>
      <c r="R158" s="3054"/>
      <c r="T158" s="3054"/>
      <c r="U158" s="3054"/>
      <c r="V158" s="3054"/>
    </row>
    <row r="159" spans="1:22" hidden="1">
      <c r="A159" s="3054" t="s">
        <v>3963</v>
      </c>
      <c r="B159" s="3054" t="s">
        <v>3233</v>
      </c>
      <c r="C159" s="3054" t="s">
        <v>3600</v>
      </c>
      <c r="D159" s="3054" t="s">
        <v>3964</v>
      </c>
      <c r="E159" s="3054" t="s">
        <v>3114</v>
      </c>
      <c r="F159" s="3054" t="s">
        <v>3965</v>
      </c>
      <c r="G159" s="3054" t="s">
        <v>3236</v>
      </c>
      <c r="H159" s="3054">
        <v>66465.42</v>
      </c>
      <c r="I159" s="3054">
        <v>99698</v>
      </c>
      <c r="J159" s="3054">
        <v>1.5</v>
      </c>
      <c r="K159" s="3054" t="s">
        <v>3961</v>
      </c>
      <c r="L159" s="3054" t="s">
        <v>3864</v>
      </c>
      <c r="M159" s="3054">
        <v>190000</v>
      </c>
      <c r="N159" s="3054">
        <v>19057.54</v>
      </c>
      <c r="O159" s="3054">
        <v>2.7</v>
      </c>
      <c r="P159" s="3054" t="s">
        <v>3231</v>
      </c>
      <c r="R159" s="3054"/>
      <c r="T159" s="3054"/>
      <c r="U159" s="3054"/>
      <c r="V159" s="3054"/>
    </row>
    <row r="160" spans="1:22" hidden="1">
      <c r="A160" s="3054" t="s">
        <v>3966</v>
      </c>
      <c r="B160" s="3054" t="s">
        <v>3224</v>
      </c>
      <c r="C160" s="3054" t="s">
        <v>3366</v>
      </c>
      <c r="D160" s="3054" t="s">
        <v>3952</v>
      </c>
      <c r="E160" s="3054" t="s">
        <v>3114</v>
      </c>
      <c r="F160" s="3054" t="s">
        <v>3967</v>
      </c>
      <c r="G160" s="3054" t="s">
        <v>3968</v>
      </c>
      <c r="H160" s="3054">
        <v>216429.7</v>
      </c>
      <c r="I160" s="3054">
        <v>347895</v>
      </c>
      <c r="J160" s="3054">
        <v>1.607</v>
      </c>
      <c r="K160" s="3054" t="s">
        <v>3961</v>
      </c>
      <c r="L160" s="3054" t="s">
        <v>3969</v>
      </c>
      <c r="M160" s="3054">
        <v>860000</v>
      </c>
      <c r="N160" s="3054">
        <v>24720.09</v>
      </c>
      <c r="O160" s="3054">
        <v>19.61</v>
      </c>
      <c r="P160" s="3054" t="s">
        <v>3231</v>
      </c>
      <c r="R160" s="3054"/>
      <c r="T160" s="3054"/>
      <c r="U160" s="3054"/>
      <c r="V160" s="3054"/>
    </row>
    <row r="161" spans="1:22" hidden="1">
      <c r="A161" s="3054" t="s">
        <v>3970</v>
      </c>
      <c r="B161" s="3054" t="s">
        <v>3233</v>
      </c>
      <c r="C161" s="3054" t="s">
        <v>3303</v>
      </c>
      <c r="D161" s="3054" t="s">
        <v>3318</v>
      </c>
      <c r="E161" s="3054" t="s">
        <v>3114</v>
      </c>
      <c r="F161" s="3054" t="s">
        <v>3971</v>
      </c>
      <c r="G161" s="3054" t="s">
        <v>3236</v>
      </c>
      <c r="H161" s="3054">
        <v>77973.48</v>
      </c>
      <c r="I161" s="3054">
        <v>194934</v>
      </c>
      <c r="J161" s="3054">
        <v>2.5</v>
      </c>
      <c r="K161" s="3054" t="s">
        <v>3972</v>
      </c>
      <c r="L161" s="3054" t="s">
        <v>3973</v>
      </c>
      <c r="M161" s="3054">
        <v>498000</v>
      </c>
      <c r="N161" s="3054">
        <v>25547.11</v>
      </c>
      <c r="O161" s="3054">
        <v>0</v>
      </c>
      <c r="P161" s="3054" t="s">
        <v>3231</v>
      </c>
      <c r="R161" s="3054"/>
      <c r="T161" s="3054"/>
      <c r="U161" s="3054"/>
      <c r="V161" s="3054"/>
    </row>
    <row r="162" spans="1:22" hidden="1">
      <c r="A162" s="3054" t="s">
        <v>3974</v>
      </c>
      <c r="B162" s="3054" t="s">
        <v>3233</v>
      </c>
      <c r="C162" s="3054" t="s">
        <v>3353</v>
      </c>
      <c r="D162" s="3054" t="s">
        <v>3937</v>
      </c>
      <c r="E162" s="3054" t="s">
        <v>3114</v>
      </c>
      <c r="F162" s="3054" t="s">
        <v>3975</v>
      </c>
      <c r="G162" s="3054" t="s">
        <v>3236</v>
      </c>
      <c r="H162" s="3054">
        <v>84786.55</v>
      </c>
      <c r="I162" s="3054">
        <v>186530</v>
      </c>
      <c r="J162" s="3054">
        <v>2.2000000000000002</v>
      </c>
      <c r="K162" s="3054" t="s">
        <v>3972</v>
      </c>
      <c r="L162" s="3054" t="s">
        <v>3976</v>
      </c>
      <c r="M162" s="3054">
        <v>535500</v>
      </c>
      <c r="N162" s="3054">
        <v>28708.52</v>
      </c>
      <c r="O162" s="3054">
        <v>0.51</v>
      </c>
      <c r="P162" s="3054" t="s">
        <v>3231</v>
      </c>
      <c r="R162" s="3054"/>
      <c r="T162" s="3054"/>
      <c r="U162" s="3054"/>
      <c r="V162" s="3054"/>
    </row>
    <row r="163" spans="1:22" hidden="1">
      <c r="A163" s="3054" t="s">
        <v>3977</v>
      </c>
      <c r="B163" s="3054" t="s">
        <v>3224</v>
      </c>
      <c r="C163" s="3054" t="s">
        <v>3324</v>
      </c>
      <c r="D163" s="3054" t="s">
        <v>3764</v>
      </c>
      <c r="E163" s="3054" t="s">
        <v>3114</v>
      </c>
      <c r="F163" s="3054" t="s">
        <v>3978</v>
      </c>
      <c r="G163" s="3054" t="s">
        <v>3979</v>
      </c>
      <c r="H163" s="3054">
        <v>65602.95</v>
      </c>
      <c r="I163" s="3054">
        <v>120165</v>
      </c>
      <c r="J163" s="3054">
        <v>1.83</v>
      </c>
      <c r="K163" s="3054" t="s">
        <v>3980</v>
      </c>
      <c r="L163" s="3054" t="s">
        <v>3981</v>
      </c>
      <c r="M163" s="3054">
        <v>495000</v>
      </c>
      <c r="N163" s="3054">
        <v>41193.360000000001</v>
      </c>
      <c r="O163" s="3054">
        <v>50</v>
      </c>
      <c r="P163" s="3054" t="s">
        <v>3231</v>
      </c>
      <c r="R163" s="3054"/>
      <c r="T163" s="3054"/>
      <c r="U163" s="3054"/>
      <c r="V163" s="3054"/>
    </row>
    <row r="164" spans="1:22" hidden="1">
      <c r="A164" s="3054" t="s">
        <v>3982</v>
      </c>
      <c r="B164" s="3054" t="s">
        <v>3224</v>
      </c>
      <c r="C164" s="3054" t="s">
        <v>3329</v>
      </c>
      <c r="D164" s="3054" t="s">
        <v>3983</v>
      </c>
      <c r="E164" s="3054" t="s">
        <v>3114</v>
      </c>
      <c r="F164" s="3054" t="s">
        <v>3984</v>
      </c>
      <c r="G164" s="3054" t="s">
        <v>3686</v>
      </c>
      <c r="H164" s="3054">
        <v>33380</v>
      </c>
      <c r="I164" s="3054">
        <v>83451</v>
      </c>
      <c r="J164" s="3054">
        <v>2.5</v>
      </c>
      <c r="K164" s="3054" t="s">
        <v>3980</v>
      </c>
      <c r="L164" s="3054" t="s">
        <v>3281</v>
      </c>
      <c r="M164" s="3054">
        <v>135000</v>
      </c>
      <c r="N164" s="3054">
        <v>16177.15</v>
      </c>
      <c r="O164" s="3054">
        <v>12.5</v>
      </c>
      <c r="P164" s="3054" t="s">
        <v>3231</v>
      </c>
      <c r="R164" s="3054"/>
      <c r="T164" s="3054"/>
      <c r="U164" s="3054"/>
      <c r="V164" s="3054"/>
    </row>
    <row r="165" spans="1:22" hidden="1">
      <c r="A165" s="3054" t="s">
        <v>3985</v>
      </c>
      <c r="B165" s="3054" t="s">
        <v>3224</v>
      </c>
      <c r="C165" s="3054" t="s">
        <v>3113</v>
      </c>
      <c r="D165" s="3054" t="s">
        <v>3250</v>
      </c>
      <c r="E165" s="3054" t="s">
        <v>3114</v>
      </c>
      <c r="F165" s="3054" t="s">
        <v>3986</v>
      </c>
      <c r="G165" s="3054" t="s">
        <v>3987</v>
      </c>
      <c r="H165" s="3054">
        <v>90424</v>
      </c>
      <c r="I165" s="3054">
        <v>220105</v>
      </c>
      <c r="J165" s="3054">
        <v>2.4300000000000002</v>
      </c>
      <c r="K165" s="3054" t="s">
        <v>3980</v>
      </c>
      <c r="L165" s="3054" t="s">
        <v>3988</v>
      </c>
      <c r="M165" s="3054">
        <v>360000</v>
      </c>
      <c r="N165" s="3054">
        <v>16355.82</v>
      </c>
      <c r="O165" s="3054">
        <v>0</v>
      </c>
      <c r="P165" s="3054" t="s">
        <v>3231</v>
      </c>
      <c r="R165" s="3054"/>
      <c r="T165" s="3054"/>
      <c r="U165" s="3054"/>
      <c r="V165" s="3054"/>
    </row>
    <row r="166" spans="1:22" hidden="1">
      <c r="A166" s="3054" t="s">
        <v>3989</v>
      </c>
      <c r="B166" s="3054" t="s">
        <v>3224</v>
      </c>
      <c r="C166" s="3054" t="s">
        <v>3113</v>
      </c>
      <c r="D166" s="3054" t="s">
        <v>3990</v>
      </c>
      <c r="E166" s="3054" t="s">
        <v>3114</v>
      </c>
      <c r="F166" s="3054" t="s">
        <v>3991</v>
      </c>
      <c r="G166" s="3054" t="s">
        <v>3227</v>
      </c>
      <c r="H166" s="3054">
        <v>37662.699999999997</v>
      </c>
      <c r="I166" s="3054">
        <v>69250</v>
      </c>
      <c r="J166" s="3054">
        <v>1.84</v>
      </c>
      <c r="K166" s="3054" t="s">
        <v>3992</v>
      </c>
      <c r="L166" s="3054" t="s">
        <v>3993</v>
      </c>
      <c r="M166" s="3054">
        <v>246000</v>
      </c>
      <c r="N166" s="3054">
        <v>35523.26</v>
      </c>
      <c r="O166" s="3054">
        <v>35.909999999999997</v>
      </c>
      <c r="P166" s="3054" t="s">
        <v>3231</v>
      </c>
      <c r="R166" s="3054"/>
      <c r="T166" s="3054"/>
      <c r="U166" s="3054"/>
      <c r="V166" s="3054"/>
    </row>
    <row r="167" spans="1:22" hidden="1">
      <c r="A167" s="3054" t="s">
        <v>3994</v>
      </c>
      <c r="B167" s="3054" t="s">
        <v>3233</v>
      </c>
      <c r="C167" s="3054" t="s">
        <v>3600</v>
      </c>
      <c r="D167" s="3054" t="s">
        <v>3995</v>
      </c>
      <c r="E167" s="3054" t="s">
        <v>3114</v>
      </c>
      <c r="F167" s="3054" t="s">
        <v>3996</v>
      </c>
      <c r="G167" s="3054" t="s">
        <v>3236</v>
      </c>
      <c r="H167" s="3054">
        <v>30890.99</v>
      </c>
      <c r="I167" s="3054">
        <v>67960</v>
      </c>
      <c r="J167" s="3054">
        <v>2.2000000000000002</v>
      </c>
      <c r="K167" s="3054" t="s">
        <v>3992</v>
      </c>
      <c r="L167" s="3054" t="s">
        <v>3997</v>
      </c>
      <c r="M167" s="3054">
        <v>238000</v>
      </c>
      <c r="N167" s="3054">
        <v>35020.589999999997</v>
      </c>
      <c r="O167" s="3054">
        <v>48.75</v>
      </c>
      <c r="P167" s="3054" t="s">
        <v>3231</v>
      </c>
      <c r="R167" s="3054"/>
      <c r="T167" s="3054"/>
      <c r="U167" s="3054"/>
      <c r="V167" s="3054"/>
    </row>
    <row r="168" spans="1:22" hidden="1">
      <c r="A168" s="3054" t="s">
        <v>3998</v>
      </c>
      <c r="B168" s="3054" t="s">
        <v>3224</v>
      </c>
      <c r="C168" s="3054" t="s">
        <v>3113</v>
      </c>
      <c r="D168" s="3054" t="s">
        <v>3999</v>
      </c>
      <c r="E168" s="3054" t="s">
        <v>3114</v>
      </c>
      <c r="F168" s="3054" t="s">
        <v>4000</v>
      </c>
      <c r="G168" s="3054" t="s">
        <v>4001</v>
      </c>
      <c r="H168" s="3054">
        <v>48377.1</v>
      </c>
      <c r="I168" s="3054">
        <v>87296</v>
      </c>
      <c r="J168" s="3054">
        <v>1.8</v>
      </c>
      <c r="K168" s="3054" t="s">
        <v>3992</v>
      </c>
      <c r="L168" s="3054" t="s">
        <v>4002</v>
      </c>
      <c r="M168" s="3054">
        <v>222000</v>
      </c>
      <c r="N168" s="3054">
        <v>25430.65</v>
      </c>
      <c r="O168" s="3054">
        <v>38.75</v>
      </c>
      <c r="P168" s="3054" t="s">
        <v>3231</v>
      </c>
      <c r="R168" s="3054"/>
      <c r="T168" s="3054"/>
      <c r="U168" s="3054"/>
      <c r="V168" s="3054"/>
    </row>
    <row r="169" spans="1:22" hidden="1">
      <c r="A169" s="3054" t="s">
        <v>4003</v>
      </c>
      <c r="B169" s="3054" t="s">
        <v>3233</v>
      </c>
      <c r="C169" s="3054" t="s">
        <v>3113</v>
      </c>
      <c r="D169" s="3054" t="s">
        <v>4004</v>
      </c>
      <c r="E169" s="3054" t="s">
        <v>3114</v>
      </c>
      <c r="F169" s="3054" t="s">
        <v>4005</v>
      </c>
      <c r="G169" s="3054" t="s">
        <v>3236</v>
      </c>
      <c r="H169" s="3054">
        <v>92065.1</v>
      </c>
      <c r="I169" s="3054">
        <v>165717</v>
      </c>
      <c r="J169" s="3054">
        <v>1.8</v>
      </c>
      <c r="K169" s="3054" t="s">
        <v>4006</v>
      </c>
      <c r="L169" s="3054" t="s">
        <v>4007</v>
      </c>
      <c r="M169" s="3054">
        <v>629000</v>
      </c>
      <c r="N169" s="3054">
        <v>37956.230000000003</v>
      </c>
      <c r="O169" s="3054">
        <v>35.56</v>
      </c>
      <c r="P169" s="3054" t="s">
        <v>3231</v>
      </c>
      <c r="R169" s="3054"/>
      <c r="T169" s="3054"/>
      <c r="U169" s="3054"/>
      <c r="V169" s="3054"/>
    </row>
    <row r="170" spans="1:22" hidden="1">
      <c r="A170" s="3054" t="s">
        <v>4008</v>
      </c>
      <c r="B170" s="3054" t="s">
        <v>3233</v>
      </c>
      <c r="C170" s="3054" t="s">
        <v>3353</v>
      </c>
      <c r="D170" s="3054" t="s">
        <v>4009</v>
      </c>
      <c r="E170" s="3054" t="s">
        <v>3114</v>
      </c>
      <c r="F170" s="3054" t="s">
        <v>4010</v>
      </c>
      <c r="G170" s="3054" t="s">
        <v>3286</v>
      </c>
      <c r="H170" s="3054">
        <v>10423.85</v>
      </c>
      <c r="I170" s="3054">
        <v>31272</v>
      </c>
      <c r="J170" s="3054">
        <v>3</v>
      </c>
      <c r="K170" s="3054" t="s">
        <v>4006</v>
      </c>
      <c r="L170" s="3054" t="s">
        <v>4011</v>
      </c>
      <c r="M170" s="3054">
        <v>165000</v>
      </c>
      <c r="N170" s="3054">
        <v>52762.84</v>
      </c>
      <c r="O170" s="3054">
        <v>33.5</v>
      </c>
      <c r="P170" s="3054" t="s">
        <v>3231</v>
      </c>
      <c r="R170" s="3054"/>
      <c r="T170" s="3054"/>
      <c r="U170" s="3054"/>
      <c r="V170" s="3054"/>
    </row>
    <row r="171" spans="1:22" hidden="1">
      <c r="A171" s="3054" t="s">
        <v>4012</v>
      </c>
      <c r="B171" s="3054" t="s">
        <v>3224</v>
      </c>
      <c r="C171" s="3054" t="s">
        <v>3241</v>
      </c>
      <c r="D171" s="3054" t="s">
        <v>4013</v>
      </c>
      <c r="E171" s="3054" t="s">
        <v>3114</v>
      </c>
      <c r="F171" s="3054" t="s">
        <v>4014</v>
      </c>
      <c r="G171" s="3054" t="s">
        <v>3934</v>
      </c>
      <c r="H171" s="3054">
        <v>81664.259999999995</v>
      </c>
      <c r="I171" s="3054">
        <v>97997</v>
      </c>
      <c r="J171" s="3054">
        <v>1.2</v>
      </c>
      <c r="K171" s="3054" t="s">
        <v>4006</v>
      </c>
      <c r="L171" s="3054" t="s">
        <v>4015</v>
      </c>
      <c r="M171" s="3054">
        <v>125000</v>
      </c>
      <c r="N171" s="3054">
        <v>12755.48</v>
      </c>
      <c r="O171" s="3054">
        <v>38.89</v>
      </c>
      <c r="P171" s="3054" t="s">
        <v>3231</v>
      </c>
      <c r="R171" s="3054"/>
      <c r="T171" s="3054"/>
      <c r="U171" s="3054"/>
      <c r="V171" s="3054"/>
    </row>
    <row r="172" spans="1:22">
      <c r="A172" s="3054" t="s">
        <v>4016</v>
      </c>
      <c r="B172" s="3054" t="s">
        <v>3112</v>
      </c>
      <c r="C172" s="3054" t="s">
        <v>3113</v>
      </c>
      <c r="D172" s="3054" t="s">
        <v>3250</v>
      </c>
      <c r="E172" s="3054" t="s">
        <v>3114</v>
      </c>
      <c r="F172" s="3054" t="s">
        <v>4017</v>
      </c>
      <c r="G172" s="3054" t="s">
        <v>6</v>
      </c>
      <c r="H172" s="3054">
        <v>82687.360000000001</v>
      </c>
      <c r="I172" s="3054">
        <v>157106</v>
      </c>
      <c r="J172" s="3054">
        <v>1.9</v>
      </c>
      <c r="K172" s="3054" t="s">
        <v>4018</v>
      </c>
      <c r="L172" s="3054" t="s">
        <v>4019</v>
      </c>
      <c r="M172" s="3054">
        <v>14688</v>
      </c>
      <c r="N172" s="3054">
        <v>934.91</v>
      </c>
      <c r="O172" s="3054">
        <v>0</v>
      </c>
      <c r="P172" s="3054" t="s">
        <v>3128</v>
      </c>
      <c r="Q172" s="3054">
        <f>M172/(H172/666.67)</f>
        <v>118.42256132013405</v>
      </c>
    </row>
    <row r="173" spans="1:22">
      <c r="A173" s="3054" t="s">
        <v>3129</v>
      </c>
      <c r="B173" s="3054" t="s">
        <v>3112</v>
      </c>
      <c r="C173" s="3054" t="s">
        <v>3113</v>
      </c>
      <c r="D173" s="3054" t="s">
        <v>3130</v>
      </c>
      <c r="E173" s="3054" t="s">
        <v>3114</v>
      </c>
      <c r="F173" s="3054" t="s">
        <v>3131</v>
      </c>
      <c r="G173" s="3054" t="s">
        <v>6</v>
      </c>
      <c r="H173" s="3054">
        <v>791422.1</v>
      </c>
      <c r="I173" s="3054">
        <v>1187133</v>
      </c>
      <c r="J173" s="3054">
        <v>1.5</v>
      </c>
      <c r="K173" s="3054" t="s">
        <v>3132</v>
      </c>
      <c r="L173" s="3054" t="s">
        <v>3133</v>
      </c>
      <c r="M173" s="3054">
        <v>187820</v>
      </c>
      <c r="N173" s="3054">
        <v>1582.13</v>
      </c>
      <c r="O173" s="3054">
        <v>0</v>
      </c>
      <c r="P173" s="3054" t="s">
        <v>4020</v>
      </c>
      <c r="Q173" s="3054">
        <f>M173/(H173/666.67)</f>
        <v>158.21387777773705</v>
      </c>
    </row>
    <row r="174" spans="1:22" hidden="1">
      <c r="A174" s="3054" t="s">
        <v>4021</v>
      </c>
      <c r="B174" s="3054" t="s">
        <v>3233</v>
      </c>
      <c r="C174" s="3054" t="s">
        <v>3241</v>
      </c>
      <c r="D174" s="3054" t="s">
        <v>4022</v>
      </c>
      <c r="E174" s="3054" t="s">
        <v>3114</v>
      </c>
      <c r="F174" s="3054" t="s">
        <v>4023</v>
      </c>
      <c r="G174" s="3054" t="s">
        <v>3236</v>
      </c>
      <c r="H174" s="3054">
        <v>65516.160000000003</v>
      </c>
      <c r="I174" s="3054">
        <v>163790</v>
      </c>
      <c r="J174" s="3054">
        <v>2.5</v>
      </c>
      <c r="K174" s="3054" t="s">
        <v>4024</v>
      </c>
      <c r="L174" s="3054" t="s">
        <v>4025</v>
      </c>
      <c r="M174" s="3054">
        <v>240000</v>
      </c>
      <c r="N174" s="3054">
        <v>14652.9</v>
      </c>
      <c r="O174" s="3054">
        <v>26.25</v>
      </c>
      <c r="P174" s="3054" t="s">
        <v>3231</v>
      </c>
      <c r="R174" s="3054"/>
      <c r="T174" s="3054"/>
      <c r="U174" s="3054"/>
      <c r="V174" s="3054"/>
    </row>
    <row r="175" spans="1:22" hidden="1">
      <c r="A175" s="3054" t="s">
        <v>4026</v>
      </c>
      <c r="B175" s="3054" t="s">
        <v>3233</v>
      </c>
      <c r="C175" s="3054" t="s">
        <v>3283</v>
      </c>
      <c r="D175" s="3054" t="s">
        <v>4027</v>
      </c>
      <c r="E175" s="3054" t="s">
        <v>3114</v>
      </c>
      <c r="F175" s="3054" t="s">
        <v>4028</v>
      </c>
      <c r="G175" s="3054" t="s">
        <v>3236</v>
      </c>
      <c r="H175" s="3054">
        <v>36708.14</v>
      </c>
      <c r="I175" s="3054">
        <v>102783</v>
      </c>
      <c r="J175" s="3054">
        <v>2.8</v>
      </c>
      <c r="K175" s="3054" t="s">
        <v>4024</v>
      </c>
      <c r="L175" s="3054" t="s">
        <v>4029</v>
      </c>
      <c r="M175" s="3054">
        <v>626000</v>
      </c>
      <c r="N175" s="3054">
        <v>60905.01</v>
      </c>
      <c r="O175" s="3054">
        <v>49.05</v>
      </c>
      <c r="P175" s="3054" t="s">
        <v>3231</v>
      </c>
      <c r="R175" s="3054"/>
      <c r="T175" s="3054"/>
      <c r="U175" s="3054"/>
      <c r="V175" s="3054"/>
    </row>
    <row r="176" spans="1:22" hidden="1">
      <c r="A176" s="3054" t="s">
        <v>4030</v>
      </c>
      <c r="B176" s="3054" t="s">
        <v>3224</v>
      </c>
      <c r="C176" s="3054" t="s">
        <v>3674</v>
      </c>
      <c r="D176" s="3054" t="s">
        <v>3794</v>
      </c>
      <c r="E176" s="3054" t="s">
        <v>3114</v>
      </c>
      <c r="F176" s="3054" t="s">
        <v>4031</v>
      </c>
      <c r="G176" s="3054" t="s">
        <v>4032</v>
      </c>
      <c r="H176" s="3054">
        <v>419116.3</v>
      </c>
      <c r="I176" s="3054">
        <v>407561</v>
      </c>
      <c r="J176" s="3054" t="s">
        <v>4033</v>
      </c>
      <c r="K176" s="3054" t="s">
        <v>4034</v>
      </c>
      <c r="L176" s="3054" t="s">
        <v>4035</v>
      </c>
      <c r="M176" s="3054">
        <v>390000</v>
      </c>
      <c r="N176" s="3054">
        <v>9569.1200000000008</v>
      </c>
      <c r="O176" s="3054">
        <v>0</v>
      </c>
      <c r="P176" s="3054" t="s">
        <v>3231</v>
      </c>
      <c r="R176" s="3054"/>
      <c r="T176" s="3054"/>
      <c r="U176" s="3054"/>
      <c r="V176" s="3054"/>
    </row>
    <row r="177" spans="1:22" hidden="1">
      <c r="A177" s="3054" t="s">
        <v>4036</v>
      </c>
      <c r="B177" s="3054" t="s">
        <v>3233</v>
      </c>
      <c r="C177" s="3054" t="s">
        <v>3366</v>
      </c>
      <c r="D177" s="3054" t="s">
        <v>4037</v>
      </c>
      <c r="E177" s="3054" t="s">
        <v>3114</v>
      </c>
      <c r="F177" s="3054" t="s">
        <v>4038</v>
      </c>
      <c r="G177" s="3054" t="s">
        <v>3236</v>
      </c>
      <c r="H177" s="3054">
        <v>25399.58</v>
      </c>
      <c r="I177" s="3054">
        <v>71267</v>
      </c>
      <c r="J177" s="3054">
        <v>2.8</v>
      </c>
      <c r="K177" s="3054" t="s">
        <v>4034</v>
      </c>
      <c r="L177" s="3054" t="s">
        <v>4039</v>
      </c>
      <c r="M177" s="3054">
        <v>206500</v>
      </c>
      <c r="N177" s="3054">
        <v>28975.54</v>
      </c>
      <c r="O177" s="3054">
        <v>29.06</v>
      </c>
      <c r="P177" s="3054" t="s">
        <v>3231</v>
      </c>
      <c r="R177" s="3054"/>
      <c r="T177" s="3054"/>
      <c r="U177" s="3054"/>
      <c r="V177" s="3054"/>
    </row>
    <row r="178" spans="1:22" hidden="1">
      <c r="A178" s="3054" t="s">
        <v>4040</v>
      </c>
      <c r="B178" s="3054" t="s">
        <v>3224</v>
      </c>
      <c r="C178" s="3054" t="s">
        <v>3303</v>
      </c>
      <c r="D178" s="3054" t="s">
        <v>3304</v>
      </c>
      <c r="E178" s="3054" t="s">
        <v>3114</v>
      </c>
      <c r="F178" s="3054" t="s">
        <v>4041</v>
      </c>
      <c r="G178" s="3054" t="s">
        <v>4042</v>
      </c>
      <c r="H178" s="3054">
        <v>99921.81</v>
      </c>
      <c r="I178" s="3054">
        <v>109014</v>
      </c>
      <c r="J178" s="3054">
        <v>1.1000000000000001</v>
      </c>
      <c r="K178" s="3054" t="s">
        <v>4043</v>
      </c>
      <c r="L178" s="3054" t="s">
        <v>4044</v>
      </c>
      <c r="M178" s="3054">
        <v>596000</v>
      </c>
      <c r="N178" s="3054">
        <v>54671.87</v>
      </c>
      <c r="O178" s="3054">
        <v>49</v>
      </c>
      <c r="P178" s="3054" t="s">
        <v>3231</v>
      </c>
      <c r="R178" s="3054"/>
      <c r="T178" s="3054"/>
      <c r="U178" s="3054"/>
      <c r="V178" s="3054"/>
    </row>
    <row r="179" spans="1:22" hidden="1">
      <c r="A179" s="3054" t="s">
        <v>4045</v>
      </c>
      <c r="B179" s="3054" t="s">
        <v>3240</v>
      </c>
      <c r="C179" s="3054" t="s">
        <v>3435</v>
      </c>
      <c r="D179" s="3054" t="s">
        <v>4046</v>
      </c>
      <c r="E179" s="3054" t="s">
        <v>3114</v>
      </c>
      <c r="F179" s="3054" t="s">
        <v>4047</v>
      </c>
      <c r="G179" s="3054" t="s">
        <v>4048</v>
      </c>
      <c r="H179" s="3054">
        <v>5237.16</v>
      </c>
      <c r="I179" s="3054">
        <v>10474</v>
      </c>
      <c r="J179" s="3054">
        <v>2</v>
      </c>
      <c r="K179" s="3054" t="s">
        <v>4043</v>
      </c>
      <c r="L179" s="3054" t="s">
        <v>4049</v>
      </c>
      <c r="M179" s="3054">
        <v>13700</v>
      </c>
      <c r="N179" s="3054">
        <v>13080.01</v>
      </c>
      <c r="O179" s="3054">
        <v>5.38</v>
      </c>
      <c r="P179" s="3054" t="s">
        <v>3358</v>
      </c>
      <c r="R179" s="3054"/>
      <c r="T179" s="3054"/>
      <c r="U179" s="3054"/>
      <c r="V179" s="3054"/>
    </row>
    <row r="180" spans="1:22">
      <c r="A180" s="3054" t="s">
        <v>4050</v>
      </c>
      <c r="B180" s="3054" t="s">
        <v>3112</v>
      </c>
      <c r="C180" s="3054" t="s">
        <v>3113</v>
      </c>
      <c r="D180" s="3054" t="s">
        <v>4050</v>
      </c>
      <c r="E180" s="3054" t="s">
        <v>3114</v>
      </c>
      <c r="F180" s="3054" t="s">
        <v>4051</v>
      </c>
      <c r="G180" s="3054" t="s">
        <v>6</v>
      </c>
      <c r="H180" s="3054">
        <v>23308.3</v>
      </c>
      <c r="I180" s="3054">
        <v>34962</v>
      </c>
      <c r="J180" s="3054">
        <v>1.5</v>
      </c>
      <c r="K180" s="3054" t="s">
        <v>4052</v>
      </c>
      <c r="L180" s="3054" t="s">
        <v>4053</v>
      </c>
      <c r="M180" s="3054">
        <v>5244</v>
      </c>
      <c r="N180" s="3054">
        <v>1500</v>
      </c>
      <c r="O180" s="3054">
        <v>0</v>
      </c>
      <c r="P180" s="3054" t="s">
        <v>3128</v>
      </c>
      <c r="Q180" s="3054">
        <f>M180/(H180/666.67)</f>
        <v>149.99023867034489</v>
      </c>
    </row>
    <row r="181" spans="1:22" hidden="1">
      <c r="A181" s="3054" t="s">
        <v>4054</v>
      </c>
      <c r="B181" s="3054" t="s">
        <v>3224</v>
      </c>
      <c r="C181" s="3054" t="s">
        <v>3290</v>
      </c>
      <c r="D181" s="3054" t="s">
        <v>4055</v>
      </c>
      <c r="E181" s="3054" t="s">
        <v>3114</v>
      </c>
      <c r="F181" s="3054" t="s">
        <v>4056</v>
      </c>
      <c r="G181" s="3054" t="s">
        <v>3686</v>
      </c>
      <c r="H181" s="3054">
        <v>70400.429999999993</v>
      </c>
      <c r="I181" s="3054">
        <v>211202</v>
      </c>
      <c r="J181" s="3054">
        <v>3</v>
      </c>
      <c r="K181" s="3054" t="s">
        <v>4057</v>
      </c>
      <c r="L181" s="3054" t="s">
        <v>4058</v>
      </c>
      <c r="M181" s="3054">
        <v>262600</v>
      </c>
      <c r="N181" s="3054">
        <v>12433.59</v>
      </c>
      <c r="O181" s="3054">
        <v>1</v>
      </c>
      <c r="P181" s="3054" t="s">
        <v>3231</v>
      </c>
      <c r="R181" s="3054"/>
      <c r="T181" s="3054"/>
      <c r="U181" s="3054"/>
      <c r="V181" s="3054"/>
    </row>
    <row r="182" spans="1:22" hidden="1">
      <c r="A182" s="3054" t="s">
        <v>4059</v>
      </c>
      <c r="B182" s="3054" t="s">
        <v>3224</v>
      </c>
      <c r="C182" s="3054" t="s">
        <v>3290</v>
      </c>
      <c r="D182" s="3054" t="s">
        <v>4055</v>
      </c>
      <c r="E182" s="3054" t="s">
        <v>3114</v>
      </c>
      <c r="F182" s="3054" t="s">
        <v>4060</v>
      </c>
      <c r="G182" s="3054" t="s">
        <v>3686</v>
      </c>
      <c r="H182" s="3054">
        <v>20342.53</v>
      </c>
      <c r="I182" s="3054">
        <v>61028</v>
      </c>
      <c r="J182" s="3054">
        <v>3</v>
      </c>
      <c r="K182" s="3054" t="s">
        <v>4057</v>
      </c>
      <c r="L182" s="3054" t="s">
        <v>4061</v>
      </c>
      <c r="M182" s="3054">
        <v>62000</v>
      </c>
      <c r="N182" s="3054">
        <v>10159.27</v>
      </c>
      <c r="O182" s="3054">
        <v>3.33</v>
      </c>
      <c r="P182" s="3054" t="s">
        <v>3231</v>
      </c>
      <c r="R182" s="3054"/>
      <c r="T182" s="3054"/>
      <c r="U182" s="3054"/>
      <c r="V182" s="3054"/>
    </row>
    <row r="183" spans="1:22" hidden="1">
      <c r="A183" s="3054" t="s">
        <v>4062</v>
      </c>
      <c r="B183" s="3054" t="s">
        <v>3233</v>
      </c>
      <c r="C183" s="3054" t="s">
        <v>3353</v>
      </c>
      <c r="D183" s="3054" t="s">
        <v>3866</v>
      </c>
      <c r="E183" s="3054" t="s">
        <v>3114</v>
      </c>
      <c r="F183" s="3054" t="s">
        <v>4063</v>
      </c>
      <c r="G183" s="3054" t="s">
        <v>3236</v>
      </c>
      <c r="H183" s="3054">
        <v>82336.42</v>
      </c>
      <c r="I183" s="3054">
        <v>139022</v>
      </c>
      <c r="J183" s="3054" t="s">
        <v>4064</v>
      </c>
      <c r="K183" s="3054" t="s">
        <v>4065</v>
      </c>
      <c r="L183" s="3054" t="s">
        <v>4066</v>
      </c>
      <c r="M183" s="3054">
        <v>580800</v>
      </c>
      <c r="N183" s="3054">
        <v>41777.550000000003</v>
      </c>
      <c r="O183" s="3054">
        <v>20</v>
      </c>
      <c r="P183" s="3054" t="s">
        <v>3231</v>
      </c>
      <c r="R183" s="3054"/>
      <c r="T183" s="3054"/>
      <c r="U183" s="3054"/>
      <c r="V183" s="3054"/>
    </row>
    <row r="184" spans="1:22" hidden="1">
      <c r="A184" s="3054" t="s">
        <v>4067</v>
      </c>
      <c r="B184" s="3054" t="s">
        <v>3233</v>
      </c>
      <c r="C184" s="3054" t="s">
        <v>3353</v>
      </c>
      <c r="D184" s="3054" t="s">
        <v>3866</v>
      </c>
      <c r="E184" s="3054" t="s">
        <v>3114</v>
      </c>
      <c r="F184" s="3054" t="s">
        <v>4068</v>
      </c>
      <c r="G184" s="3054" t="s">
        <v>3236</v>
      </c>
      <c r="H184" s="3054">
        <v>54881.23</v>
      </c>
      <c r="I184" s="3054">
        <v>104288</v>
      </c>
      <c r="J184" s="3054" t="s">
        <v>4069</v>
      </c>
      <c r="K184" s="3054" t="s">
        <v>4065</v>
      </c>
      <c r="L184" s="3054" t="s">
        <v>4070</v>
      </c>
      <c r="M184" s="3054">
        <v>180550</v>
      </c>
      <c r="N184" s="3054">
        <v>17312.63</v>
      </c>
      <c r="O184" s="3054">
        <v>15</v>
      </c>
      <c r="P184" s="3054" t="s">
        <v>3231</v>
      </c>
      <c r="R184" s="3054"/>
      <c r="T184" s="3054"/>
      <c r="U184" s="3054"/>
      <c r="V184" s="3054"/>
    </row>
    <row r="185" spans="1:22" hidden="1">
      <c r="A185" s="3054" t="s">
        <v>4071</v>
      </c>
      <c r="B185" s="3054" t="s">
        <v>3224</v>
      </c>
      <c r="C185" s="3054" t="s">
        <v>3113</v>
      </c>
      <c r="D185" s="3054" t="s">
        <v>4072</v>
      </c>
      <c r="E185" s="3054" t="s">
        <v>3114</v>
      </c>
      <c r="F185" s="3054" t="s">
        <v>4073</v>
      </c>
      <c r="G185" s="3054" t="s">
        <v>4074</v>
      </c>
      <c r="H185" s="3054">
        <v>76286.2</v>
      </c>
      <c r="I185" s="3054">
        <v>181983</v>
      </c>
      <c r="J185" s="3054">
        <v>2.5</v>
      </c>
      <c r="K185" s="3054" t="s">
        <v>4065</v>
      </c>
      <c r="L185" s="3054" t="s">
        <v>3891</v>
      </c>
      <c r="M185" s="3054">
        <v>716500</v>
      </c>
      <c r="N185" s="3054">
        <v>39371.79</v>
      </c>
      <c r="O185" s="3054">
        <v>49.9</v>
      </c>
      <c r="P185" s="3054" t="s">
        <v>3231</v>
      </c>
      <c r="R185" s="3054"/>
      <c r="T185" s="3054"/>
      <c r="U185" s="3054"/>
      <c r="V185" s="3054"/>
    </row>
    <row r="186" spans="1:22" hidden="1">
      <c r="A186" s="3054" t="s">
        <v>4075</v>
      </c>
      <c r="B186" s="3054" t="s">
        <v>3240</v>
      </c>
      <c r="C186" s="3054" t="s">
        <v>3113</v>
      </c>
      <c r="D186" s="3054" t="s">
        <v>4076</v>
      </c>
      <c r="E186" s="3054" t="s">
        <v>3114</v>
      </c>
      <c r="F186" s="3054" t="s">
        <v>4077</v>
      </c>
      <c r="G186" s="3054" t="s">
        <v>3782</v>
      </c>
      <c r="H186" s="3054">
        <v>66237.2</v>
      </c>
      <c r="I186" s="3054">
        <v>264058</v>
      </c>
      <c r="J186" s="3054">
        <v>3.99</v>
      </c>
      <c r="K186" s="3054" t="s">
        <v>4065</v>
      </c>
      <c r="L186" s="3054" t="s">
        <v>4078</v>
      </c>
      <c r="M186" s="3054">
        <v>385000</v>
      </c>
      <c r="N186" s="3054">
        <v>14580.09</v>
      </c>
      <c r="O186" s="3054">
        <v>0</v>
      </c>
      <c r="P186" s="3054" t="s">
        <v>3316</v>
      </c>
      <c r="R186" s="3054"/>
      <c r="T186" s="3054"/>
      <c r="U186" s="3054"/>
      <c r="V186" s="3054"/>
    </row>
    <row r="187" spans="1:22" hidden="1">
      <c r="A187" s="3054" t="s">
        <v>4079</v>
      </c>
      <c r="B187" s="3054" t="s">
        <v>3233</v>
      </c>
      <c r="C187" s="3054" t="s">
        <v>3378</v>
      </c>
      <c r="D187" s="3054" t="s">
        <v>4080</v>
      </c>
      <c r="E187" s="3054" t="s">
        <v>3114</v>
      </c>
      <c r="F187" s="3054" t="s">
        <v>4081</v>
      </c>
      <c r="G187" s="3054" t="s">
        <v>3236</v>
      </c>
      <c r="H187" s="3054">
        <v>98253.08</v>
      </c>
      <c r="I187" s="3054">
        <v>109059</v>
      </c>
      <c r="J187" s="3054">
        <v>1.1000000000000001</v>
      </c>
      <c r="K187" s="3054" t="s">
        <v>4082</v>
      </c>
      <c r="L187" s="3054" t="s">
        <v>3815</v>
      </c>
      <c r="M187" s="3054">
        <v>155600</v>
      </c>
      <c r="N187" s="3054">
        <v>14267.51</v>
      </c>
      <c r="O187" s="3054">
        <v>49.62</v>
      </c>
      <c r="P187" s="3054" t="s">
        <v>3231</v>
      </c>
      <c r="R187" s="3054"/>
      <c r="T187" s="3054"/>
      <c r="U187" s="3054"/>
      <c r="V187" s="3054"/>
    </row>
    <row r="188" spans="1:22" hidden="1">
      <c r="A188" s="3054" t="s">
        <v>4083</v>
      </c>
      <c r="B188" s="3054" t="s">
        <v>3224</v>
      </c>
      <c r="C188" s="3054" t="s">
        <v>3113</v>
      </c>
      <c r="D188" s="3054" t="s">
        <v>4084</v>
      </c>
      <c r="E188" s="3054" t="s">
        <v>3114</v>
      </c>
      <c r="F188" s="3054" t="s">
        <v>4085</v>
      </c>
      <c r="G188" s="3054" t="s">
        <v>3286</v>
      </c>
      <c r="H188" s="3054">
        <v>28212.35</v>
      </c>
      <c r="I188" s="3054">
        <v>70531</v>
      </c>
      <c r="J188" s="3054">
        <v>2.5</v>
      </c>
      <c r="K188" s="3054" t="s">
        <v>4082</v>
      </c>
      <c r="L188" s="3054" t="s">
        <v>4086</v>
      </c>
      <c r="M188" s="3054">
        <v>270000</v>
      </c>
      <c r="N188" s="3054">
        <v>38281.040000000001</v>
      </c>
      <c r="O188" s="3054">
        <v>42.11</v>
      </c>
      <c r="P188" s="3054" t="s">
        <v>3231</v>
      </c>
      <c r="R188" s="3054"/>
      <c r="T188" s="3054"/>
      <c r="U188" s="3054"/>
      <c r="V188" s="3054"/>
    </row>
    <row r="189" spans="1:22" hidden="1">
      <c r="A189" s="3054" t="s">
        <v>4087</v>
      </c>
      <c r="B189" s="3054" t="s">
        <v>3224</v>
      </c>
      <c r="C189" s="3054" t="s">
        <v>3378</v>
      </c>
      <c r="D189" s="3054" t="s">
        <v>4080</v>
      </c>
      <c r="E189" s="3054" t="s">
        <v>3114</v>
      </c>
      <c r="F189" s="3054" t="s">
        <v>4088</v>
      </c>
      <c r="G189" s="3054" t="s">
        <v>3227</v>
      </c>
      <c r="H189" s="3054">
        <v>86606.77</v>
      </c>
      <c r="I189" s="3054">
        <v>90599</v>
      </c>
      <c r="J189" s="3054">
        <v>1.05</v>
      </c>
      <c r="K189" s="3054" t="s">
        <v>4089</v>
      </c>
      <c r="L189" s="3054" t="s">
        <v>3815</v>
      </c>
      <c r="M189" s="3054">
        <v>116700</v>
      </c>
      <c r="N189" s="3054">
        <v>12880.94</v>
      </c>
      <c r="O189" s="3054">
        <v>49.62</v>
      </c>
      <c r="P189" s="3054" t="s">
        <v>3231</v>
      </c>
      <c r="R189" s="3054"/>
      <c r="T189" s="3054"/>
      <c r="U189" s="3054"/>
      <c r="V189" s="3054"/>
    </row>
    <row r="190" spans="1:22" hidden="1">
      <c r="A190" s="3054" t="s">
        <v>4090</v>
      </c>
      <c r="B190" s="3054" t="s">
        <v>3233</v>
      </c>
      <c r="C190" s="3054" t="s">
        <v>3378</v>
      </c>
      <c r="D190" s="3054" t="s">
        <v>4080</v>
      </c>
      <c r="E190" s="3054" t="s">
        <v>3114</v>
      </c>
      <c r="F190" s="3054" t="s">
        <v>4091</v>
      </c>
      <c r="G190" s="3054" t="s">
        <v>3236</v>
      </c>
      <c r="H190" s="3054">
        <v>48594.46</v>
      </c>
      <c r="I190" s="3054">
        <v>58313</v>
      </c>
      <c r="J190" s="3054">
        <v>1.2</v>
      </c>
      <c r="K190" s="3054" t="s">
        <v>4089</v>
      </c>
      <c r="L190" s="3054" t="s">
        <v>3815</v>
      </c>
      <c r="M190" s="3054">
        <v>82300</v>
      </c>
      <c r="N190" s="3054">
        <v>14113.48</v>
      </c>
      <c r="O190" s="3054">
        <v>49.64</v>
      </c>
      <c r="P190" s="3054" t="s">
        <v>3231</v>
      </c>
      <c r="R190" s="3054"/>
      <c r="T190" s="3054"/>
      <c r="U190" s="3054"/>
      <c r="V190" s="3054"/>
    </row>
    <row r="191" spans="1:22" hidden="1">
      <c r="A191" s="3054" t="s">
        <v>4092</v>
      </c>
      <c r="B191" s="3054" t="s">
        <v>3224</v>
      </c>
      <c r="C191" s="3054" t="s">
        <v>4093</v>
      </c>
      <c r="D191" s="3054" t="s">
        <v>4094</v>
      </c>
      <c r="E191" s="3054" t="s">
        <v>3114</v>
      </c>
      <c r="F191" s="3054" t="s">
        <v>4095</v>
      </c>
      <c r="G191" s="3054" t="s">
        <v>3344</v>
      </c>
      <c r="H191" s="3054">
        <v>29269.64</v>
      </c>
      <c r="I191" s="3054">
        <v>73598</v>
      </c>
      <c r="J191" s="3054">
        <v>2.5</v>
      </c>
      <c r="K191" s="3054" t="s">
        <v>4089</v>
      </c>
      <c r="L191" s="3054" t="s">
        <v>4096</v>
      </c>
      <c r="M191" s="3054">
        <v>384000</v>
      </c>
      <c r="N191" s="3054">
        <v>52175.33</v>
      </c>
      <c r="O191" s="3054">
        <v>0.52</v>
      </c>
      <c r="P191" s="3054" t="s">
        <v>3231</v>
      </c>
      <c r="R191" s="3054"/>
      <c r="T191" s="3054"/>
      <c r="U191" s="3054"/>
      <c r="V191" s="3054"/>
    </row>
    <row r="192" spans="1:22" hidden="1">
      <c r="A192" s="3054" t="s">
        <v>4097</v>
      </c>
      <c r="B192" s="3054" t="s">
        <v>3224</v>
      </c>
      <c r="C192" s="3054" t="s">
        <v>3113</v>
      </c>
      <c r="D192" s="3054" t="s">
        <v>3278</v>
      </c>
      <c r="E192" s="3054" t="s">
        <v>3114</v>
      </c>
      <c r="F192" s="3054" t="s">
        <v>4098</v>
      </c>
      <c r="G192" s="3054" t="s">
        <v>3227</v>
      </c>
      <c r="H192" s="3054">
        <v>75065.42</v>
      </c>
      <c r="I192" s="3054">
        <v>133506</v>
      </c>
      <c r="J192" s="3054" t="s">
        <v>4099</v>
      </c>
      <c r="K192" s="3054" t="s">
        <v>4100</v>
      </c>
      <c r="L192" s="3054" t="s">
        <v>4101</v>
      </c>
      <c r="M192" s="3054">
        <v>479000</v>
      </c>
      <c r="N192" s="3054">
        <v>35878.54</v>
      </c>
      <c r="O192" s="3054">
        <v>49.69</v>
      </c>
      <c r="P192" s="3054" t="s">
        <v>3231</v>
      </c>
      <c r="R192" s="3054"/>
      <c r="T192" s="3054"/>
      <c r="U192" s="3054"/>
      <c r="V192" s="3054"/>
    </row>
    <row r="193" spans="1:31" hidden="1">
      <c r="A193" s="3054" t="s">
        <v>4102</v>
      </c>
      <c r="B193" s="3054" t="s">
        <v>3224</v>
      </c>
      <c r="C193" s="3054" t="s">
        <v>3113</v>
      </c>
      <c r="D193" s="3054" t="s">
        <v>4084</v>
      </c>
      <c r="E193" s="3054" t="s">
        <v>3114</v>
      </c>
      <c r="F193" s="3054" t="s">
        <v>4103</v>
      </c>
      <c r="G193" s="3054" t="s">
        <v>3286</v>
      </c>
      <c r="H193" s="3054">
        <v>22717.91</v>
      </c>
      <c r="I193" s="3054">
        <v>56795</v>
      </c>
      <c r="J193" s="3054">
        <v>2.5</v>
      </c>
      <c r="K193" s="3054" t="s">
        <v>4100</v>
      </c>
      <c r="L193" s="3054" t="s">
        <v>4104</v>
      </c>
      <c r="M193" s="3054">
        <v>229000</v>
      </c>
      <c r="N193" s="3054">
        <v>40320.44</v>
      </c>
      <c r="O193" s="3054">
        <v>49.67</v>
      </c>
      <c r="P193" s="3054" t="s">
        <v>3231</v>
      </c>
      <c r="R193" s="3054"/>
      <c r="T193" s="3054"/>
      <c r="U193" s="3054"/>
      <c r="V193" s="3054"/>
    </row>
    <row r="194" spans="1:31" hidden="1">
      <c r="A194" s="3054" t="s">
        <v>4105</v>
      </c>
      <c r="B194" s="3054" t="s">
        <v>3224</v>
      </c>
      <c r="C194" s="3054" t="s">
        <v>3600</v>
      </c>
      <c r="D194" s="3054" t="s">
        <v>3860</v>
      </c>
      <c r="E194" s="3054" t="s">
        <v>3114</v>
      </c>
      <c r="F194" s="3054" t="s">
        <v>4106</v>
      </c>
      <c r="G194" s="3054" t="s">
        <v>4107</v>
      </c>
      <c r="H194" s="3054">
        <v>101259.5</v>
      </c>
      <c r="I194" s="3054">
        <v>202324</v>
      </c>
      <c r="J194" s="3054">
        <v>2</v>
      </c>
      <c r="K194" s="3054" t="s">
        <v>4100</v>
      </c>
      <c r="L194" s="3054" t="s">
        <v>3357</v>
      </c>
      <c r="M194" s="3054">
        <v>395000</v>
      </c>
      <c r="N194" s="3054">
        <v>19523.13</v>
      </c>
      <c r="O194" s="3054">
        <v>6.76</v>
      </c>
      <c r="P194" s="3054" t="s">
        <v>3231</v>
      </c>
      <c r="R194" s="3054"/>
      <c r="T194" s="3054"/>
      <c r="U194" s="3054"/>
      <c r="V194" s="3054"/>
    </row>
    <row r="195" spans="1:31" hidden="1">
      <c r="A195" s="3054" t="s">
        <v>4108</v>
      </c>
      <c r="B195" s="3054" t="s">
        <v>3224</v>
      </c>
      <c r="C195" s="3054" t="s">
        <v>3113</v>
      </c>
      <c r="D195" s="3054" t="s">
        <v>4084</v>
      </c>
      <c r="E195" s="3054" t="s">
        <v>3114</v>
      </c>
      <c r="F195" s="3054" t="s">
        <v>4109</v>
      </c>
      <c r="G195" s="3054" t="s">
        <v>3286</v>
      </c>
      <c r="H195" s="3054">
        <v>31048.69</v>
      </c>
      <c r="I195" s="3054">
        <v>77622</v>
      </c>
      <c r="J195" s="3054">
        <v>2.5</v>
      </c>
      <c r="K195" s="3054" t="s">
        <v>4110</v>
      </c>
      <c r="L195" s="3054" t="s">
        <v>3276</v>
      </c>
      <c r="M195" s="3054">
        <v>146500</v>
      </c>
      <c r="N195" s="3054">
        <v>18873.52</v>
      </c>
      <c r="O195" s="3054">
        <v>1.03</v>
      </c>
      <c r="P195" s="3054" t="s">
        <v>3231</v>
      </c>
      <c r="R195" s="3054"/>
      <c r="T195" s="3054"/>
      <c r="U195" s="3054"/>
      <c r="V195" s="3054"/>
    </row>
    <row r="196" spans="1:31" hidden="1">
      <c r="A196" s="3054" t="s">
        <v>4111</v>
      </c>
      <c r="B196" s="3054" t="s">
        <v>3233</v>
      </c>
      <c r="C196" s="3054" t="s">
        <v>3600</v>
      </c>
      <c r="D196" s="3054" t="s">
        <v>3860</v>
      </c>
      <c r="E196" s="3054" t="s">
        <v>3114</v>
      </c>
      <c r="F196" s="3054" t="s">
        <v>4112</v>
      </c>
      <c r="G196" s="3054" t="s">
        <v>3236</v>
      </c>
      <c r="H196" s="3054">
        <v>44353.34</v>
      </c>
      <c r="I196" s="3054">
        <v>97577</v>
      </c>
      <c r="J196" s="3054">
        <v>2.2000000000000002</v>
      </c>
      <c r="K196" s="3054" t="s">
        <v>4110</v>
      </c>
      <c r="L196" s="3054" t="s">
        <v>4113</v>
      </c>
      <c r="M196" s="3054">
        <v>222000</v>
      </c>
      <c r="N196" s="3054">
        <v>22751.25</v>
      </c>
      <c r="O196" s="3054">
        <v>26.86</v>
      </c>
      <c r="P196" s="3054" t="s">
        <v>3231</v>
      </c>
      <c r="R196" s="3054"/>
      <c r="T196" s="3054"/>
      <c r="U196" s="3054"/>
      <c r="V196" s="3054"/>
    </row>
    <row r="197" spans="1:31" hidden="1">
      <c r="A197" s="3054" t="s">
        <v>4114</v>
      </c>
      <c r="B197" s="3054" t="s">
        <v>3233</v>
      </c>
      <c r="C197" s="3054" t="s">
        <v>3378</v>
      </c>
      <c r="D197" s="3054" t="s">
        <v>4115</v>
      </c>
      <c r="E197" s="3054" t="s">
        <v>3114</v>
      </c>
      <c r="F197" s="3054" t="s">
        <v>4116</v>
      </c>
      <c r="G197" s="3054" t="s">
        <v>3236</v>
      </c>
      <c r="H197" s="3054">
        <v>20763.830000000002</v>
      </c>
      <c r="I197" s="3054">
        <v>45680</v>
      </c>
      <c r="J197" s="3054">
        <v>2.2000000000000002</v>
      </c>
      <c r="K197" s="3054" t="s">
        <v>4110</v>
      </c>
      <c r="L197" s="3054" t="s">
        <v>3276</v>
      </c>
      <c r="M197" s="3054">
        <v>37800</v>
      </c>
      <c r="N197" s="3054">
        <v>8274.9500000000007</v>
      </c>
      <c r="O197" s="3054">
        <v>2.16</v>
      </c>
      <c r="P197" s="3054" t="s">
        <v>3231</v>
      </c>
      <c r="R197" s="3054"/>
      <c r="T197" s="3054"/>
      <c r="U197" s="3054"/>
      <c r="V197" s="3054"/>
    </row>
    <row r="198" spans="1:31" hidden="1">
      <c r="A198" s="3054" t="s">
        <v>4117</v>
      </c>
      <c r="B198" s="3054" t="s">
        <v>3224</v>
      </c>
      <c r="C198" s="3054" t="s">
        <v>3113</v>
      </c>
      <c r="D198" s="3054" t="s">
        <v>4118</v>
      </c>
      <c r="E198" s="3054" t="s">
        <v>3114</v>
      </c>
      <c r="F198" s="3054" t="s">
        <v>4119</v>
      </c>
      <c r="G198" s="3054" t="s">
        <v>3686</v>
      </c>
      <c r="H198" s="3054">
        <v>40985.61</v>
      </c>
      <c r="I198" s="3054">
        <v>81971</v>
      </c>
      <c r="J198" s="3054">
        <v>2</v>
      </c>
      <c r="K198" s="3054" t="s">
        <v>4120</v>
      </c>
      <c r="L198" s="3054" t="s">
        <v>4121</v>
      </c>
      <c r="M198" s="3054">
        <v>168000</v>
      </c>
      <c r="N198" s="3054">
        <v>20495.04</v>
      </c>
      <c r="O198" s="3054">
        <v>0</v>
      </c>
      <c r="P198" s="3054" t="s">
        <v>3231</v>
      </c>
      <c r="R198" s="3054"/>
      <c r="T198" s="3054"/>
      <c r="U198" s="3054"/>
      <c r="V198" s="3054"/>
    </row>
    <row r="199" spans="1:31" hidden="1">
      <c r="A199" s="3054" t="s">
        <v>4122</v>
      </c>
      <c r="B199" s="3054" t="s">
        <v>3233</v>
      </c>
      <c r="C199" s="3054" t="s">
        <v>3329</v>
      </c>
      <c r="D199" s="3054" t="s">
        <v>4123</v>
      </c>
      <c r="E199" s="3054" t="s">
        <v>3114</v>
      </c>
      <c r="F199" s="3054" t="s">
        <v>4124</v>
      </c>
      <c r="G199" s="3054" t="s">
        <v>3236</v>
      </c>
      <c r="H199" s="3054">
        <v>89116.67</v>
      </c>
      <c r="I199" s="3054">
        <v>133675</v>
      </c>
      <c r="J199" s="3054">
        <v>1.5</v>
      </c>
      <c r="K199" s="3054" t="s">
        <v>4120</v>
      </c>
      <c r="L199" s="3054" t="s">
        <v>4125</v>
      </c>
      <c r="M199" s="3054">
        <v>172000</v>
      </c>
      <c r="N199" s="3054">
        <v>12867.03</v>
      </c>
      <c r="O199" s="3054">
        <v>49.57</v>
      </c>
      <c r="P199" s="3054" t="s">
        <v>3231</v>
      </c>
      <c r="R199" s="3054"/>
      <c r="T199" s="3054"/>
      <c r="U199" s="3054"/>
      <c r="V199" s="3054"/>
    </row>
    <row r="200" spans="1:31" hidden="1">
      <c r="A200" s="3054" t="s">
        <v>4126</v>
      </c>
      <c r="B200" s="3054" t="s">
        <v>3224</v>
      </c>
      <c r="C200" s="3054" t="s">
        <v>3283</v>
      </c>
      <c r="D200" s="3054" t="s">
        <v>4127</v>
      </c>
      <c r="E200" s="3054" t="s">
        <v>3114</v>
      </c>
      <c r="F200" s="3054" t="s">
        <v>4128</v>
      </c>
      <c r="G200" s="3054" t="s">
        <v>4129</v>
      </c>
      <c r="H200" s="3054">
        <v>65649.87</v>
      </c>
      <c r="I200" s="3054">
        <v>193846</v>
      </c>
      <c r="J200" s="3054" t="s">
        <v>4130</v>
      </c>
      <c r="K200" s="3054" t="s">
        <v>4120</v>
      </c>
      <c r="L200" s="3054" t="s">
        <v>4131</v>
      </c>
      <c r="M200" s="3054">
        <v>787000</v>
      </c>
      <c r="N200" s="3054">
        <v>40599.230000000003</v>
      </c>
      <c r="O200" s="3054">
        <v>49.9</v>
      </c>
      <c r="P200" s="3054" t="s">
        <v>3231</v>
      </c>
      <c r="R200" s="3054"/>
      <c r="T200" s="3054"/>
      <c r="U200" s="3054"/>
      <c r="V200" s="3054"/>
    </row>
    <row r="201" spans="1:31" hidden="1">
      <c r="A201" s="3054" t="s">
        <v>4132</v>
      </c>
      <c r="B201" s="3054" t="s">
        <v>3224</v>
      </c>
      <c r="C201" s="3054" t="s">
        <v>3324</v>
      </c>
      <c r="D201" s="3054" t="s">
        <v>4133</v>
      </c>
      <c r="E201" s="3054" t="s">
        <v>3114</v>
      </c>
      <c r="F201" s="3054" t="s">
        <v>4134</v>
      </c>
      <c r="G201" s="3054" t="s">
        <v>3934</v>
      </c>
      <c r="H201" s="3054">
        <v>151051.70000000001</v>
      </c>
      <c r="I201" s="3054">
        <v>274253</v>
      </c>
      <c r="J201" s="3054" t="s">
        <v>4135</v>
      </c>
      <c r="K201" s="3054" t="s">
        <v>4136</v>
      </c>
      <c r="L201" s="3054" t="s">
        <v>3647</v>
      </c>
      <c r="M201" s="3054">
        <v>502000</v>
      </c>
      <c r="N201" s="3054">
        <v>18304.27</v>
      </c>
      <c r="O201" s="3054">
        <v>30.39</v>
      </c>
      <c r="P201" s="3054" t="s">
        <v>3231</v>
      </c>
      <c r="R201" s="3054"/>
      <c r="T201" s="3054"/>
      <c r="U201" s="3054"/>
      <c r="V201" s="3054"/>
    </row>
    <row r="202" spans="1:31" hidden="1">
      <c r="A202" s="3054" t="s">
        <v>4137</v>
      </c>
      <c r="B202" s="3054" t="s">
        <v>3224</v>
      </c>
      <c r="C202" s="3054" t="s">
        <v>3290</v>
      </c>
      <c r="D202" s="3054" t="s">
        <v>4138</v>
      </c>
      <c r="E202" s="3054" t="s">
        <v>3292</v>
      </c>
      <c r="F202" s="3054" t="s">
        <v>4139</v>
      </c>
      <c r="G202" s="3054" t="s">
        <v>4140</v>
      </c>
      <c r="H202" s="3054">
        <v>59539.89</v>
      </c>
      <c r="I202" s="3054">
        <v>143970</v>
      </c>
      <c r="J202" s="3054">
        <v>2.418042883</v>
      </c>
      <c r="K202" s="3054" t="s">
        <v>4141</v>
      </c>
      <c r="L202" s="3054" t="s">
        <v>4142</v>
      </c>
      <c r="M202" s="3054" t="s">
        <v>1298</v>
      </c>
      <c r="N202" s="3054">
        <v>0</v>
      </c>
      <c r="O202" s="3054">
        <v>0</v>
      </c>
      <c r="P202" s="3054" t="s">
        <v>4143</v>
      </c>
      <c r="R202" s="3054"/>
      <c r="T202" s="3054"/>
      <c r="U202" s="3054"/>
      <c r="V202" s="3054"/>
    </row>
    <row r="203" spans="1:31" hidden="1">
      <c r="A203" s="3054" t="s">
        <v>4144</v>
      </c>
      <c r="B203" s="3054" t="s">
        <v>3224</v>
      </c>
      <c r="C203" s="3054" t="s">
        <v>3329</v>
      </c>
      <c r="D203" s="3054" t="s">
        <v>3706</v>
      </c>
      <c r="E203" s="3054" t="s">
        <v>3114</v>
      </c>
      <c r="F203" s="3054" t="s">
        <v>4145</v>
      </c>
      <c r="G203" s="3054" t="s">
        <v>3227</v>
      </c>
      <c r="H203" s="3054">
        <v>133032.79999999999</v>
      </c>
      <c r="I203" s="3054">
        <v>210450</v>
      </c>
      <c r="J203" s="3054">
        <v>1.581940932</v>
      </c>
      <c r="K203" s="3054" t="s">
        <v>4146</v>
      </c>
      <c r="L203" s="3054" t="s">
        <v>4147</v>
      </c>
      <c r="M203" s="3054">
        <v>561000</v>
      </c>
      <c r="N203" s="3054">
        <v>26657.15</v>
      </c>
      <c r="O203" s="3054">
        <v>50</v>
      </c>
      <c r="P203" s="3054" t="s">
        <v>3231</v>
      </c>
      <c r="R203" s="3054"/>
      <c r="T203" s="3054"/>
      <c r="U203" s="3054"/>
      <c r="V203" s="3054"/>
    </row>
    <row r="204" spans="1:31" hidden="1">
      <c r="A204" s="3054" t="s">
        <v>4148</v>
      </c>
      <c r="B204" s="3054" t="s">
        <v>3233</v>
      </c>
      <c r="C204" s="3054" t="s">
        <v>3324</v>
      </c>
      <c r="D204" s="3054" t="s">
        <v>3374</v>
      </c>
      <c r="E204" s="3054" t="s">
        <v>3114</v>
      </c>
      <c r="F204" s="3054" t="s">
        <v>4149</v>
      </c>
      <c r="G204" s="3054" t="s">
        <v>3236</v>
      </c>
      <c r="H204" s="3054">
        <v>155132.79999999999</v>
      </c>
      <c r="I204" s="3054">
        <v>156684</v>
      </c>
      <c r="J204" s="3054">
        <v>1.009999305</v>
      </c>
      <c r="K204" s="3054" t="s">
        <v>4146</v>
      </c>
      <c r="L204" s="3054" t="s">
        <v>4150</v>
      </c>
      <c r="M204" s="3054">
        <v>705000</v>
      </c>
      <c r="N204" s="3054">
        <v>44995.01</v>
      </c>
      <c r="O204" s="3054">
        <v>50</v>
      </c>
      <c r="P204" s="3054" t="s">
        <v>3231</v>
      </c>
      <c r="R204" s="3054"/>
      <c r="T204" s="3054"/>
      <c r="U204" s="3054"/>
      <c r="V204" s="3054"/>
    </row>
    <row r="205" spans="1:31" hidden="1">
      <c r="A205" s="3054" t="s">
        <v>4151</v>
      </c>
      <c r="B205" s="3054" t="s">
        <v>3224</v>
      </c>
      <c r="C205" s="3054" t="s">
        <v>3283</v>
      </c>
      <c r="D205" s="3054" t="s">
        <v>4152</v>
      </c>
      <c r="E205" s="3054" t="s">
        <v>3114</v>
      </c>
      <c r="F205" s="3054" t="s">
        <v>4153</v>
      </c>
      <c r="G205" s="3054" t="s">
        <v>4154</v>
      </c>
      <c r="H205" s="3054">
        <v>35982.400000000001</v>
      </c>
      <c r="I205" s="3054">
        <v>86965</v>
      </c>
      <c r="J205" s="3054">
        <v>2.4</v>
      </c>
      <c r="K205" s="3054" t="s">
        <v>4155</v>
      </c>
      <c r="L205" s="3054" t="s">
        <v>4156</v>
      </c>
      <c r="M205" s="3054">
        <v>286000</v>
      </c>
      <c r="N205" s="3054">
        <v>32886.79</v>
      </c>
      <c r="O205" s="3054">
        <v>24.35</v>
      </c>
      <c r="P205" s="3054" t="s">
        <v>3308</v>
      </c>
      <c r="R205" s="3054"/>
      <c r="T205" s="3054"/>
      <c r="U205" s="3054"/>
      <c r="V205" s="3054"/>
    </row>
    <row r="206" spans="1:31" hidden="1">
      <c r="A206" s="3054" t="s">
        <v>4157</v>
      </c>
      <c r="B206" s="3054" t="s">
        <v>3224</v>
      </c>
      <c r="C206" s="3054" t="s">
        <v>3283</v>
      </c>
      <c r="D206" s="3054" t="s">
        <v>4158</v>
      </c>
      <c r="E206" s="3054" t="s">
        <v>3114</v>
      </c>
      <c r="F206" s="3054" t="s">
        <v>4159</v>
      </c>
      <c r="G206" s="3054" t="s">
        <v>4160</v>
      </c>
      <c r="H206" s="3054">
        <v>75405.59</v>
      </c>
      <c r="I206" s="3054">
        <v>163968</v>
      </c>
      <c r="J206" s="3054">
        <v>2.2000000000000002</v>
      </c>
      <c r="K206" s="3054" t="s">
        <v>4161</v>
      </c>
      <c r="L206" s="3054" t="s">
        <v>4162</v>
      </c>
      <c r="M206" s="3054">
        <v>415000</v>
      </c>
      <c r="N206" s="3054">
        <v>25309.81</v>
      </c>
      <c r="O206" s="3054">
        <v>0</v>
      </c>
      <c r="P206" s="3054" t="s">
        <v>3308</v>
      </c>
      <c r="R206" s="3054"/>
      <c r="T206" s="3054"/>
      <c r="U206" s="3054"/>
      <c r="V206" s="3054"/>
    </row>
    <row r="207" spans="1:31">
      <c r="A207" s="3054" t="s">
        <v>4163</v>
      </c>
      <c r="B207" s="3054" t="s">
        <v>3112</v>
      </c>
      <c r="C207" s="3054" t="s">
        <v>3113</v>
      </c>
      <c r="D207" s="3054" t="s">
        <v>4164</v>
      </c>
      <c r="E207" s="3054" t="s">
        <v>3114</v>
      </c>
      <c r="F207" s="3054" t="s">
        <v>4165</v>
      </c>
      <c r="G207" s="3054" t="s">
        <v>3560</v>
      </c>
      <c r="H207" s="3054">
        <v>19655.95</v>
      </c>
      <c r="I207" s="3054">
        <v>39312</v>
      </c>
      <c r="J207" s="3054">
        <v>8.3000000000000007</v>
      </c>
      <c r="K207" s="3054" t="s">
        <v>4166</v>
      </c>
      <c r="L207" s="3054" t="s">
        <v>4167</v>
      </c>
      <c r="M207" s="3054">
        <v>2634</v>
      </c>
      <c r="N207" s="3054">
        <v>670.22</v>
      </c>
      <c r="O207" s="3054">
        <v>0</v>
      </c>
      <c r="P207" s="3054" t="s">
        <v>3128</v>
      </c>
      <c r="Q207" s="3054">
        <f>M207/(H207/666.67)</f>
        <v>89.337263271426707</v>
      </c>
      <c r="T207" s="3107"/>
      <c r="U207" s="3107"/>
      <c r="V207" s="3107"/>
      <c r="W207" s="3108"/>
      <c r="X207" s="3108"/>
      <c r="Y207" s="3108"/>
      <c r="Z207" s="3108"/>
      <c r="AA207" s="3108"/>
      <c r="AB207" s="3108"/>
      <c r="AC207" s="3108"/>
      <c r="AD207" s="3108"/>
      <c r="AE207" s="3108"/>
    </row>
    <row r="208" spans="1:31" hidden="1">
      <c r="A208" s="3054" t="s">
        <v>4168</v>
      </c>
      <c r="B208" s="3054" t="s">
        <v>3240</v>
      </c>
      <c r="C208" s="3054" t="s">
        <v>3283</v>
      </c>
      <c r="D208" s="3054" t="s">
        <v>3755</v>
      </c>
      <c r="E208" s="3054" t="s">
        <v>3114</v>
      </c>
      <c r="F208" s="3054" t="s">
        <v>4169</v>
      </c>
      <c r="G208" s="3054" t="s">
        <v>3244</v>
      </c>
      <c r="H208" s="3054">
        <v>27295.08</v>
      </c>
      <c r="I208" s="3054">
        <v>160000</v>
      </c>
      <c r="J208" s="3054">
        <v>5.8</v>
      </c>
      <c r="K208" s="3054" t="s">
        <v>4170</v>
      </c>
      <c r="L208" s="3054" t="s">
        <v>4171</v>
      </c>
      <c r="M208" s="3054">
        <v>434000</v>
      </c>
      <c r="N208" s="3054">
        <v>27125</v>
      </c>
      <c r="O208" s="3054">
        <v>0.46</v>
      </c>
      <c r="P208" s="3054" t="s">
        <v>3248</v>
      </c>
      <c r="R208" s="3054"/>
      <c r="T208" s="3054"/>
      <c r="U208" s="3054"/>
      <c r="V208" s="3054"/>
    </row>
    <row r="209" spans="1:22" hidden="1">
      <c r="A209" s="3054" t="s">
        <v>4172</v>
      </c>
      <c r="B209" s="3054" t="s">
        <v>3240</v>
      </c>
      <c r="C209" s="3054" t="s">
        <v>3241</v>
      </c>
      <c r="D209" s="3054" t="s">
        <v>4173</v>
      </c>
      <c r="E209" s="3054" t="s">
        <v>3114</v>
      </c>
      <c r="F209" s="3054" t="s">
        <v>4174</v>
      </c>
      <c r="G209" s="3054" t="s">
        <v>3244</v>
      </c>
      <c r="H209" s="3054">
        <v>35230.230000000003</v>
      </c>
      <c r="I209" s="3054">
        <v>88076</v>
      </c>
      <c r="J209" s="3054">
        <v>2.5</v>
      </c>
      <c r="K209" s="3054" t="s">
        <v>4175</v>
      </c>
      <c r="L209" s="3054" t="s">
        <v>4176</v>
      </c>
      <c r="M209" s="3054">
        <v>62000</v>
      </c>
      <c r="N209" s="3054">
        <v>7039.38</v>
      </c>
      <c r="O209" s="3054">
        <v>0</v>
      </c>
      <c r="P209" s="3054" t="s">
        <v>3248</v>
      </c>
      <c r="R209" s="3054"/>
      <c r="T209" s="3054"/>
      <c r="U209" s="3054"/>
      <c r="V209" s="3054"/>
    </row>
    <row r="210" spans="1:22" hidden="1">
      <c r="A210" s="3054" t="s">
        <v>4177</v>
      </c>
      <c r="B210" s="3054" t="s">
        <v>3240</v>
      </c>
      <c r="C210" s="3054" t="s">
        <v>3324</v>
      </c>
      <c r="D210" s="3054" t="s">
        <v>4178</v>
      </c>
      <c r="E210" s="3054" t="s">
        <v>3114</v>
      </c>
      <c r="F210" s="3054" t="s">
        <v>4179</v>
      </c>
      <c r="G210" s="3054" t="s">
        <v>3244</v>
      </c>
      <c r="H210" s="3054">
        <v>170200.2</v>
      </c>
      <c r="I210" s="3054">
        <v>255301</v>
      </c>
      <c r="J210" s="3054">
        <v>1.5</v>
      </c>
      <c r="K210" s="3054" t="s">
        <v>4180</v>
      </c>
      <c r="L210" s="3054" t="s">
        <v>4181</v>
      </c>
      <c r="M210" s="3054">
        <v>259500</v>
      </c>
      <c r="N210" s="3054">
        <v>10164.459999999999</v>
      </c>
      <c r="O210" s="3054">
        <v>1.76</v>
      </c>
      <c r="P210" s="3054" t="s">
        <v>3248</v>
      </c>
      <c r="R210" s="3054"/>
      <c r="T210" s="3054"/>
      <c r="U210" s="3054"/>
      <c r="V210" s="3054"/>
    </row>
    <row r="211" spans="1:22" hidden="1">
      <c r="A211" s="3054" t="s">
        <v>4182</v>
      </c>
      <c r="B211" s="3054" t="s">
        <v>3240</v>
      </c>
      <c r="C211" s="3054" t="s">
        <v>3329</v>
      </c>
      <c r="D211" s="3054" t="s">
        <v>4183</v>
      </c>
      <c r="E211" s="3054" t="s">
        <v>3114</v>
      </c>
      <c r="F211" s="3054" t="s">
        <v>4184</v>
      </c>
      <c r="G211" s="3054" t="s">
        <v>4185</v>
      </c>
      <c r="H211" s="3054">
        <v>120885</v>
      </c>
      <c r="I211" s="3054">
        <v>256512</v>
      </c>
      <c r="J211" s="3054" t="s">
        <v>4020</v>
      </c>
      <c r="K211" s="3054" t="s">
        <v>4180</v>
      </c>
      <c r="L211" s="3054" t="s">
        <v>4186</v>
      </c>
      <c r="M211" s="3054">
        <v>250000</v>
      </c>
      <c r="N211" s="3054">
        <v>9746.1200000000008</v>
      </c>
      <c r="O211" s="3054">
        <v>0</v>
      </c>
      <c r="P211" s="3054" t="s">
        <v>3248</v>
      </c>
      <c r="R211" s="3054"/>
      <c r="T211" s="3054"/>
      <c r="U211" s="3054"/>
      <c r="V211" s="3054"/>
    </row>
    <row r="212" spans="1:22" hidden="1">
      <c r="A212" s="3054" t="s">
        <v>4187</v>
      </c>
      <c r="B212" s="3054" t="s">
        <v>3112</v>
      </c>
      <c r="C212" s="3054" t="s">
        <v>3324</v>
      </c>
      <c r="D212" s="3054" t="s">
        <v>4188</v>
      </c>
      <c r="E212" s="3054" t="s">
        <v>3114</v>
      </c>
      <c r="F212" s="3054" t="s">
        <v>4189</v>
      </c>
      <c r="G212" s="3054" t="s">
        <v>4190</v>
      </c>
      <c r="H212" s="3054">
        <v>31386.9</v>
      </c>
      <c r="I212" s="3054">
        <v>25110</v>
      </c>
      <c r="J212" s="3054">
        <v>0.8</v>
      </c>
      <c r="K212" s="3054" t="s">
        <v>4191</v>
      </c>
      <c r="L212" s="3054" t="s">
        <v>4192</v>
      </c>
      <c r="M212" s="3054">
        <v>11547</v>
      </c>
      <c r="N212" s="3054">
        <v>4598.7700000000004</v>
      </c>
      <c r="O212" s="3054">
        <v>0</v>
      </c>
      <c r="P212" s="3054" t="s">
        <v>3128</v>
      </c>
      <c r="Q212" s="3054">
        <f>M212/(H212/666.67)</f>
        <v>245.26278447377726</v>
      </c>
      <c r="R212" s="3054"/>
      <c r="T212" s="3054"/>
      <c r="U212" s="3054"/>
      <c r="V212" s="3054"/>
    </row>
    <row r="213" spans="1:22" hidden="1">
      <c r="A213" s="3054" t="s">
        <v>4193</v>
      </c>
      <c r="B213" s="3054" t="s">
        <v>3224</v>
      </c>
      <c r="C213" s="3054" t="s">
        <v>3511</v>
      </c>
      <c r="D213" s="3054" t="s">
        <v>3641</v>
      </c>
      <c r="E213" s="3054" t="s">
        <v>3114</v>
      </c>
      <c r="F213" s="3054" t="s">
        <v>4194</v>
      </c>
      <c r="G213" s="3054" t="s">
        <v>3236</v>
      </c>
      <c r="H213" s="3054">
        <v>13867.74</v>
      </c>
      <c r="I213" s="3054">
        <v>38830</v>
      </c>
      <c r="J213" s="3054">
        <v>2.8</v>
      </c>
      <c r="K213" s="3054" t="s">
        <v>4195</v>
      </c>
      <c r="L213" s="3054" t="s">
        <v>4196</v>
      </c>
      <c r="M213" s="3054">
        <v>22000</v>
      </c>
      <c r="N213" s="3054">
        <v>5665.72</v>
      </c>
      <c r="O213" s="3054">
        <v>2.33</v>
      </c>
      <c r="P213" s="3054" t="s">
        <v>3308</v>
      </c>
      <c r="R213" s="3054"/>
      <c r="T213" s="3054"/>
      <c r="U213" s="3054"/>
      <c r="V213" s="3054"/>
    </row>
    <row r="214" spans="1:22" hidden="1">
      <c r="A214" s="3054" t="s">
        <v>4197</v>
      </c>
      <c r="B214" s="3054" t="s">
        <v>3233</v>
      </c>
      <c r="C214" s="3054" t="s">
        <v>3303</v>
      </c>
      <c r="D214" s="3054" t="s">
        <v>4198</v>
      </c>
      <c r="E214" s="3054" t="s">
        <v>3114</v>
      </c>
      <c r="F214" s="3054" t="s">
        <v>4199</v>
      </c>
      <c r="G214" s="3054" t="s">
        <v>3286</v>
      </c>
      <c r="H214" s="3054">
        <v>59511.18</v>
      </c>
      <c r="I214" s="3054">
        <v>89267</v>
      </c>
      <c r="J214" s="3054">
        <v>1.5</v>
      </c>
      <c r="K214" s="3054" t="s">
        <v>4195</v>
      </c>
      <c r="L214" s="3054" t="s">
        <v>4200</v>
      </c>
      <c r="M214" s="3054">
        <v>457500</v>
      </c>
      <c r="N214" s="3054">
        <v>51250.73</v>
      </c>
      <c r="O214" s="3054">
        <v>31.09</v>
      </c>
      <c r="P214" s="3054" t="s">
        <v>3308</v>
      </c>
      <c r="R214" s="3054"/>
      <c r="T214" s="3054"/>
      <c r="U214" s="3054"/>
      <c r="V214" s="3054"/>
    </row>
    <row r="215" spans="1:22" hidden="1">
      <c r="A215" s="3054" t="s">
        <v>4201</v>
      </c>
      <c r="B215" s="3054" t="s">
        <v>3233</v>
      </c>
      <c r="C215" s="3054" t="s">
        <v>3283</v>
      </c>
      <c r="D215" s="3054" t="s">
        <v>4202</v>
      </c>
      <c r="E215" s="3054" t="s">
        <v>3114</v>
      </c>
      <c r="F215" s="3054" t="s">
        <v>4203</v>
      </c>
      <c r="G215" s="3054" t="s">
        <v>3227</v>
      </c>
      <c r="H215" s="3054">
        <v>53213.75</v>
      </c>
      <c r="I215" s="3054">
        <v>100410</v>
      </c>
      <c r="J215" s="3054">
        <v>1.9</v>
      </c>
      <c r="K215" s="3054" t="s">
        <v>4204</v>
      </c>
      <c r="L215" s="3054" t="s">
        <v>4205</v>
      </c>
      <c r="M215" s="3054">
        <v>289000</v>
      </c>
      <c r="N215" s="3054">
        <v>28781.99</v>
      </c>
      <c r="O215" s="3054">
        <v>22.98</v>
      </c>
      <c r="P215" s="3054" t="s">
        <v>3308</v>
      </c>
      <c r="R215" s="3054"/>
      <c r="T215" s="3054"/>
      <c r="U215" s="3054"/>
      <c r="V215" s="3054"/>
    </row>
    <row r="216" spans="1:22" hidden="1">
      <c r="A216" s="3054" t="s">
        <v>4206</v>
      </c>
      <c r="B216" s="3054" t="s">
        <v>3233</v>
      </c>
      <c r="C216" s="3054" t="s">
        <v>3324</v>
      </c>
      <c r="D216" s="3054" t="s">
        <v>4207</v>
      </c>
      <c r="E216" s="3054" t="s">
        <v>3114</v>
      </c>
      <c r="F216" s="3054" t="s">
        <v>4208</v>
      </c>
      <c r="G216" s="3054" t="s">
        <v>3236</v>
      </c>
      <c r="H216" s="3054">
        <v>41170.230000000003</v>
      </c>
      <c r="I216" s="3054">
        <v>60109</v>
      </c>
      <c r="J216" s="3054">
        <v>1.46</v>
      </c>
      <c r="K216" s="3054" t="s">
        <v>4204</v>
      </c>
      <c r="L216" s="3054" t="s">
        <v>4205</v>
      </c>
      <c r="M216" s="3054">
        <v>121000</v>
      </c>
      <c r="N216" s="3054">
        <v>20130.09</v>
      </c>
      <c r="O216" s="3054">
        <v>37.5</v>
      </c>
      <c r="P216" s="3054" t="s">
        <v>3308</v>
      </c>
      <c r="R216" s="3054"/>
      <c r="T216" s="3054"/>
      <c r="U216" s="3054"/>
      <c r="V216" s="3054"/>
    </row>
    <row r="217" spans="1:22" hidden="1">
      <c r="A217" s="3054" t="s">
        <v>4209</v>
      </c>
      <c r="B217" s="3054" t="s">
        <v>3233</v>
      </c>
      <c r="C217" s="3054" t="s">
        <v>3324</v>
      </c>
      <c r="D217" s="3054" t="s">
        <v>4210</v>
      </c>
      <c r="E217" s="3054" t="s">
        <v>3114</v>
      </c>
      <c r="F217" s="3054" t="s">
        <v>4211</v>
      </c>
      <c r="G217" s="3054" t="s">
        <v>4212</v>
      </c>
      <c r="H217" s="3054">
        <v>45104.74</v>
      </c>
      <c r="I217" s="3054">
        <v>112093</v>
      </c>
      <c r="J217" s="3054">
        <v>2.5</v>
      </c>
      <c r="K217" s="3054" t="s">
        <v>4204</v>
      </c>
      <c r="L217" s="3054" t="s">
        <v>4213</v>
      </c>
      <c r="M217" s="3054">
        <v>193000</v>
      </c>
      <c r="N217" s="3054">
        <v>17217.84</v>
      </c>
      <c r="O217" s="3054">
        <v>48.46</v>
      </c>
      <c r="P217" s="3054" t="s">
        <v>3308</v>
      </c>
      <c r="R217" s="3054"/>
      <c r="T217" s="3054"/>
      <c r="U217" s="3054"/>
      <c r="V217" s="3054"/>
    </row>
    <row r="218" spans="1:22" hidden="1">
      <c r="A218" s="3054" t="s">
        <v>4214</v>
      </c>
      <c r="B218" s="3054" t="s">
        <v>3224</v>
      </c>
      <c r="C218" s="3054" t="s">
        <v>3435</v>
      </c>
      <c r="D218" s="3054" t="s">
        <v>3436</v>
      </c>
      <c r="E218" s="3054" t="s">
        <v>3114</v>
      </c>
      <c r="F218" s="3054" t="s">
        <v>4215</v>
      </c>
      <c r="G218" s="3054" t="s">
        <v>4216</v>
      </c>
      <c r="H218" s="3054">
        <v>32606.69</v>
      </c>
      <c r="I218" s="3054">
        <v>57599</v>
      </c>
      <c r="J218" s="3054" t="s">
        <v>4217</v>
      </c>
      <c r="K218" s="3054" t="s">
        <v>4218</v>
      </c>
      <c r="L218" s="3054" t="s">
        <v>3843</v>
      </c>
      <c r="M218" s="3054">
        <v>103000</v>
      </c>
      <c r="N218" s="3054">
        <v>17882.25</v>
      </c>
      <c r="O218" s="3054">
        <v>33.770000000000003</v>
      </c>
      <c r="P218" s="3054" t="s">
        <v>3308</v>
      </c>
      <c r="R218" s="3054"/>
      <c r="T218" s="3054"/>
      <c r="U218" s="3054"/>
      <c r="V218" s="3054"/>
    </row>
    <row r="219" spans="1:22" hidden="1">
      <c r="A219" s="3054" t="s">
        <v>4219</v>
      </c>
      <c r="B219" s="3054" t="s">
        <v>3233</v>
      </c>
      <c r="C219" s="3054" t="s">
        <v>3113</v>
      </c>
      <c r="D219" s="3054" t="s">
        <v>4118</v>
      </c>
      <c r="E219" s="3054" t="s">
        <v>3114</v>
      </c>
      <c r="F219" s="3054" t="s">
        <v>4220</v>
      </c>
      <c r="G219" s="3054" t="s">
        <v>3286</v>
      </c>
      <c r="H219" s="3054">
        <v>63029.62</v>
      </c>
      <c r="I219" s="3054">
        <v>126059</v>
      </c>
      <c r="J219" s="3054">
        <v>2</v>
      </c>
      <c r="K219" s="3054" t="s">
        <v>4218</v>
      </c>
      <c r="L219" s="3054" t="s">
        <v>4221</v>
      </c>
      <c r="M219" s="3054">
        <v>380000</v>
      </c>
      <c r="N219" s="3054">
        <v>30144.61</v>
      </c>
      <c r="O219" s="3054">
        <v>58.33</v>
      </c>
      <c r="P219" s="3054" t="s">
        <v>3308</v>
      </c>
      <c r="R219" s="3054"/>
      <c r="T219" s="3054"/>
      <c r="U219" s="3054"/>
      <c r="V219" s="3054"/>
    </row>
    <row r="220" spans="1:22" hidden="1">
      <c r="A220" s="3054" t="s">
        <v>4222</v>
      </c>
      <c r="B220" s="3054" t="s">
        <v>3233</v>
      </c>
      <c r="C220" s="3054" t="s">
        <v>3303</v>
      </c>
      <c r="D220" s="3054" t="s">
        <v>4223</v>
      </c>
      <c r="E220" s="3054" t="s">
        <v>3114</v>
      </c>
      <c r="F220" s="3054" t="s">
        <v>4224</v>
      </c>
      <c r="G220" s="3054" t="s">
        <v>3286</v>
      </c>
      <c r="H220" s="3054">
        <v>60374.36</v>
      </c>
      <c r="I220" s="3054">
        <v>102636</v>
      </c>
      <c r="J220" s="3054">
        <v>1.7</v>
      </c>
      <c r="K220" s="3054" t="s">
        <v>4218</v>
      </c>
      <c r="L220" s="3054" t="s">
        <v>4225</v>
      </c>
      <c r="M220" s="3054">
        <v>326000</v>
      </c>
      <c r="N220" s="3054">
        <v>31762.720000000001</v>
      </c>
      <c r="O220" s="3054">
        <v>55.24</v>
      </c>
      <c r="P220" s="3054" t="s">
        <v>3308</v>
      </c>
      <c r="R220" s="3054"/>
      <c r="T220" s="3054"/>
      <c r="U220" s="3054"/>
      <c r="V220" s="3054"/>
    </row>
    <row r="221" spans="1:22" hidden="1">
      <c r="A221" s="3054" t="s">
        <v>4226</v>
      </c>
      <c r="B221" s="3054" t="s">
        <v>3233</v>
      </c>
      <c r="C221" s="3054" t="s">
        <v>3366</v>
      </c>
      <c r="D221" s="3054" t="s">
        <v>4227</v>
      </c>
      <c r="E221" s="3054" t="s">
        <v>3114</v>
      </c>
      <c r="F221" s="3054" t="s">
        <v>4228</v>
      </c>
      <c r="G221" s="3054" t="s">
        <v>3236</v>
      </c>
      <c r="H221" s="3054">
        <v>27130.69</v>
      </c>
      <c r="I221" s="3054">
        <v>43409</v>
      </c>
      <c r="J221" s="3054">
        <v>1.6</v>
      </c>
      <c r="K221" s="3054" t="s">
        <v>4229</v>
      </c>
      <c r="L221" s="3054" t="s">
        <v>4230</v>
      </c>
      <c r="M221" s="3054">
        <v>123500</v>
      </c>
      <c r="N221" s="3054">
        <v>28450.31</v>
      </c>
      <c r="O221" s="3054">
        <v>45.29</v>
      </c>
      <c r="P221" s="3054" t="s">
        <v>3308</v>
      </c>
      <c r="R221" s="3054"/>
      <c r="T221" s="3054"/>
      <c r="U221" s="3054"/>
      <c r="V221" s="3054"/>
    </row>
    <row r="222" spans="1:22" hidden="1">
      <c r="A222" s="3054" t="s">
        <v>4231</v>
      </c>
      <c r="B222" s="3054" t="s">
        <v>3112</v>
      </c>
      <c r="C222" s="3054" t="s">
        <v>3324</v>
      </c>
      <c r="D222" s="3054" t="s">
        <v>4232</v>
      </c>
      <c r="E222" s="3054" t="s">
        <v>3114</v>
      </c>
      <c r="F222" s="3054" t="s">
        <v>4233</v>
      </c>
      <c r="G222" s="3054" t="s">
        <v>4190</v>
      </c>
      <c r="H222" s="3054">
        <v>45231.1</v>
      </c>
      <c r="I222" s="3054">
        <v>36185</v>
      </c>
      <c r="J222" s="3054">
        <v>0.8</v>
      </c>
      <c r="K222" s="3054" t="s">
        <v>4234</v>
      </c>
      <c r="L222" s="3054" t="s">
        <v>4235</v>
      </c>
      <c r="M222" s="3054">
        <v>13943</v>
      </c>
      <c r="N222" s="3054">
        <v>3853.32</v>
      </c>
      <c r="O222" s="3054">
        <v>0</v>
      </c>
      <c r="P222" s="3054" t="s">
        <v>3128</v>
      </c>
      <c r="Q222" s="3054">
        <f>M222/(H222/666.67)</f>
        <v>205.50859497115923</v>
      </c>
      <c r="R222" s="3054"/>
      <c r="T222" s="3054"/>
      <c r="U222" s="3054"/>
      <c r="V222" s="3054"/>
    </row>
    <row r="223" spans="1:22" hidden="1">
      <c r="A223" s="3054" t="s">
        <v>4236</v>
      </c>
      <c r="B223" s="3054" t="s">
        <v>3112</v>
      </c>
      <c r="C223" s="3054" t="s">
        <v>3324</v>
      </c>
      <c r="D223" s="3054" t="s">
        <v>4237</v>
      </c>
      <c r="E223" s="3054" t="s">
        <v>3114</v>
      </c>
      <c r="F223" s="3054" t="s">
        <v>4238</v>
      </c>
      <c r="G223" s="3054" t="s">
        <v>3904</v>
      </c>
      <c r="H223" s="3054">
        <v>401615.3</v>
      </c>
      <c r="I223" s="3054">
        <v>401615</v>
      </c>
      <c r="J223" s="3054">
        <v>1</v>
      </c>
      <c r="K223" s="3054" t="s">
        <v>4234</v>
      </c>
      <c r="L223" s="3054" t="s">
        <v>4239</v>
      </c>
      <c r="M223" s="3054">
        <v>109378</v>
      </c>
      <c r="N223" s="3054">
        <v>2723.46</v>
      </c>
      <c r="O223" s="3054">
        <v>0</v>
      </c>
      <c r="P223" s="3054" t="s">
        <v>3128</v>
      </c>
      <c r="R223" s="3054"/>
      <c r="T223" s="3054"/>
      <c r="U223" s="3054"/>
      <c r="V223" s="3054"/>
    </row>
    <row r="224" spans="1:22" hidden="1">
      <c r="A224" s="3054" t="s">
        <v>4240</v>
      </c>
      <c r="B224" s="3054" t="s">
        <v>3240</v>
      </c>
      <c r="C224" s="3054" t="s">
        <v>3303</v>
      </c>
      <c r="D224" s="3054" t="s">
        <v>4241</v>
      </c>
      <c r="E224" s="3054" t="s">
        <v>3114</v>
      </c>
      <c r="F224" s="3054" t="s">
        <v>4242</v>
      </c>
      <c r="G224" s="3054" t="s">
        <v>3401</v>
      </c>
      <c r="H224" s="3054">
        <v>39744.120000000003</v>
      </c>
      <c r="I224" s="3054">
        <v>119232</v>
      </c>
      <c r="J224" s="3054">
        <v>3</v>
      </c>
      <c r="K224" s="3054" t="s">
        <v>4243</v>
      </c>
      <c r="L224" s="3054" t="s">
        <v>4244</v>
      </c>
      <c r="M224" s="3054">
        <v>292000</v>
      </c>
      <c r="N224" s="3054">
        <v>24490.06</v>
      </c>
      <c r="O224" s="3054">
        <v>28.63</v>
      </c>
      <c r="P224" s="3054" t="s">
        <v>4245</v>
      </c>
      <c r="R224" s="3054"/>
      <c r="T224" s="3054"/>
      <c r="U224" s="3054"/>
      <c r="V224" s="3054"/>
    </row>
    <row r="225" spans="1:31" hidden="1">
      <c r="A225" s="3054" t="s">
        <v>4246</v>
      </c>
      <c r="B225" s="3054" t="s">
        <v>3459</v>
      </c>
      <c r="C225" s="3054" t="s">
        <v>3378</v>
      </c>
      <c r="D225" s="3054" t="s">
        <v>4247</v>
      </c>
      <c r="E225" s="3054" t="s">
        <v>3114</v>
      </c>
      <c r="F225" s="3054" t="s">
        <v>4248</v>
      </c>
      <c r="G225" s="3054" t="s">
        <v>4249</v>
      </c>
      <c r="H225" s="3054">
        <v>15278.31</v>
      </c>
      <c r="I225" s="3054">
        <v>18333</v>
      </c>
      <c r="J225" s="3054">
        <v>1.2</v>
      </c>
      <c r="K225" s="3054" t="s">
        <v>4243</v>
      </c>
      <c r="L225" s="3054" t="s">
        <v>4250</v>
      </c>
      <c r="M225" s="3054">
        <v>13000</v>
      </c>
      <c r="N225" s="3054">
        <v>7090.65</v>
      </c>
      <c r="O225" s="3054">
        <v>132.13999999999999</v>
      </c>
      <c r="P225" s="3054" t="s">
        <v>3875</v>
      </c>
      <c r="R225" s="3054"/>
      <c r="T225" s="3054"/>
      <c r="U225" s="3054"/>
      <c r="V225" s="3054"/>
    </row>
    <row r="226" spans="1:31" hidden="1">
      <c r="A226" s="3054" t="s">
        <v>4251</v>
      </c>
      <c r="B226" s="3054" t="s">
        <v>3224</v>
      </c>
      <c r="C226" s="3054" t="s">
        <v>3113</v>
      </c>
      <c r="D226" s="3054" t="s">
        <v>3261</v>
      </c>
      <c r="E226" s="3054" t="s">
        <v>3114</v>
      </c>
      <c r="F226" s="3054" t="s">
        <v>4252</v>
      </c>
      <c r="G226" s="3054" t="s">
        <v>3236</v>
      </c>
      <c r="H226" s="3054">
        <v>85956.89</v>
      </c>
      <c r="I226" s="3054">
        <v>182033</v>
      </c>
      <c r="J226" s="3054">
        <v>2.12</v>
      </c>
      <c r="K226" s="3054" t="s">
        <v>4253</v>
      </c>
      <c r="L226" s="3054" t="s">
        <v>4254</v>
      </c>
      <c r="M226" s="3054">
        <v>698000</v>
      </c>
      <c r="N226" s="3054">
        <v>38344.69</v>
      </c>
      <c r="O226" s="3054">
        <v>49.79</v>
      </c>
      <c r="P226" s="3054" t="s">
        <v>3231</v>
      </c>
      <c r="R226" s="3054"/>
      <c r="T226" s="3054"/>
      <c r="U226" s="3054"/>
      <c r="V226" s="3054"/>
    </row>
    <row r="227" spans="1:31" hidden="1">
      <c r="A227" s="3054" t="s">
        <v>4255</v>
      </c>
      <c r="B227" s="3054" t="s">
        <v>3224</v>
      </c>
      <c r="C227" s="3054" t="s">
        <v>3113</v>
      </c>
      <c r="D227" s="3054" t="s">
        <v>3261</v>
      </c>
      <c r="E227" s="3054" t="s">
        <v>3114</v>
      </c>
      <c r="F227" s="3054" t="s">
        <v>4256</v>
      </c>
      <c r="G227" s="3054" t="s">
        <v>3236</v>
      </c>
      <c r="H227" s="3054">
        <v>66379.53</v>
      </c>
      <c r="I227" s="3054">
        <v>146035</v>
      </c>
      <c r="J227" s="3054">
        <v>2.2000000000000002</v>
      </c>
      <c r="K227" s="3054" t="s">
        <v>4253</v>
      </c>
      <c r="L227" s="3054" t="s">
        <v>4254</v>
      </c>
      <c r="M227" s="3054">
        <v>574000</v>
      </c>
      <c r="N227" s="3054">
        <v>39305.65</v>
      </c>
      <c r="O227" s="3054">
        <v>49.87</v>
      </c>
      <c r="P227" s="3054" t="s">
        <v>3231</v>
      </c>
      <c r="R227" s="3054"/>
      <c r="T227" s="3054"/>
      <c r="U227" s="3054"/>
      <c r="V227" s="3054"/>
    </row>
    <row r="228" spans="1:31" hidden="1">
      <c r="A228" s="3054" t="s">
        <v>4257</v>
      </c>
      <c r="B228" s="3054" t="s">
        <v>3233</v>
      </c>
      <c r="C228" s="3054" t="s">
        <v>3378</v>
      </c>
      <c r="D228" s="3054" t="s">
        <v>4258</v>
      </c>
      <c r="E228" s="3054" t="s">
        <v>3292</v>
      </c>
      <c r="F228" s="3054" t="s">
        <v>4259</v>
      </c>
      <c r="G228" s="3054" t="s">
        <v>4260</v>
      </c>
      <c r="H228" s="3054">
        <v>52752.37</v>
      </c>
      <c r="I228" s="3054">
        <v>129006</v>
      </c>
      <c r="J228" s="3054">
        <v>2.4500000000000002</v>
      </c>
      <c r="K228" s="3054" t="s">
        <v>4261</v>
      </c>
      <c r="L228" s="3054" t="s">
        <v>4262</v>
      </c>
      <c r="M228" s="3054">
        <v>67278</v>
      </c>
      <c r="N228" s="3054">
        <v>5215.1000000000004</v>
      </c>
      <c r="O228" s="3054">
        <v>0</v>
      </c>
      <c r="P228" s="3054" t="s">
        <v>3308</v>
      </c>
      <c r="R228" s="3054"/>
      <c r="T228" s="3054"/>
      <c r="U228" s="3054"/>
      <c r="V228" s="3054"/>
    </row>
    <row r="229" spans="1:31" hidden="1">
      <c r="A229" s="3054" t="s">
        <v>4263</v>
      </c>
      <c r="B229" s="3054" t="s">
        <v>3240</v>
      </c>
      <c r="C229" s="3054" t="s">
        <v>3303</v>
      </c>
      <c r="D229" s="3054" t="s">
        <v>4264</v>
      </c>
      <c r="E229" s="3054" t="s">
        <v>3292</v>
      </c>
      <c r="F229" s="3054" t="s">
        <v>4265</v>
      </c>
      <c r="G229" s="3054" t="s">
        <v>3312</v>
      </c>
      <c r="H229" s="3054">
        <v>92055.95</v>
      </c>
      <c r="I229" s="3054">
        <v>92056</v>
      </c>
      <c r="J229" s="3054">
        <v>1</v>
      </c>
      <c r="K229" s="3054" t="s">
        <v>4266</v>
      </c>
      <c r="L229" s="3054" t="s">
        <v>4267</v>
      </c>
      <c r="M229" s="3054">
        <v>285373</v>
      </c>
      <c r="N229" s="3054">
        <v>31000</v>
      </c>
      <c r="O229" s="3054">
        <v>0</v>
      </c>
      <c r="P229" s="3054" t="s">
        <v>3312</v>
      </c>
      <c r="R229" s="3054"/>
      <c r="T229" s="3054"/>
      <c r="U229" s="3054"/>
      <c r="V229" s="3054"/>
    </row>
    <row r="230" spans="1:31" hidden="1">
      <c r="A230" s="3054" t="s">
        <v>4268</v>
      </c>
      <c r="B230" s="3054" t="s">
        <v>3459</v>
      </c>
      <c r="C230" s="3054" t="s">
        <v>3378</v>
      </c>
      <c r="D230" s="3054" t="s">
        <v>3724</v>
      </c>
      <c r="E230" s="3054" t="s">
        <v>3114</v>
      </c>
      <c r="F230" s="3054" t="s">
        <v>4269</v>
      </c>
      <c r="G230" s="3054" t="s">
        <v>4249</v>
      </c>
      <c r="H230" s="3054">
        <v>20213.150000000001</v>
      </c>
      <c r="I230" s="3054">
        <v>24255</v>
      </c>
      <c r="J230" s="3054">
        <v>1.2</v>
      </c>
      <c r="K230" s="3054" t="s">
        <v>4266</v>
      </c>
      <c r="L230" s="3054" t="s">
        <v>4250</v>
      </c>
      <c r="M230" s="3054">
        <v>20400</v>
      </c>
      <c r="N230" s="3054">
        <v>8410.3700000000008</v>
      </c>
      <c r="O230" s="3054">
        <v>179.45</v>
      </c>
      <c r="P230" s="3054" t="s">
        <v>3875</v>
      </c>
      <c r="R230" s="3054"/>
      <c r="T230" s="3054"/>
      <c r="U230" s="3054"/>
      <c r="V230" s="3054"/>
    </row>
    <row r="231" spans="1:31" hidden="1">
      <c r="A231" s="3054" t="s">
        <v>4270</v>
      </c>
      <c r="B231" s="3054" t="s">
        <v>3224</v>
      </c>
      <c r="C231" s="3054" t="s">
        <v>3283</v>
      </c>
      <c r="D231" s="3054" t="s">
        <v>4271</v>
      </c>
      <c r="E231" s="3054" t="s">
        <v>3114</v>
      </c>
      <c r="F231" s="3054" t="s">
        <v>4272</v>
      </c>
      <c r="G231" s="3054" t="s">
        <v>4273</v>
      </c>
      <c r="H231" s="3054">
        <v>230355.9</v>
      </c>
      <c r="I231" s="3054">
        <v>249999</v>
      </c>
      <c r="J231" s="3054">
        <v>1.0900000000000001</v>
      </c>
      <c r="K231" s="3054" t="s">
        <v>4266</v>
      </c>
      <c r="L231" s="3054" t="s">
        <v>4274</v>
      </c>
      <c r="M231" s="3054">
        <v>585000</v>
      </c>
      <c r="N231" s="3054">
        <v>23400.09</v>
      </c>
      <c r="O231" s="3054">
        <v>17</v>
      </c>
      <c r="P231" s="3054" t="s">
        <v>3231</v>
      </c>
      <c r="R231" s="3054"/>
      <c r="T231" s="3054"/>
      <c r="U231" s="3054"/>
      <c r="V231" s="3054"/>
    </row>
    <row r="232" spans="1:31" hidden="1">
      <c r="A232" s="3054" t="s">
        <v>4275</v>
      </c>
      <c r="B232" s="3054" t="s">
        <v>3240</v>
      </c>
      <c r="C232" s="3054" t="s">
        <v>3113</v>
      </c>
      <c r="D232" s="3054" t="s">
        <v>3250</v>
      </c>
      <c r="E232" s="3054" t="s">
        <v>3114</v>
      </c>
      <c r="F232" s="3054" t="s">
        <v>4276</v>
      </c>
      <c r="G232" s="3054" t="s">
        <v>3244</v>
      </c>
      <c r="H232" s="3054">
        <v>18303.330000000002</v>
      </c>
      <c r="I232" s="3054">
        <v>58571</v>
      </c>
      <c r="J232" s="3054">
        <v>3.2</v>
      </c>
      <c r="K232" s="3054" t="s">
        <v>4277</v>
      </c>
      <c r="L232" s="3054" t="s">
        <v>4278</v>
      </c>
      <c r="M232" s="3054">
        <v>129000</v>
      </c>
      <c r="N232" s="3054">
        <v>22024.54</v>
      </c>
      <c r="O232" s="3054">
        <v>62.06</v>
      </c>
      <c r="P232" s="3054" t="s">
        <v>3358</v>
      </c>
      <c r="R232" s="3054"/>
      <c r="T232" s="3054"/>
      <c r="U232" s="3054"/>
      <c r="V232" s="3054"/>
    </row>
    <row r="233" spans="1:31" hidden="1">
      <c r="A233" s="3054" t="s">
        <v>4279</v>
      </c>
      <c r="B233" s="3054" t="s">
        <v>3459</v>
      </c>
      <c r="C233" s="3054" t="s">
        <v>3378</v>
      </c>
      <c r="D233" s="3054" t="s">
        <v>3724</v>
      </c>
      <c r="E233" s="3054" t="s">
        <v>3114</v>
      </c>
      <c r="F233" s="3054" t="s">
        <v>4280</v>
      </c>
      <c r="G233" s="3054" t="s">
        <v>4249</v>
      </c>
      <c r="H233" s="3054">
        <v>36764.94</v>
      </c>
      <c r="I233" s="3054">
        <v>44117</v>
      </c>
      <c r="J233" s="3054">
        <v>1.2</v>
      </c>
      <c r="K233" s="3054" t="s">
        <v>4281</v>
      </c>
      <c r="L233" s="3054" t="s">
        <v>4250</v>
      </c>
      <c r="M233" s="3054">
        <v>49600</v>
      </c>
      <c r="N233" s="3054">
        <v>11242.59</v>
      </c>
      <c r="O233" s="3054">
        <v>272.93</v>
      </c>
      <c r="P233" s="3054" t="s">
        <v>3875</v>
      </c>
      <c r="R233" s="3054"/>
      <c r="T233" s="3054"/>
      <c r="U233" s="3054"/>
      <c r="V233" s="3054"/>
    </row>
    <row r="234" spans="1:31" hidden="1">
      <c r="A234" s="3054" t="s">
        <v>4282</v>
      </c>
      <c r="B234" s="3054" t="s">
        <v>3459</v>
      </c>
      <c r="C234" s="3054" t="s">
        <v>3378</v>
      </c>
      <c r="D234" s="3054" t="s">
        <v>3724</v>
      </c>
      <c r="E234" s="3054" t="s">
        <v>3114</v>
      </c>
      <c r="F234" s="3054" t="s">
        <v>4283</v>
      </c>
      <c r="G234" s="3054" t="s">
        <v>4249</v>
      </c>
      <c r="H234" s="3054">
        <v>48660.61</v>
      </c>
      <c r="I234" s="3054">
        <v>58392</v>
      </c>
      <c r="J234" s="3054">
        <v>1.2</v>
      </c>
      <c r="K234" s="3054" t="s">
        <v>4281</v>
      </c>
      <c r="L234" s="3054" t="s">
        <v>4250</v>
      </c>
      <c r="M234" s="3054">
        <v>66000</v>
      </c>
      <c r="N234" s="3054">
        <v>11302.77</v>
      </c>
      <c r="O234" s="3054">
        <v>275</v>
      </c>
      <c r="P234" s="3054" t="s">
        <v>3875</v>
      </c>
      <c r="R234" s="3054"/>
      <c r="T234" s="3054"/>
      <c r="U234" s="3054"/>
      <c r="V234" s="3054"/>
    </row>
    <row r="235" spans="1:31" hidden="1">
      <c r="A235" s="3054" t="s">
        <v>4284</v>
      </c>
      <c r="B235" s="3054" t="s">
        <v>3240</v>
      </c>
      <c r="C235" s="3054" t="s">
        <v>3113</v>
      </c>
      <c r="D235" s="3054" t="s">
        <v>4285</v>
      </c>
      <c r="E235" s="3054" t="s">
        <v>3114</v>
      </c>
      <c r="F235" s="3054" t="s">
        <v>4286</v>
      </c>
      <c r="G235" s="3054" t="s">
        <v>3244</v>
      </c>
      <c r="H235" s="3054">
        <v>29183.54</v>
      </c>
      <c r="I235" s="3054">
        <v>72959</v>
      </c>
      <c r="J235" s="3054">
        <v>2.5</v>
      </c>
      <c r="K235" s="3054" t="s">
        <v>4287</v>
      </c>
      <c r="L235" s="3054" t="s">
        <v>4288</v>
      </c>
      <c r="M235" s="3054">
        <v>106000</v>
      </c>
      <c r="N235" s="3054">
        <v>14528.7</v>
      </c>
      <c r="O235" s="3054">
        <v>27.71</v>
      </c>
      <c r="P235" s="3054" t="s">
        <v>3358</v>
      </c>
      <c r="R235" s="3054"/>
      <c r="T235" s="3054"/>
      <c r="U235" s="3054"/>
      <c r="V235" s="3054"/>
    </row>
    <row r="236" spans="1:31" hidden="1">
      <c r="A236" s="3054" t="s">
        <v>4289</v>
      </c>
      <c r="B236" s="3054" t="s">
        <v>3240</v>
      </c>
      <c r="C236" s="3054" t="s">
        <v>3303</v>
      </c>
      <c r="D236" s="3054" t="s">
        <v>4290</v>
      </c>
      <c r="E236" s="3054" t="s">
        <v>3114</v>
      </c>
      <c r="F236" s="3054" t="s">
        <v>4291</v>
      </c>
      <c r="G236" s="3054" t="s">
        <v>3244</v>
      </c>
      <c r="H236" s="3054">
        <v>46165.91</v>
      </c>
      <c r="I236" s="3054">
        <v>92332</v>
      </c>
      <c r="J236" s="3054">
        <v>2</v>
      </c>
      <c r="K236" s="3054" t="s">
        <v>4287</v>
      </c>
      <c r="L236" s="3054" t="s">
        <v>4292</v>
      </c>
      <c r="M236" s="3054">
        <v>225000</v>
      </c>
      <c r="N236" s="3054">
        <v>24368.58</v>
      </c>
      <c r="O236" s="3054">
        <v>27.84</v>
      </c>
      <c r="P236" s="3054" t="s">
        <v>3358</v>
      </c>
      <c r="R236" s="3054"/>
      <c r="T236" s="3054"/>
      <c r="U236" s="3054"/>
      <c r="V236" s="3054"/>
    </row>
    <row r="237" spans="1:31" hidden="1">
      <c r="A237" s="3054" t="s">
        <v>4293</v>
      </c>
      <c r="B237" s="3054" t="s">
        <v>3240</v>
      </c>
      <c r="C237" s="3054" t="s">
        <v>3303</v>
      </c>
      <c r="D237" s="3054" t="s">
        <v>4290</v>
      </c>
      <c r="E237" s="3054" t="s">
        <v>3114</v>
      </c>
      <c r="F237" s="3054" t="s">
        <v>4294</v>
      </c>
      <c r="G237" s="3054" t="s">
        <v>3244</v>
      </c>
      <c r="H237" s="3054">
        <v>38100</v>
      </c>
      <c r="I237" s="3054">
        <v>76200</v>
      </c>
      <c r="J237" s="3054">
        <v>2</v>
      </c>
      <c r="K237" s="3054" t="s">
        <v>4287</v>
      </c>
      <c r="L237" s="3054" t="s">
        <v>4295</v>
      </c>
      <c r="M237" s="3054">
        <v>204000</v>
      </c>
      <c r="N237" s="3054">
        <v>26771.65</v>
      </c>
      <c r="O237" s="3054">
        <v>40.69</v>
      </c>
      <c r="P237" s="3054" t="s">
        <v>3358</v>
      </c>
      <c r="R237" s="3054"/>
      <c r="T237" s="3054"/>
      <c r="U237" s="3054"/>
      <c r="V237" s="3054"/>
    </row>
    <row r="238" spans="1:31" hidden="1">
      <c r="A238" s="3054" t="s">
        <v>4296</v>
      </c>
      <c r="B238" s="3054" t="s">
        <v>3233</v>
      </c>
      <c r="C238" s="3054" t="s">
        <v>3241</v>
      </c>
      <c r="D238" s="3054" t="s">
        <v>4297</v>
      </c>
      <c r="E238" s="3054" t="s">
        <v>3114</v>
      </c>
      <c r="F238" s="3054" t="s">
        <v>4298</v>
      </c>
      <c r="G238" s="3054" t="s">
        <v>3236</v>
      </c>
      <c r="H238" s="3054">
        <v>32878.9</v>
      </c>
      <c r="I238" s="3054">
        <v>92061</v>
      </c>
      <c r="J238" s="3054">
        <v>2.8</v>
      </c>
      <c r="K238" s="3054" t="s">
        <v>4299</v>
      </c>
      <c r="L238" s="3054" t="s">
        <v>4011</v>
      </c>
      <c r="M238" s="3054">
        <v>158000</v>
      </c>
      <c r="N238" s="3054">
        <v>17162.52</v>
      </c>
      <c r="O238" s="3054">
        <v>39.82</v>
      </c>
      <c r="P238" s="3054" t="s">
        <v>3231</v>
      </c>
      <c r="R238" s="3054"/>
      <c r="T238" s="3054"/>
      <c r="U238" s="3054"/>
      <c r="V238" s="3054"/>
    </row>
    <row r="239" spans="1:31" hidden="1">
      <c r="A239" s="3054" t="s">
        <v>4300</v>
      </c>
      <c r="B239" s="3054" t="s">
        <v>3224</v>
      </c>
      <c r="C239" s="3054" t="s">
        <v>3511</v>
      </c>
      <c r="D239" s="3054" t="s">
        <v>3641</v>
      </c>
      <c r="E239" s="3054" t="s">
        <v>3114</v>
      </c>
      <c r="F239" s="3054" t="s">
        <v>4301</v>
      </c>
      <c r="G239" s="3054" t="s">
        <v>3227</v>
      </c>
      <c r="H239" s="3054">
        <v>60999.15</v>
      </c>
      <c r="I239" s="3054">
        <v>145149</v>
      </c>
      <c r="J239" s="3054">
        <v>2.38</v>
      </c>
      <c r="K239" s="3054" t="s">
        <v>4299</v>
      </c>
      <c r="L239" s="3054" t="s">
        <v>4302</v>
      </c>
      <c r="M239" s="3054">
        <v>176000</v>
      </c>
      <c r="N239" s="3054">
        <v>12125.46</v>
      </c>
      <c r="O239" s="3054">
        <v>35.380000000000003</v>
      </c>
      <c r="P239" s="3054" t="s">
        <v>3231</v>
      </c>
      <c r="R239" s="3054"/>
      <c r="T239" s="3054"/>
      <c r="U239" s="3054"/>
      <c r="V239" s="3054"/>
    </row>
    <row r="240" spans="1:31">
      <c r="A240" s="3054" t="s">
        <v>4303</v>
      </c>
      <c r="B240" s="3054" t="s">
        <v>3112</v>
      </c>
      <c r="C240" s="3054" t="s">
        <v>3113</v>
      </c>
      <c r="D240" s="3054" t="s">
        <v>4303</v>
      </c>
      <c r="E240" s="3054" t="s">
        <v>3114</v>
      </c>
      <c r="F240" s="3054" t="s">
        <v>4304</v>
      </c>
      <c r="G240" s="3054" t="s">
        <v>3112</v>
      </c>
      <c r="H240" s="3054">
        <v>72743.12</v>
      </c>
      <c r="I240" s="3054">
        <v>109114</v>
      </c>
      <c r="J240" s="3054" t="s">
        <v>4305</v>
      </c>
      <c r="K240" s="3054" t="s">
        <v>4306</v>
      </c>
      <c r="L240" s="3054" t="s">
        <v>4307</v>
      </c>
      <c r="M240" s="3054">
        <v>11784</v>
      </c>
      <c r="N240" s="3054">
        <v>1080</v>
      </c>
      <c r="O240" s="3054">
        <v>0</v>
      </c>
      <c r="P240" s="3054" t="s">
        <v>3128</v>
      </c>
      <c r="Q240" s="3054">
        <f>M240/(H240/666.67)</f>
        <v>107.99700755205441</v>
      </c>
      <c r="T240" s="3107"/>
      <c r="U240" s="3107"/>
      <c r="V240" s="3107"/>
      <c r="W240" s="3108"/>
      <c r="X240" s="3108"/>
      <c r="Y240" s="3108"/>
      <c r="Z240" s="3108"/>
      <c r="AA240" s="3108"/>
      <c r="AB240" s="3108"/>
      <c r="AC240" s="3108"/>
      <c r="AD240" s="3108"/>
      <c r="AE240" s="3108"/>
    </row>
    <row r="241" spans="1:31" hidden="1">
      <c r="A241" s="3054" t="s">
        <v>4308</v>
      </c>
      <c r="B241" s="3054" t="s">
        <v>3112</v>
      </c>
      <c r="C241" s="3054" t="s">
        <v>3329</v>
      </c>
      <c r="D241" s="3054" t="s">
        <v>4309</v>
      </c>
      <c r="E241" s="3054" t="s">
        <v>3114</v>
      </c>
      <c r="F241" s="3054" t="s">
        <v>4310</v>
      </c>
      <c r="G241" s="3054" t="s">
        <v>3585</v>
      </c>
      <c r="H241" s="3054">
        <v>55333.599999999999</v>
      </c>
      <c r="I241" s="3054">
        <v>66400</v>
      </c>
      <c r="J241" s="3054" t="s">
        <v>4311</v>
      </c>
      <c r="K241" s="3054" t="s">
        <v>4306</v>
      </c>
      <c r="L241" s="3054" t="s">
        <v>4312</v>
      </c>
      <c r="M241" s="3054">
        <v>9634</v>
      </c>
      <c r="N241" s="3054">
        <v>1450.9</v>
      </c>
      <c r="O241" s="3054">
        <v>0</v>
      </c>
      <c r="P241" s="3054" t="s">
        <v>3128</v>
      </c>
      <c r="R241" s="3054"/>
      <c r="T241" s="3054"/>
      <c r="U241" s="3054"/>
      <c r="V241" s="3054"/>
    </row>
    <row r="242" spans="1:31">
      <c r="A242" s="3054" t="s">
        <v>4313</v>
      </c>
      <c r="B242" s="3054" t="s">
        <v>3112</v>
      </c>
      <c r="C242" s="3054" t="s">
        <v>3113</v>
      </c>
      <c r="D242" s="3054" t="s">
        <v>4313</v>
      </c>
      <c r="E242" s="3054" t="s">
        <v>3114</v>
      </c>
      <c r="F242" s="3054" t="s">
        <v>4314</v>
      </c>
      <c r="G242" s="3054" t="s">
        <v>3112</v>
      </c>
      <c r="H242" s="3054">
        <v>20000.599999999999</v>
      </c>
      <c r="I242" s="3054">
        <v>30000</v>
      </c>
      <c r="J242" s="3054" t="s">
        <v>3306</v>
      </c>
      <c r="K242" s="3054" t="s">
        <v>4306</v>
      </c>
      <c r="L242" s="3054" t="s">
        <v>4315</v>
      </c>
      <c r="M242" s="3054">
        <v>3240</v>
      </c>
      <c r="N242" s="3054">
        <v>1080</v>
      </c>
      <c r="O242" s="3054">
        <v>0</v>
      </c>
      <c r="P242" s="3054" t="s">
        <v>3128</v>
      </c>
      <c r="Q242" s="3054">
        <f>M242/(H242/666.67)</f>
        <v>107.99730008099758</v>
      </c>
      <c r="T242" s="3107"/>
      <c r="U242" s="3107"/>
      <c r="V242" s="3107"/>
      <c r="W242" s="3108"/>
      <c r="X242" s="3108"/>
      <c r="Y242" s="3108"/>
      <c r="Z242" s="3108"/>
      <c r="AA242" s="3108"/>
      <c r="AB242" s="3108"/>
      <c r="AC242" s="3108"/>
      <c r="AD242" s="3116" t="s">
        <v>4412</v>
      </c>
      <c r="AE242" s="3058"/>
    </row>
    <row r="243" spans="1:31" hidden="1">
      <c r="A243" s="3054" t="s">
        <v>4316</v>
      </c>
      <c r="B243" s="3054" t="s">
        <v>3224</v>
      </c>
      <c r="C243" s="3054" t="s">
        <v>3329</v>
      </c>
      <c r="D243" s="3054" t="s">
        <v>3932</v>
      </c>
      <c r="E243" s="3054" t="s">
        <v>3114</v>
      </c>
      <c r="F243" s="3054" t="s">
        <v>4317</v>
      </c>
      <c r="G243" s="3054" t="s">
        <v>4318</v>
      </c>
      <c r="H243" s="3054">
        <v>53579</v>
      </c>
      <c r="I243" s="3054">
        <v>101510</v>
      </c>
      <c r="J243" s="3054">
        <v>1.89</v>
      </c>
      <c r="K243" s="3054" t="s">
        <v>4319</v>
      </c>
      <c r="L243" s="3054" t="s">
        <v>4320</v>
      </c>
      <c r="M243" s="3054">
        <v>181000</v>
      </c>
      <c r="N243" s="3054">
        <v>17830.75</v>
      </c>
      <c r="O243" s="3054">
        <v>9.0399999999999991</v>
      </c>
      <c r="P243" s="3054" t="s">
        <v>3231</v>
      </c>
      <c r="R243" s="3054"/>
      <c r="T243" s="3054"/>
      <c r="U243" s="3054"/>
      <c r="V243" s="3054"/>
    </row>
    <row r="244" spans="1:31" hidden="1">
      <c r="A244" s="3054" t="s">
        <v>4321</v>
      </c>
      <c r="B244" s="3054" t="s">
        <v>3224</v>
      </c>
      <c r="C244" s="3054" t="s">
        <v>3329</v>
      </c>
      <c r="D244" s="3054" t="s">
        <v>3932</v>
      </c>
      <c r="E244" s="3054" t="s">
        <v>3114</v>
      </c>
      <c r="F244" s="3054" t="s">
        <v>4322</v>
      </c>
      <c r="G244" s="3054" t="s">
        <v>4323</v>
      </c>
      <c r="H244" s="3054">
        <v>75691</v>
      </c>
      <c r="I244" s="3054">
        <v>133361</v>
      </c>
      <c r="J244" s="3054">
        <v>1.76</v>
      </c>
      <c r="K244" s="3054" t="s">
        <v>4319</v>
      </c>
      <c r="L244" s="3054" t="s">
        <v>4324</v>
      </c>
      <c r="M244" s="3054">
        <v>232500</v>
      </c>
      <c r="N244" s="3054">
        <v>17433.88</v>
      </c>
      <c r="O244" s="3054">
        <v>10.71</v>
      </c>
      <c r="P244" s="3054" t="s">
        <v>3231</v>
      </c>
      <c r="R244" s="3054"/>
      <c r="T244" s="3054"/>
      <c r="U244" s="3054"/>
      <c r="V244" s="3054"/>
    </row>
    <row r="245" spans="1:31" hidden="1">
      <c r="A245" s="3054" t="s">
        <v>4325</v>
      </c>
      <c r="B245" s="3054" t="s">
        <v>3224</v>
      </c>
      <c r="C245" s="3054" t="s">
        <v>3329</v>
      </c>
      <c r="D245" s="3054" t="s">
        <v>3983</v>
      </c>
      <c r="E245" s="3054" t="s">
        <v>3114</v>
      </c>
      <c r="F245" s="3054" t="s">
        <v>4326</v>
      </c>
      <c r="G245" s="3054" t="s">
        <v>3286</v>
      </c>
      <c r="H245" s="3054">
        <v>15224</v>
      </c>
      <c r="I245" s="3054">
        <v>42627</v>
      </c>
      <c r="J245" s="3054">
        <v>2.8</v>
      </c>
      <c r="K245" s="3054" t="s">
        <v>4327</v>
      </c>
      <c r="L245" s="3054" t="s">
        <v>4328</v>
      </c>
      <c r="M245" s="3054">
        <v>39000</v>
      </c>
      <c r="N245" s="3054">
        <v>9149.1200000000008</v>
      </c>
      <c r="O245" s="3054">
        <v>30</v>
      </c>
      <c r="P245" s="3054" t="s">
        <v>3231</v>
      </c>
      <c r="R245" s="3054"/>
      <c r="T245" s="3054"/>
      <c r="U245" s="3054"/>
      <c r="V245" s="3054"/>
    </row>
    <row r="246" spans="1:31" hidden="1">
      <c r="A246" s="3054" t="s">
        <v>4329</v>
      </c>
      <c r="B246" s="3054" t="s">
        <v>3224</v>
      </c>
      <c r="C246" s="3054" t="s">
        <v>3378</v>
      </c>
      <c r="D246" s="3054" t="s">
        <v>4330</v>
      </c>
      <c r="E246" s="3054" t="s">
        <v>3114</v>
      </c>
      <c r="F246" s="3054" t="s">
        <v>4331</v>
      </c>
      <c r="G246" s="3054" t="s">
        <v>3236</v>
      </c>
      <c r="H246" s="3054">
        <v>151600</v>
      </c>
      <c r="I246" s="3054">
        <v>153116</v>
      </c>
      <c r="J246" s="3054">
        <v>1.01</v>
      </c>
      <c r="K246" s="3054" t="s">
        <v>4327</v>
      </c>
      <c r="L246" s="3054" t="s">
        <v>4332</v>
      </c>
      <c r="M246" s="3054">
        <v>172800</v>
      </c>
      <c r="N246" s="3054">
        <v>11285.55</v>
      </c>
      <c r="O246" s="3054">
        <v>20</v>
      </c>
      <c r="P246" s="3054" t="s">
        <v>3231</v>
      </c>
      <c r="R246" s="3054"/>
      <c r="T246" s="3054"/>
      <c r="U246" s="3054"/>
      <c r="V246" s="3054"/>
    </row>
    <row r="247" spans="1:31" hidden="1">
      <c r="A247" s="3054" t="s">
        <v>4333</v>
      </c>
      <c r="B247" s="3054" t="s">
        <v>3459</v>
      </c>
      <c r="C247" s="3054" t="s">
        <v>4093</v>
      </c>
      <c r="D247" s="3054" t="s">
        <v>4334</v>
      </c>
      <c r="E247" s="3054" t="s">
        <v>3292</v>
      </c>
      <c r="F247" s="3054" t="s">
        <v>4335</v>
      </c>
      <c r="G247" s="3054" t="s">
        <v>4336</v>
      </c>
      <c r="H247" s="3054">
        <v>27033.5</v>
      </c>
      <c r="I247" s="3054">
        <v>51730</v>
      </c>
      <c r="J247" s="3054">
        <v>1.91</v>
      </c>
      <c r="K247" s="3054" t="s">
        <v>4337</v>
      </c>
      <c r="L247" s="3054" t="s">
        <v>4338</v>
      </c>
      <c r="M247" s="3054" t="s">
        <v>1298</v>
      </c>
      <c r="N247" s="3054">
        <v>0</v>
      </c>
      <c r="O247" s="3054">
        <v>0</v>
      </c>
      <c r="P247" s="3054" t="s">
        <v>4020</v>
      </c>
      <c r="R247" s="3054"/>
      <c r="T247" s="3054"/>
      <c r="U247" s="3054"/>
      <c r="V247" s="3054"/>
    </row>
    <row r="248" spans="1:31" hidden="1">
      <c r="A248" s="3054" t="s">
        <v>4339</v>
      </c>
      <c r="B248" s="3054" t="s">
        <v>3224</v>
      </c>
      <c r="C248" s="3054" t="s">
        <v>3435</v>
      </c>
      <c r="D248" s="3054" t="s">
        <v>4340</v>
      </c>
      <c r="E248" s="3054" t="s">
        <v>3114</v>
      </c>
      <c r="F248" s="3054" t="s">
        <v>4341</v>
      </c>
      <c r="G248" s="3054" t="s">
        <v>4342</v>
      </c>
      <c r="H248" s="3054">
        <v>180851</v>
      </c>
      <c r="I248" s="3054">
        <v>238650</v>
      </c>
      <c r="J248" s="3054">
        <v>1.32</v>
      </c>
      <c r="K248" s="3054" t="s">
        <v>4343</v>
      </c>
      <c r="L248" s="3054" t="s">
        <v>4344</v>
      </c>
      <c r="M248" s="3054">
        <v>633000</v>
      </c>
      <c r="N248" s="3054">
        <v>26524.2</v>
      </c>
      <c r="O248" s="3054">
        <v>11.05</v>
      </c>
      <c r="P248" s="3054" t="s">
        <v>3231</v>
      </c>
      <c r="R248" s="3054"/>
      <c r="T248" s="3054"/>
      <c r="U248" s="3054"/>
      <c r="V248" s="3054"/>
    </row>
    <row r="249" spans="1:31" hidden="1">
      <c r="A249" s="3054" t="s">
        <v>4345</v>
      </c>
      <c r="B249" s="3054" t="s">
        <v>3233</v>
      </c>
      <c r="C249" s="3054" t="s">
        <v>3511</v>
      </c>
      <c r="D249" s="3054" t="s">
        <v>4346</v>
      </c>
      <c r="E249" s="3054" t="s">
        <v>3292</v>
      </c>
      <c r="F249" s="3054" t="s">
        <v>4347</v>
      </c>
      <c r="G249" s="3054" t="s">
        <v>3236</v>
      </c>
      <c r="H249" s="3054">
        <v>101000</v>
      </c>
      <c r="I249" s="3054">
        <v>241400</v>
      </c>
      <c r="J249" s="3054">
        <v>2.4</v>
      </c>
      <c r="K249" s="3054" t="s">
        <v>4348</v>
      </c>
      <c r="L249" s="3054" t="s">
        <v>4349</v>
      </c>
      <c r="M249" s="3054" t="s">
        <v>1298</v>
      </c>
      <c r="N249" s="3054">
        <v>0</v>
      </c>
      <c r="O249" s="3054">
        <v>0</v>
      </c>
      <c r="P249" s="3054" t="s">
        <v>4350</v>
      </c>
      <c r="R249" s="3054"/>
      <c r="T249" s="3054"/>
      <c r="U249" s="3054"/>
      <c r="V249" s="3054"/>
    </row>
    <row r="250" spans="1:31">
      <c r="T250" s="3107"/>
      <c r="U250" s="3107"/>
      <c r="V250" s="3107"/>
      <c r="W250" s="3108"/>
      <c r="X250" s="3108">
        <f>'土地比较法-工业'!E11</f>
        <v>1.7</v>
      </c>
      <c r="Y250" s="3108"/>
      <c r="Z250" s="3108">
        <f>'土地比较法-工业'!G11</f>
        <v>2</v>
      </c>
      <c r="AA250" s="3108"/>
      <c r="AB250" s="3108">
        <v>1.5</v>
      </c>
      <c r="AC250" s="3108"/>
      <c r="AD250" s="3058">
        <v>1.5</v>
      </c>
      <c r="AE250" s="3058"/>
    </row>
    <row r="251" spans="1:31">
      <c r="T251" s="3107"/>
      <c r="U251" s="3107"/>
      <c r="V251" s="3109"/>
      <c r="W251" s="3108"/>
      <c r="X251" s="3108">
        <f>'容积率修正 (2)'!H325</f>
        <v>0.86180000000000001</v>
      </c>
      <c r="Y251" s="3109" t="s">
        <v>4407</v>
      </c>
      <c r="Z251" s="3108">
        <f>'容积率修正 (2)'!H328</f>
        <v>0.80530000000000002</v>
      </c>
      <c r="AA251" s="3109" t="s">
        <v>4407</v>
      </c>
      <c r="AB251" s="3108">
        <f>'容积率修正 (2)'!H323</f>
        <v>0.90559999999999996</v>
      </c>
      <c r="AC251" s="3109" t="s">
        <v>4407</v>
      </c>
      <c r="AD251" s="3058">
        <f>AB251</f>
        <v>0.90559999999999996</v>
      </c>
      <c r="AE251" s="3058"/>
    </row>
    <row r="252" spans="1:31">
      <c r="T252" s="3107"/>
      <c r="U252" s="3107"/>
      <c r="V252" s="3107"/>
      <c r="W252" s="3108"/>
      <c r="X252" s="3108"/>
      <c r="Y252" s="3108"/>
      <c r="Z252" s="3108"/>
      <c r="AA252" s="3108"/>
      <c r="AB252" s="3108"/>
      <c r="AC252" s="3108"/>
      <c r="AD252" s="3058"/>
      <c r="AE252" s="3058"/>
    </row>
    <row r="253" spans="1:31">
      <c r="T253" s="3107"/>
      <c r="U253" s="3107"/>
      <c r="V253" s="3107"/>
      <c r="W253" s="3108"/>
      <c r="X253" s="3108"/>
      <c r="Y253" s="3108">
        <f>土地案例!AK2</f>
        <v>726</v>
      </c>
      <c r="Z253" s="3108"/>
      <c r="AA253" s="3108">
        <f>Y253</f>
        <v>726</v>
      </c>
      <c r="AB253" s="3108"/>
      <c r="AC253" s="3108">
        <f>Y253</f>
        <v>726</v>
      </c>
      <c r="AD253" s="3058"/>
      <c r="AE253" s="3058">
        <v>1080</v>
      </c>
    </row>
    <row r="254" spans="1:31">
      <c r="T254" s="3107"/>
      <c r="U254" s="3107"/>
      <c r="V254" s="3110" t="s">
        <v>4351</v>
      </c>
      <c r="W254" s="3108">
        <f>年期修正系数!G9</f>
        <v>1.52</v>
      </c>
      <c r="X254" s="3108"/>
      <c r="Y254" s="3108"/>
      <c r="Z254" s="3108"/>
      <c r="AA254" s="3108"/>
      <c r="AB254" s="3108"/>
      <c r="AC254" s="3108"/>
      <c r="AD254" s="3058"/>
      <c r="AE254" s="3058"/>
    </row>
    <row r="255" spans="1:31">
      <c r="T255" s="3107"/>
      <c r="U255" s="3107"/>
      <c r="V255" s="3110" t="s">
        <v>4352</v>
      </c>
      <c r="W255" s="3108">
        <v>1</v>
      </c>
      <c r="X255" s="3108"/>
      <c r="Y255" s="3108"/>
      <c r="Z255" s="3108"/>
      <c r="AA255" s="3108"/>
      <c r="AB255" s="3108"/>
      <c r="AC255" s="3108"/>
      <c r="AD255" s="3058"/>
      <c r="AE255" s="3058"/>
    </row>
    <row r="256" spans="1:31">
      <c r="T256" s="3110" t="s">
        <v>4353</v>
      </c>
      <c r="U256" s="3107">
        <f>'数据-汇总表'!I7</f>
        <v>0.56000000000000005</v>
      </c>
      <c r="V256" s="3107"/>
      <c r="W256" s="3108">
        <f>基准地价修正!C21</f>
        <v>2.0011999999999999</v>
      </c>
      <c r="X256" s="3108">
        <f>ROUND(W256/$X$251,4)</f>
        <v>2.3220999999999998</v>
      </c>
      <c r="Y256" s="3108">
        <f>ROUND($Y$253*$W$254*$W$255,0)</f>
        <v>1104</v>
      </c>
      <c r="Z256" s="3108">
        <f>ROUND(W256/$Z$251,4)</f>
        <v>2.4849999999999999</v>
      </c>
      <c r="AA256" s="3108">
        <f>ROUND($AA$253*$W$254*$W$255,0)</f>
        <v>1104</v>
      </c>
      <c r="AB256" s="3108">
        <f>ROUND(W256/$AB$251,4)</f>
        <v>2.2098</v>
      </c>
      <c r="AC256" s="3108">
        <f>ROUND($AC$253*$W$254*$W$255,0)</f>
        <v>1104</v>
      </c>
      <c r="AD256" s="3058">
        <f>ROUND(W256/$AD$251,4)</f>
        <v>2.2098</v>
      </c>
      <c r="AE256" s="3058">
        <f>ROUND($AE$253*$W$254*$W$255,0)</f>
        <v>1642</v>
      </c>
    </row>
    <row r="257" spans="20:31">
      <c r="T257" s="3107"/>
      <c r="U257" s="3107"/>
      <c r="V257" s="3107"/>
      <c r="W257" s="3108"/>
      <c r="X257" s="3108"/>
      <c r="Y257" s="3108"/>
      <c r="Z257" s="3108"/>
      <c r="AA257" s="3108"/>
      <c r="AB257" s="3108"/>
      <c r="AC257" s="3108"/>
      <c r="AD257" s="3058"/>
      <c r="AE257" s="3058">
        <f>AE256*AD256</f>
        <v>3628.4915999999998</v>
      </c>
    </row>
    <row r="258" spans="20:31">
      <c r="T258" s="3107"/>
      <c r="U258" s="3107"/>
      <c r="V258" s="3107"/>
      <c r="W258" s="3108"/>
      <c r="X258" s="3108"/>
      <c r="Y258" s="3109" t="s">
        <v>4408</v>
      </c>
      <c r="Z258" s="3108"/>
      <c r="AA258" s="3109" t="s">
        <v>4408</v>
      </c>
      <c r="AB258" s="3108"/>
      <c r="AC258" s="3109" t="s">
        <v>4408</v>
      </c>
      <c r="AD258" s="3058"/>
      <c r="AE258" s="3058"/>
    </row>
    <row r="259" spans="20:31">
      <c r="T259" s="3107"/>
      <c r="U259" s="3107"/>
      <c r="V259" s="3107"/>
      <c r="W259" s="3108"/>
      <c r="X259" s="3108"/>
      <c r="Y259" s="3108">
        <f>ROUND(Y256*X250,0)</f>
        <v>1877</v>
      </c>
      <c r="Z259" s="3108"/>
      <c r="AA259" s="3108">
        <f>ROUND(AA256*Z250,0)</f>
        <v>2208</v>
      </c>
      <c r="AB259" s="3108"/>
      <c r="AC259" s="3108">
        <f>ROUND(AC256*AB250,0)</f>
        <v>1656</v>
      </c>
      <c r="AD259" s="3058"/>
      <c r="AE259" s="3058"/>
    </row>
  </sheetData>
  <autoFilter ref="A1:P249">
    <filterColumn colId="1">
      <filters>
        <filter val="工业用地"/>
      </filters>
    </filterColumn>
    <filterColumn colId="2">
      <filters>
        <filter val="大兴区"/>
      </filters>
    </filterColumn>
  </autoFilter>
  <phoneticPr fontId="140" type="noConversion"/>
  <pageMargins left="0.75" right="0.75" top="1" bottom="1" header="0.5" footer="0.5"/>
  <pageSetup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5" zoomScale="85" zoomScaleNormal="60" zoomScaleSheetLayoutView="85" workbookViewId="0">
      <selection activeCell="N59" sqref="N59"/>
    </sheetView>
  </sheetViews>
  <sheetFormatPr defaultColWidth="9" defaultRowHeight="13.8"/>
  <cols>
    <col min="1" max="1" width="14.33203125" style="367" customWidth="1"/>
    <col min="2" max="2" width="15.77734375" style="367" customWidth="1"/>
    <col min="3" max="3" width="17.88671875" style="367" customWidth="1"/>
    <col min="4" max="4" width="12.21875" style="367" customWidth="1"/>
    <col min="5" max="5" width="14.33203125" style="367" customWidth="1"/>
    <col min="6" max="6" width="12.21875" style="367" customWidth="1"/>
    <col min="7" max="7" width="14.44140625" style="367" customWidth="1"/>
    <col min="8" max="8" width="12.21875" style="367" customWidth="1"/>
    <col min="9" max="9" width="14.44140625" style="367" customWidth="1"/>
    <col min="10" max="10" width="12.21875" style="367" customWidth="1"/>
    <col min="11" max="11" width="12.21875" style="456" customWidth="1"/>
    <col min="12" max="12" width="12.21875" style="457" customWidth="1"/>
    <col min="13" max="15" width="12.21875" style="367" customWidth="1"/>
    <col min="16" max="16" width="4.77734375" style="367" customWidth="1"/>
    <col min="17" max="17" width="19.44140625" style="367" customWidth="1"/>
    <col min="18" max="22" width="6.109375" style="367" customWidth="1"/>
    <col min="23" max="23" width="5.77734375" style="367" customWidth="1"/>
    <col min="24" max="24" width="4.21875" style="367" customWidth="1"/>
    <col min="25" max="25" width="3.44140625" style="367" customWidth="1"/>
    <col min="26" max="26" width="19.77734375" style="367" customWidth="1"/>
    <col min="27" max="28" width="9.33203125" style="367" customWidth="1"/>
    <col min="29" max="16384" width="9" style="367"/>
  </cols>
  <sheetData>
    <row r="1" spans="1:29" s="362" customFormat="1" ht="28.5" customHeight="1">
      <c r="A1" s="358" t="s">
        <v>2574</v>
      </c>
      <c r="B1" s="359"/>
      <c r="C1" s="360" t="s">
        <v>2626</v>
      </c>
      <c r="D1" s="699"/>
      <c r="E1" s="699"/>
      <c r="F1" s="698" t="s">
        <v>2473</v>
      </c>
      <c r="G1" s="699"/>
      <c r="H1" s="699"/>
      <c r="I1" s="699"/>
      <c r="J1" s="699"/>
      <c r="K1" s="700"/>
      <c r="L1" s="701"/>
      <c r="M1" s="702"/>
      <c r="N1" s="702"/>
      <c r="O1" s="702"/>
      <c r="P1" s="712"/>
      <c r="Q1" s="712"/>
      <c r="R1" s="712"/>
      <c r="S1" s="712"/>
      <c r="T1" s="712"/>
      <c r="U1" s="712"/>
      <c r="V1" s="712"/>
      <c r="W1" s="712"/>
      <c r="X1" s="712"/>
      <c r="Y1" s="712"/>
      <c r="Z1" s="712"/>
      <c r="AA1" s="712"/>
      <c r="AB1" s="712"/>
      <c r="AC1" s="713"/>
    </row>
    <row r="2" spans="1:29" s="362" customFormat="1" ht="28.5" customHeight="1">
      <c r="A2" s="211" t="s">
        <v>2157</v>
      </c>
      <c r="B2" s="631">
        <f>F61</f>
        <v>2541</v>
      </c>
      <c r="C2" s="1043"/>
      <c r="D2" s="1043"/>
      <c r="E2" s="1043"/>
      <c r="F2" s="1044"/>
      <c r="G2" s="1043"/>
      <c r="H2" s="1043"/>
      <c r="I2" s="1043"/>
      <c r="J2" s="1043"/>
      <c r="K2" s="1045"/>
      <c r="L2" s="2966"/>
      <c r="M2" s="2967"/>
      <c r="N2" s="2967"/>
      <c r="O2" s="2967"/>
      <c r="P2" s="712"/>
      <c r="Q2" s="712"/>
      <c r="R2" s="712"/>
      <c r="S2" s="712"/>
      <c r="T2" s="712"/>
      <c r="U2" s="712"/>
      <c r="V2" s="712"/>
      <c r="W2" s="712"/>
      <c r="X2" s="712"/>
      <c r="Y2" s="712"/>
      <c r="Z2" s="712"/>
      <c r="AA2" s="712"/>
      <c r="AB2" s="712"/>
      <c r="AC2" s="713"/>
    </row>
    <row r="3" spans="1:29" s="362" customFormat="1" ht="28.5" customHeight="1" thickBot="1">
      <c r="A3" s="213" t="s">
        <v>2159</v>
      </c>
      <c r="B3" s="570">
        <f>ROUND(IF(D3="",B2*10000/'数据-汇总表'!E3,B2*10000/D3),0)</f>
        <v>2941</v>
      </c>
      <c r="C3" s="213" t="s">
        <v>2576</v>
      </c>
      <c r="D3" s="1359"/>
      <c r="E3" s="1043"/>
      <c r="F3" s="1044"/>
      <c r="G3" s="1043"/>
      <c r="H3" s="1043"/>
      <c r="I3" s="1043"/>
      <c r="J3" s="1043"/>
      <c r="K3" s="1045"/>
      <c r="L3" s="2966"/>
      <c r="M3" s="2967"/>
      <c r="N3" s="2967"/>
      <c r="O3" s="2967"/>
      <c r="P3" s="712"/>
      <c r="Q3" s="712"/>
      <c r="R3" s="712"/>
      <c r="S3" s="712"/>
      <c r="T3" s="712"/>
      <c r="U3" s="712"/>
      <c r="V3" s="712"/>
      <c r="W3" s="712"/>
      <c r="X3" s="712"/>
      <c r="Y3" s="712"/>
      <c r="Z3" s="712"/>
      <c r="AA3" s="712"/>
      <c r="AB3" s="729"/>
      <c r="AC3" s="726"/>
    </row>
    <row r="4" spans="1:29" ht="14.4">
      <c r="A4" s="365" t="s">
        <v>2475</v>
      </c>
      <c r="B4" s="366"/>
      <c r="C4" s="3380" t="s">
        <v>2476</v>
      </c>
      <c r="D4" s="3381"/>
      <c r="E4" s="3382" t="s">
        <v>2477</v>
      </c>
      <c r="F4" s="3383"/>
      <c r="G4" s="3380" t="s">
        <v>2478</v>
      </c>
      <c r="H4" s="3381"/>
      <c r="I4" s="3380" t="s">
        <v>2479</v>
      </c>
      <c r="J4" s="3381"/>
      <c r="K4" s="571" t="s">
        <v>2480</v>
      </c>
      <c r="L4" s="2947"/>
      <c r="M4" s="2948"/>
      <c r="N4" s="2948"/>
      <c r="O4" s="2948"/>
      <c r="P4" s="3384" t="s">
        <v>2481</v>
      </c>
      <c r="Q4" s="3385"/>
      <c r="R4" s="3367" t="s">
        <v>2477</v>
      </c>
      <c r="S4" s="3368"/>
      <c r="T4" s="3367" t="s">
        <v>2478</v>
      </c>
      <c r="U4" s="3368"/>
      <c r="V4" s="3392" t="s">
        <v>2479</v>
      </c>
      <c r="W4" s="3392"/>
      <c r="X4" s="1545"/>
      <c r="Y4" s="3367" t="s">
        <v>2481</v>
      </c>
      <c r="Z4" s="3368"/>
      <c r="AA4" s="3362" t="s">
        <v>2477</v>
      </c>
      <c r="AB4" s="3363" t="s">
        <v>2478</v>
      </c>
      <c r="AC4" s="3362" t="s">
        <v>2479</v>
      </c>
    </row>
    <row r="5" spans="1:29" ht="30.75" customHeight="1">
      <c r="A5" s="368"/>
      <c r="B5" s="369"/>
      <c r="C5" s="3373" t="s">
        <v>2372</v>
      </c>
      <c r="D5" s="3374"/>
      <c r="E5" s="3371" t="str">
        <f>土地案例!A2</f>
        <v>北京经济技术开发区路东区E7M1地块工业项目</v>
      </c>
      <c r="F5" s="3372"/>
      <c r="G5" s="3373" t="str">
        <f>土地案例!A3</f>
        <v>北京经济技术开发区河西区X61M4地块工业项目</v>
      </c>
      <c r="H5" s="3374"/>
      <c r="I5" s="3373" t="str">
        <f>土地案例!A4</f>
        <v>北京经济技术开发区河西区X62M4地块工业项目</v>
      </c>
      <c r="J5" s="3374"/>
      <c r="K5" s="571"/>
      <c r="L5" s="2947"/>
      <c r="M5" s="2948"/>
      <c r="N5" s="2948"/>
      <c r="O5" s="2948"/>
      <c r="P5" s="3386"/>
      <c r="Q5" s="3387"/>
      <c r="R5" s="3369"/>
      <c r="S5" s="3370"/>
      <c r="T5" s="3369"/>
      <c r="U5" s="3370"/>
      <c r="V5" s="3392"/>
      <c r="W5" s="3392"/>
      <c r="X5" s="1545"/>
      <c r="Y5" s="3369"/>
      <c r="Z5" s="3370"/>
      <c r="AA5" s="3363"/>
      <c r="AB5" s="3363"/>
      <c r="AC5" s="3363"/>
    </row>
    <row r="6" spans="1:29" ht="15" thickBot="1">
      <c r="A6" s="370"/>
      <c r="B6" s="371"/>
      <c r="C6" s="3451" t="s">
        <v>2627</v>
      </c>
      <c r="D6" s="3452"/>
      <c r="E6" s="3453" t="s">
        <v>2627</v>
      </c>
      <c r="F6" s="3454"/>
      <c r="G6" s="3451" t="s">
        <v>2627</v>
      </c>
      <c r="H6" s="3452"/>
      <c r="I6" s="3451" t="s">
        <v>2627</v>
      </c>
      <c r="J6" s="3452"/>
      <c r="K6" s="571" t="s">
        <v>2377</v>
      </c>
      <c r="L6" s="2947"/>
      <c r="M6" s="2948"/>
      <c r="N6" s="2948"/>
      <c r="O6" s="2948"/>
      <c r="P6" s="3388"/>
      <c r="Q6" s="3389"/>
      <c r="R6" s="3369"/>
      <c r="S6" s="3370"/>
      <c r="T6" s="3390"/>
      <c r="U6" s="3391"/>
      <c r="V6" s="3392"/>
      <c r="W6" s="3392"/>
      <c r="X6" s="1545"/>
      <c r="Y6" s="3390"/>
      <c r="Z6" s="3391"/>
      <c r="AA6" s="3364"/>
      <c r="AB6" s="3364"/>
      <c r="AC6" s="3364"/>
    </row>
    <row r="7" spans="1:29" s="117" customFormat="1" ht="15" thickBot="1">
      <c r="A7" s="372" t="s">
        <v>2378</v>
      </c>
      <c r="B7" s="373"/>
      <c r="C7" s="374">
        <f>'数据-取费表'!B2</f>
        <v>44063</v>
      </c>
      <c r="D7" s="375">
        <v>100</v>
      </c>
      <c r="E7" s="376" t="str">
        <f>土地案例!AA2</f>
        <v>2020-03-26</v>
      </c>
      <c r="F7" s="377">
        <f>SUMIF(65:65,YEAR(E7)&amp;"-"&amp;INT((MONTH(E7)+2)/3),66:66)</f>
        <v>99</v>
      </c>
      <c r="G7" s="2166" t="str">
        <f>土地案例!AA3</f>
        <v>2019-12-25</v>
      </c>
      <c r="H7" s="375">
        <f>SUMIF(65:65,YEAR(G7)&amp;"-"&amp;INT((MONTH(G7)+2)/3),66:66)</f>
        <v>98.5</v>
      </c>
      <c r="I7" s="2166" t="str">
        <f>土地案例!AA4</f>
        <v>2019-04-10</v>
      </c>
      <c r="J7" s="375">
        <f>SUMIF(65:65,YEAR(I7)&amp;"-"&amp;INT((MONTH(I7)+2)/3),66:66)</f>
        <v>97.5</v>
      </c>
      <c r="K7" s="572"/>
      <c r="L7" s="2949"/>
      <c r="M7" s="2950"/>
      <c r="N7" s="2950"/>
      <c r="O7" s="2950"/>
      <c r="P7" s="3365" t="s">
        <v>2379</v>
      </c>
      <c r="Q7" s="3393"/>
      <c r="R7" s="714" t="s">
        <v>17</v>
      </c>
      <c r="S7" s="715">
        <f t="shared" ref="S7:S15" si="0">F7</f>
        <v>99</v>
      </c>
      <c r="T7" s="714" t="s">
        <v>17</v>
      </c>
      <c r="U7" s="715">
        <f t="shared" ref="U7:U15" si="1">H7</f>
        <v>98.5</v>
      </c>
      <c r="V7" s="714" t="s">
        <v>17</v>
      </c>
      <c r="W7" s="715">
        <f t="shared" ref="W7:W15" si="2">J7</f>
        <v>97.5</v>
      </c>
      <c r="X7" s="716"/>
      <c r="Y7" s="3365" t="s">
        <v>2379</v>
      </c>
      <c r="Z7" s="3366"/>
      <c r="AA7" s="717">
        <f>D7/F7</f>
        <v>1.0101010101010102</v>
      </c>
      <c r="AB7" s="717">
        <f>D7/H7</f>
        <v>1.015228426395939</v>
      </c>
      <c r="AC7" s="717">
        <f>D7/J7</f>
        <v>1.0256410256410255</v>
      </c>
    </row>
    <row r="8" spans="1:29" s="117" customFormat="1" ht="15" thickBot="1">
      <c r="A8" s="372" t="s">
        <v>2380</v>
      </c>
      <c r="B8" s="373"/>
      <c r="C8" s="378" t="s">
        <v>2381</v>
      </c>
      <c r="D8" s="375">
        <v>100</v>
      </c>
      <c r="E8" s="378" t="s">
        <v>2381</v>
      </c>
      <c r="F8" s="377">
        <f>SUMIF(68:68,E8,69:69)-SUMIF(68:68,C8,69:69)+100</f>
        <v>100</v>
      </c>
      <c r="G8" s="378" t="s">
        <v>2381</v>
      </c>
      <c r="H8" s="375">
        <f>SUMIF(68:68,G8,69:69)-SUMIF(68:68,C8,69:69)+100</f>
        <v>100</v>
      </c>
      <c r="I8" s="378" t="s">
        <v>2381</v>
      </c>
      <c r="J8" s="375">
        <f>SUMIF(68:68,I8,69:69)-SUMIF(68:68,C8,69:69)+100</f>
        <v>100</v>
      </c>
      <c r="K8" s="572"/>
      <c r="L8" s="2949"/>
      <c r="M8" s="2950"/>
      <c r="N8" s="2950"/>
      <c r="O8" s="2950"/>
      <c r="P8" s="3365" t="s">
        <v>2382</v>
      </c>
      <c r="Q8" s="3366"/>
      <c r="R8" s="714" t="s">
        <v>17</v>
      </c>
      <c r="S8" s="715">
        <f t="shared" si="0"/>
        <v>100</v>
      </c>
      <c r="T8" s="714" t="s">
        <v>17</v>
      </c>
      <c r="U8" s="715">
        <f t="shared" si="1"/>
        <v>100</v>
      </c>
      <c r="V8" s="714" t="s">
        <v>17</v>
      </c>
      <c r="W8" s="715">
        <f t="shared" si="2"/>
        <v>100</v>
      </c>
      <c r="X8" s="716"/>
      <c r="Y8" s="3365" t="s">
        <v>2382</v>
      </c>
      <c r="Z8" s="3366"/>
      <c r="AA8" s="717">
        <f t="shared" ref="AA8:AA40" si="3">D8/F8</f>
        <v>1</v>
      </c>
      <c r="AB8" s="717">
        <f t="shared" ref="AB8:AB40" si="4">D8/H8</f>
        <v>1</v>
      </c>
      <c r="AC8" s="717">
        <f t="shared" ref="AC8:AC40" si="5">D8/J8</f>
        <v>1</v>
      </c>
    </row>
    <row r="9" spans="1:29" s="117" customFormat="1" ht="14.4">
      <c r="A9" s="379" t="s">
        <v>2383</v>
      </c>
      <c r="B9" s="71" t="s">
        <v>2384</v>
      </c>
      <c r="C9" s="2169" t="s">
        <v>6</v>
      </c>
      <c r="D9" s="135">
        <v>100</v>
      </c>
      <c r="E9" s="2169" t="s">
        <v>6</v>
      </c>
      <c r="F9" s="135">
        <f>SUMIF(70:70,E9,71:71)-SUMIF(70:70,C9,71:71)+100</f>
        <v>100</v>
      </c>
      <c r="G9" s="2169" t="s">
        <v>6</v>
      </c>
      <c r="H9" s="135">
        <f>SUMIF(70:70,G9,71:71)-SUMIF(70:70,C9,71:71)+100</f>
        <v>100</v>
      </c>
      <c r="I9" s="2169" t="s">
        <v>6</v>
      </c>
      <c r="J9" s="135">
        <f>SUMIF(70:70,I9,71:71)-SUMIF(70:70,C9,71:71)+100</f>
        <v>100</v>
      </c>
      <c r="K9" s="572"/>
      <c r="L9" s="2949"/>
      <c r="M9" s="2950"/>
      <c r="N9" s="2950"/>
      <c r="O9" s="3004"/>
      <c r="P9" s="3397" t="s">
        <v>2385</v>
      </c>
      <c r="Q9" s="1533" t="str">
        <f t="shared" ref="Q9:Q15" si="6">B9</f>
        <v>用途</v>
      </c>
      <c r="R9" s="714" t="s">
        <v>17</v>
      </c>
      <c r="S9" s="715">
        <f t="shared" si="0"/>
        <v>100</v>
      </c>
      <c r="T9" s="714" t="s">
        <v>17</v>
      </c>
      <c r="U9" s="715">
        <f t="shared" si="1"/>
        <v>100</v>
      </c>
      <c r="V9" s="714" t="s">
        <v>17</v>
      </c>
      <c r="W9" s="715">
        <f t="shared" si="2"/>
        <v>100</v>
      </c>
      <c r="X9" s="716"/>
      <c r="Y9" s="3282" t="s">
        <v>2386</v>
      </c>
      <c r="Z9" s="55" t="str">
        <f t="shared" ref="Z9:Z15" si="7">Q9</f>
        <v>用途</v>
      </c>
      <c r="AA9" s="717">
        <f t="shared" si="3"/>
        <v>1</v>
      </c>
      <c r="AB9" s="717">
        <f t="shared" si="4"/>
        <v>1</v>
      </c>
      <c r="AC9" s="717">
        <f t="shared" si="5"/>
        <v>1</v>
      </c>
    </row>
    <row r="10" spans="1:29" s="390" customFormat="1" ht="28.8">
      <c r="A10" s="384"/>
      <c r="B10" s="385" t="s">
        <v>2387</v>
      </c>
      <c r="C10" s="395"/>
      <c r="D10" s="136">
        <v>100</v>
      </c>
      <c r="E10" s="395"/>
      <c r="F10" s="136">
        <f>ROUND(100/'数据-取费表'!G16,0)</f>
        <v>120</v>
      </c>
      <c r="G10" s="395"/>
      <c r="H10" s="136">
        <f>ROUND(100/'数据-取费表'!G16,0)</f>
        <v>120</v>
      </c>
      <c r="I10" s="395"/>
      <c r="J10" s="136">
        <f>ROUND(100/'数据-取费表'!G16,0)</f>
        <v>120</v>
      </c>
      <c r="K10" s="632"/>
      <c r="L10" s="2951"/>
      <c r="M10" s="2952"/>
      <c r="N10" s="2952"/>
      <c r="O10" s="3005"/>
      <c r="P10" s="3397"/>
      <c r="Q10" s="1533" t="str">
        <f t="shared" si="6"/>
        <v>土地使用年限（年）</v>
      </c>
      <c r="R10" s="714" t="s">
        <v>17</v>
      </c>
      <c r="S10" s="715">
        <f t="shared" si="0"/>
        <v>120</v>
      </c>
      <c r="T10" s="714" t="s">
        <v>17</v>
      </c>
      <c r="U10" s="715">
        <f t="shared" si="1"/>
        <v>120</v>
      </c>
      <c r="V10" s="714" t="s">
        <v>17</v>
      </c>
      <c r="W10" s="715">
        <f t="shared" si="2"/>
        <v>120</v>
      </c>
      <c r="X10" s="716"/>
      <c r="Y10" s="3282"/>
      <c r="Z10" s="55" t="str">
        <f t="shared" si="7"/>
        <v>土地使用年限（年）</v>
      </c>
      <c r="AA10" s="717">
        <f t="shared" si="3"/>
        <v>0.83333333333333337</v>
      </c>
      <c r="AB10" s="717">
        <f t="shared" si="4"/>
        <v>0.83333333333333337</v>
      </c>
      <c r="AC10" s="717">
        <f t="shared" si="5"/>
        <v>0.83333333333333337</v>
      </c>
    </row>
    <row r="11" spans="1:29" ht="15">
      <c r="A11" s="391"/>
      <c r="B11" s="385" t="s">
        <v>2388</v>
      </c>
      <c r="C11" s="392">
        <f>'数据-汇总表'!I7</f>
        <v>0.56000000000000005</v>
      </c>
      <c r="D11" s="136">
        <v>100</v>
      </c>
      <c r="E11" s="392">
        <v>1.7</v>
      </c>
      <c r="F11" s="136">
        <f>LOOKUP(E11,75:75,76:76)-LOOKUP(C11,75:75,76:76)+100</f>
        <v>102</v>
      </c>
      <c r="G11" s="393">
        <v>2</v>
      </c>
      <c r="H11" s="136">
        <f>LOOKUP(G11,75:75,76:76)-LOOKUP(C11,75:75,76:76)+100</f>
        <v>104</v>
      </c>
      <c r="I11" s="392">
        <v>1.5</v>
      </c>
      <c r="J11" s="136">
        <f>LOOKUP(I11,75:75,76:76)-LOOKUP(C11,75:75,76:76)+100</f>
        <v>102</v>
      </c>
      <c r="K11" s="633">
        <v>2</v>
      </c>
      <c r="L11" s="2953"/>
      <c r="M11" s="2948"/>
      <c r="N11" s="2948"/>
      <c r="O11" s="3006"/>
      <c r="P11" s="3397"/>
      <c r="Q11" s="1533" t="str">
        <f t="shared" si="6"/>
        <v>容积率</v>
      </c>
      <c r="R11" s="714" t="s">
        <v>17</v>
      </c>
      <c r="S11" s="715">
        <f t="shared" si="0"/>
        <v>102</v>
      </c>
      <c r="T11" s="714" t="s">
        <v>17</v>
      </c>
      <c r="U11" s="715">
        <f t="shared" si="1"/>
        <v>104</v>
      </c>
      <c r="V11" s="714" t="s">
        <v>17</v>
      </c>
      <c r="W11" s="715">
        <f t="shared" si="2"/>
        <v>102</v>
      </c>
      <c r="X11" s="716"/>
      <c r="Y11" s="3282"/>
      <c r="Z11" s="55" t="str">
        <f t="shared" si="7"/>
        <v>容积率</v>
      </c>
      <c r="AA11" s="717">
        <f t="shared" si="3"/>
        <v>0.98039215686274506</v>
      </c>
      <c r="AB11" s="717">
        <f t="shared" si="4"/>
        <v>0.96153846153846156</v>
      </c>
      <c r="AC11" s="717">
        <f t="shared" si="5"/>
        <v>0.98039215686274506</v>
      </c>
    </row>
    <row r="12" spans="1:29" s="117" customFormat="1" ht="15">
      <c r="A12" s="394"/>
      <c r="B12" s="2085">
        <v>111</v>
      </c>
      <c r="C12" s="395"/>
      <c r="D12" s="396">
        <v>100</v>
      </c>
      <c r="E12" s="510"/>
      <c r="F12" s="136">
        <f>SUMIF(77:77,E12,78:78)-SUMIF(77:77,C12,78:78)+100</f>
        <v>100</v>
      </c>
      <c r="G12" s="634"/>
      <c r="H12" s="136">
        <f>SUMIF(77:77,G12,78:78)-SUMIF(77:77,C12,78:78)+100</f>
        <v>100</v>
      </c>
      <c r="I12" s="510"/>
      <c r="J12" s="136">
        <f>SUMIF(77:77,I12,78:78)-SUMIF(77:77,C12,78:78)+100</f>
        <v>100</v>
      </c>
      <c r="K12" s="632"/>
      <c r="L12" s="2949"/>
      <c r="M12" s="2950"/>
      <c r="N12" s="2950"/>
      <c r="O12" s="3004"/>
      <c r="P12" s="3397"/>
      <c r="Q12" s="1533">
        <f t="shared" si="6"/>
        <v>111</v>
      </c>
      <c r="R12" s="714" t="s">
        <v>17</v>
      </c>
      <c r="S12" s="715">
        <f t="shared" si="0"/>
        <v>100</v>
      </c>
      <c r="T12" s="714" t="s">
        <v>17</v>
      </c>
      <c r="U12" s="715">
        <f t="shared" si="1"/>
        <v>100</v>
      </c>
      <c r="V12" s="714" t="s">
        <v>17</v>
      </c>
      <c r="W12" s="715">
        <f t="shared" si="2"/>
        <v>100</v>
      </c>
      <c r="X12" s="716"/>
      <c r="Y12" s="3282"/>
      <c r="Z12" s="55">
        <f t="shared" si="7"/>
        <v>111</v>
      </c>
      <c r="AA12" s="717">
        <f>D12/F12</f>
        <v>1</v>
      </c>
      <c r="AB12" s="717">
        <f>D12/H12</f>
        <v>1</v>
      </c>
      <c r="AC12" s="717">
        <f>D12/J12</f>
        <v>1</v>
      </c>
    </row>
    <row r="13" spans="1:29" ht="15">
      <c r="A13" s="391"/>
      <c r="B13" s="2085">
        <v>111</v>
      </c>
      <c r="C13" s="397"/>
      <c r="D13" s="398">
        <v>100</v>
      </c>
      <c r="E13" s="510"/>
      <c r="F13" s="136">
        <f>SUMIF(79:79,E13,80:80)-SUMIF(79:79,C13,80:80)+100</f>
        <v>100</v>
      </c>
      <c r="G13" s="634"/>
      <c r="H13" s="398">
        <f>SUMIF(79:79,G13,80:80)-SUMIF(79:79,C13,80:80)+100</f>
        <v>100</v>
      </c>
      <c r="I13" s="510"/>
      <c r="J13" s="398">
        <f>SUMIF(79:79,I13,80:80)-SUMIF(79:79,C13,80:80)+100</f>
        <v>100</v>
      </c>
      <c r="K13" s="632"/>
      <c r="L13" s="2954"/>
      <c r="M13" s="2948"/>
      <c r="N13" s="2948"/>
      <c r="O13" s="3006"/>
      <c r="P13" s="3397"/>
      <c r="Q13" s="1533">
        <f t="shared" si="6"/>
        <v>111</v>
      </c>
      <c r="R13" s="714" t="s">
        <v>17</v>
      </c>
      <c r="S13" s="715">
        <f t="shared" si="0"/>
        <v>100</v>
      </c>
      <c r="T13" s="714" t="s">
        <v>17</v>
      </c>
      <c r="U13" s="715">
        <f t="shared" si="1"/>
        <v>100</v>
      </c>
      <c r="V13" s="714" t="s">
        <v>17</v>
      </c>
      <c r="W13" s="715">
        <f t="shared" si="2"/>
        <v>100</v>
      </c>
      <c r="X13" s="716"/>
      <c r="Y13" s="3282"/>
      <c r="Z13" s="55">
        <f t="shared" si="7"/>
        <v>111</v>
      </c>
      <c r="AA13" s="717">
        <f t="shared" si="3"/>
        <v>1</v>
      </c>
      <c r="AB13" s="717">
        <f t="shared" si="4"/>
        <v>1</v>
      </c>
      <c r="AC13" s="717">
        <f t="shared" si="5"/>
        <v>1</v>
      </c>
    </row>
    <row r="14" spans="1:29" ht="15.6" thickBot="1">
      <c r="A14" s="399"/>
      <c r="B14" s="2087">
        <v>111</v>
      </c>
      <c r="C14" s="400"/>
      <c r="D14" s="401">
        <v>100</v>
      </c>
      <c r="E14" s="510"/>
      <c r="F14" s="401">
        <f>SUMIF(81:81,E14,82:82)-SUMIF(81:81,C14,82:82)+100</f>
        <v>100</v>
      </c>
      <c r="G14" s="634"/>
      <c r="H14" s="401">
        <f>SUMIF(81:81,G14,82:82)-SUMIF(81:81,C14,82:82)+100</f>
        <v>100</v>
      </c>
      <c r="I14" s="510"/>
      <c r="J14" s="401">
        <f>SUMIF(81:81,I14,82:82)-SUMIF(81:81,C14,82:82)+100</f>
        <v>100</v>
      </c>
      <c r="K14" s="632"/>
      <c r="L14" s="2954"/>
      <c r="M14" s="2948"/>
      <c r="N14" s="2948"/>
      <c r="O14" s="3006"/>
      <c r="P14" s="3397"/>
      <c r="Q14" s="1533">
        <f t="shared" si="6"/>
        <v>111</v>
      </c>
      <c r="R14" s="714" t="s">
        <v>17</v>
      </c>
      <c r="S14" s="715">
        <f t="shared" si="0"/>
        <v>100</v>
      </c>
      <c r="T14" s="714" t="s">
        <v>17</v>
      </c>
      <c r="U14" s="715">
        <f t="shared" si="1"/>
        <v>100</v>
      </c>
      <c r="V14" s="714" t="s">
        <v>17</v>
      </c>
      <c r="W14" s="715">
        <f t="shared" si="2"/>
        <v>100</v>
      </c>
      <c r="X14" s="716"/>
      <c r="Y14" s="3282"/>
      <c r="Z14" s="55">
        <f t="shared" si="7"/>
        <v>111</v>
      </c>
      <c r="AA14" s="717">
        <f t="shared" si="3"/>
        <v>1</v>
      </c>
      <c r="AB14" s="717">
        <f t="shared" si="4"/>
        <v>1</v>
      </c>
      <c r="AC14" s="717">
        <f t="shared" si="5"/>
        <v>1</v>
      </c>
    </row>
    <row r="15" spans="1:29" ht="55.2">
      <c r="A15" s="403" t="s">
        <v>2389</v>
      </c>
      <c r="B15" s="589" t="s">
        <v>2628</v>
      </c>
      <c r="C15" s="2163" t="str">
        <f>估价对象房地状况!G15</f>
        <v>估价对象位于北京经济技术开发区，园区建设成熟，产业集聚程度较好</v>
      </c>
      <c r="D15" s="404">
        <v>100</v>
      </c>
      <c r="E15" s="405"/>
      <c r="F15" s="404">
        <f>SUMIF(83:83,E16,84:84)-SUMIF(83:83,C16,84:84)+100</f>
        <v>100</v>
      </c>
      <c r="G15" s="405"/>
      <c r="H15" s="404">
        <f>SUMIF(83:83,G16,84:84)-SUMIF(83:83,C16,84:84)+100</f>
        <v>100</v>
      </c>
      <c r="I15" s="407"/>
      <c r="J15" s="404">
        <f>SUMIF(83:83,I16,84:84)-SUMIF(83:83,C16,84:84)+100</f>
        <v>100</v>
      </c>
      <c r="K15" s="633">
        <v>3</v>
      </c>
      <c r="L15" s="2954"/>
      <c r="M15" s="2948"/>
      <c r="N15" s="2948"/>
      <c r="O15" s="3006"/>
      <c r="P15" s="3399" t="s">
        <v>2390</v>
      </c>
      <c r="Q15" s="1542" t="str">
        <f t="shared" si="6"/>
        <v>产业集聚程度</v>
      </c>
      <c r="R15" s="718" t="s">
        <v>17</v>
      </c>
      <c r="S15" s="719">
        <f t="shared" si="0"/>
        <v>100</v>
      </c>
      <c r="T15" s="718" t="s">
        <v>17</v>
      </c>
      <c r="U15" s="719">
        <f t="shared" si="1"/>
        <v>100</v>
      </c>
      <c r="V15" s="718" t="s">
        <v>17</v>
      </c>
      <c r="W15" s="719">
        <f t="shared" si="2"/>
        <v>100</v>
      </c>
      <c r="X15" s="1545"/>
      <c r="Y15" s="3399" t="s">
        <v>2390</v>
      </c>
      <c r="Z15" s="1546" t="str">
        <f t="shared" si="7"/>
        <v>产业集聚程度</v>
      </c>
      <c r="AA15" s="1543">
        <f t="shared" si="3"/>
        <v>1</v>
      </c>
      <c r="AB15" s="1543">
        <f t="shared" si="4"/>
        <v>1</v>
      </c>
      <c r="AC15" s="1543">
        <f t="shared" si="5"/>
        <v>1</v>
      </c>
    </row>
    <row r="16" spans="1:29" ht="15">
      <c r="A16" s="391"/>
      <c r="B16" s="590"/>
      <c r="C16" s="410" t="s">
        <v>3187</v>
      </c>
      <c r="D16" s="411"/>
      <c r="E16" s="410" t="s">
        <v>3187</v>
      </c>
      <c r="F16" s="411"/>
      <c r="G16" s="410" t="s">
        <v>3187</v>
      </c>
      <c r="H16" s="413"/>
      <c r="I16" s="410" t="s">
        <v>3187</v>
      </c>
      <c r="J16" s="411"/>
      <c r="K16" s="632"/>
      <c r="L16" s="2954"/>
      <c r="M16" s="2948"/>
      <c r="N16" s="2948"/>
      <c r="O16" s="3006"/>
      <c r="P16" s="3400"/>
      <c r="Q16" s="1542"/>
      <c r="R16" s="718"/>
      <c r="S16" s="719"/>
      <c r="T16" s="718"/>
      <c r="U16" s="719"/>
      <c r="V16" s="718"/>
      <c r="W16" s="719"/>
      <c r="X16" s="1545"/>
      <c r="Y16" s="3400"/>
      <c r="Z16" s="1546"/>
      <c r="AA16" s="1543">
        <v>1</v>
      </c>
      <c r="AB16" s="1543">
        <v>1</v>
      </c>
      <c r="AC16" s="1543">
        <v>1</v>
      </c>
    </row>
    <row r="17" spans="1:29" ht="69">
      <c r="A17" s="391"/>
      <c r="B17" s="591" t="s">
        <v>2539</v>
      </c>
      <c r="C17" s="2092" t="str">
        <f>估价对象房地状况!G16</f>
        <v>估价对象周边道路状况、公共交通通达情况、停车便捷程度，综合评价交通便捷度较好</v>
      </c>
      <c r="D17" s="413">
        <v>100</v>
      </c>
      <c r="E17" s="415"/>
      <c r="F17" s="418">
        <f>SUMIF(85:85,E18,86:86)-SUMIF(85:85,C18,86:86)+100</f>
        <v>100</v>
      </c>
      <c r="G17" s="415"/>
      <c r="H17" s="418">
        <f>SUMIF(85:85,G18,86:86)-SUMIF(85:85,C18,86:86)+100</f>
        <v>100</v>
      </c>
      <c r="I17" s="417"/>
      <c r="J17" s="413">
        <f>SUMIF(85:85,I18,86:86)-SUMIF(85:85,C18,86:86)+100</f>
        <v>100</v>
      </c>
      <c r="K17" s="633">
        <v>3</v>
      </c>
      <c r="L17" s="2954"/>
      <c r="M17" s="2948"/>
      <c r="N17" s="2948"/>
      <c r="O17" s="3006"/>
      <c r="P17" s="3400"/>
      <c r="Q17" s="1542" t="str">
        <f>B17</f>
        <v>交通便捷度</v>
      </c>
      <c r="R17" s="718" t="s">
        <v>17</v>
      </c>
      <c r="S17" s="719">
        <f>F17</f>
        <v>100</v>
      </c>
      <c r="T17" s="718" t="s">
        <v>17</v>
      </c>
      <c r="U17" s="719">
        <f>H17</f>
        <v>100</v>
      </c>
      <c r="V17" s="718" t="s">
        <v>17</v>
      </c>
      <c r="W17" s="719">
        <f>J17</f>
        <v>100</v>
      </c>
      <c r="X17" s="1545"/>
      <c r="Y17" s="3400"/>
      <c r="Z17" s="1546" t="str">
        <f>Q17</f>
        <v>交通便捷度</v>
      </c>
      <c r="AA17" s="1543">
        <f t="shared" si="3"/>
        <v>1</v>
      </c>
      <c r="AB17" s="1543">
        <f t="shared" si="4"/>
        <v>1</v>
      </c>
      <c r="AC17" s="1543">
        <f t="shared" si="5"/>
        <v>1</v>
      </c>
    </row>
    <row r="18" spans="1:29" ht="15">
      <c r="A18" s="391"/>
      <c r="B18" s="592"/>
      <c r="C18" s="410" t="s">
        <v>3187</v>
      </c>
      <c r="D18" s="411"/>
      <c r="E18" s="410" t="s">
        <v>3187</v>
      </c>
      <c r="F18" s="411"/>
      <c r="G18" s="2170" t="s">
        <v>3187</v>
      </c>
      <c r="H18" s="411"/>
      <c r="I18" s="410" t="s">
        <v>3187</v>
      </c>
      <c r="J18" s="411"/>
      <c r="K18" s="632"/>
      <c r="L18" s="2954"/>
      <c r="M18" s="2948"/>
      <c r="N18" s="2948"/>
      <c r="O18" s="3006"/>
      <c r="P18" s="3400"/>
      <c r="Q18" s="1542"/>
      <c r="R18" s="718"/>
      <c r="S18" s="719"/>
      <c r="T18" s="718"/>
      <c r="U18" s="719"/>
      <c r="V18" s="718"/>
      <c r="W18" s="719"/>
      <c r="X18" s="1545"/>
      <c r="Y18" s="3400"/>
      <c r="Z18" s="1546"/>
      <c r="AA18" s="1543">
        <v>1</v>
      </c>
      <c r="AB18" s="1543">
        <v>1</v>
      </c>
      <c r="AC18" s="1543">
        <v>1</v>
      </c>
    </row>
    <row r="19" spans="1:29" ht="28.8">
      <c r="A19" s="391"/>
      <c r="B19" s="591" t="s">
        <v>2578</v>
      </c>
      <c r="C19" s="2092" t="str">
        <f>估价对象房地状况!G17</f>
        <v>较一致</v>
      </c>
      <c r="D19" s="413">
        <v>100</v>
      </c>
      <c r="E19" s="415"/>
      <c r="F19" s="418">
        <f>SUMIF(87:87,E20,88:88)-SUMIF(87:87,C20,88:88)+100</f>
        <v>100</v>
      </c>
      <c r="G19" s="415"/>
      <c r="H19" s="418">
        <f>SUMIF(87:87,G20,88:88)-SUMIF(87:87,C20,88:88)+100</f>
        <v>100</v>
      </c>
      <c r="I19" s="415"/>
      <c r="J19" s="418">
        <f>SUMIF(87:87,I20,88:88)-SUMIF(87:87,C20,88:88)+100</f>
        <v>100</v>
      </c>
      <c r="K19" s="633">
        <v>2</v>
      </c>
      <c r="L19" s="2954"/>
      <c r="M19" s="2948"/>
      <c r="N19" s="2948"/>
      <c r="O19" s="3006"/>
      <c r="P19" s="3400"/>
      <c r="Q19" s="1542" t="str">
        <f t="shared" ref="Q19:Q33" si="8">B19</f>
        <v>区域土地利用方向</v>
      </c>
      <c r="R19" s="718" t="s">
        <v>17</v>
      </c>
      <c r="S19" s="719">
        <f>F19</f>
        <v>100</v>
      </c>
      <c r="T19" s="718" t="s">
        <v>17</v>
      </c>
      <c r="U19" s="719">
        <f>H19</f>
        <v>100</v>
      </c>
      <c r="V19" s="718" t="s">
        <v>17</v>
      </c>
      <c r="W19" s="719">
        <f>J19</f>
        <v>100</v>
      </c>
      <c r="X19" s="1545"/>
      <c r="Y19" s="3400"/>
      <c r="Z19" s="1546" t="str">
        <f>Q19</f>
        <v>区域土地利用方向</v>
      </c>
      <c r="AA19" s="1543">
        <f t="shared" si="3"/>
        <v>1</v>
      </c>
      <c r="AB19" s="1543">
        <f t="shared" si="4"/>
        <v>1</v>
      </c>
      <c r="AC19" s="1543">
        <f t="shared" si="5"/>
        <v>1</v>
      </c>
    </row>
    <row r="20" spans="1:29" ht="15">
      <c r="A20" s="368"/>
      <c r="B20" s="592"/>
      <c r="C20" s="410" t="s">
        <v>3187</v>
      </c>
      <c r="D20" s="411"/>
      <c r="E20" s="410" t="s">
        <v>3187</v>
      </c>
      <c r="F20" s="411"/>
      <c r="G20" s="410" t="s">
        <v>3187</v>
      </c>
      <c r="H20" s="411"/>
      <c r="I20" s="410" t="s">
        <v>3187</v>
      </c>
      <c r="J20" s="411"/>
      <c r="K20" s="755"/>
      <c r="L20" s="2954"/>
      <c r="M20" s="2948"/>
      <c r="N20" s="2948"/>
      <c r="O20" s="3006"/>
      <c r="P20" s="3400"/>
      <c r="Q20" s="1542"/>
      <c r="R20" s="718"/>
      <c r="S20" s="719"/>
      <c r="T20" s="718"/>
      <c r="U20" s="719"/>
      <c r="V20" s="718"/>
      <c r="W20" s="719"/>
      <c r="X20" s="1545"/>
      <c r="Y20" s="3400"/>
      <c r="Z20" s="1546"/>
      <c r="AA20" s="1543"/>
      <c r="AB20" s="1543"/>
      <c r="AC20" s="1543"/>
    </row>
    <row r="21" spans="1:29" ht="55.2">
      <c r="A21" s="368"/>
      <c r="B21" s="591" t="s">
        <v>2629</v>
      </c>
      <c r="C21" s="2092" t="str">
        <f>估价对象房地状况!G18</f>
        <v>该园区内无污染型企业，绿化较好，卫生条件良好，整体环境状况较好</v>
      </c>
      <c r="D21" s="413">
        <v>100</v>
      </c>
      <c r="E21" s="415"/>
      <c r="F21" s="413">
        <f>SUMIF(89:89,E22,90:90)-SUMIF(89:89,C22,90:90)+100</f>
        <v>100</v>
      </c>
      <c r="G21" s="415"/>
      <c r="H21" s="413">
        <f>SUMIF(89:89,G22,90:90)-SUMIF(89:89,C22,90:90)+100</f>
        <v>100</v>
      </c>
      <c r="I21" s="417"/>
      <c r="J21" s="413">
        <f>SUMIF(89:89,I22,90:90)-SUMIF(89:89,C22,90:90)+100</f>
        <v>100</v>
      </c>
      <c r="K21" s="633">
        <v>2</v>
      </c>
      <c r="L21" s="2954"/>
      <c r="M21" s="2948"/>
      <c r="N21" s="2948"/>
      <c r="O21" s="3006"/>
      <c r="P21" s="3400"/>
      <c r="Q21" s="1542" t="str">
        <f t="shared" si="8"/>
        <v>环境状况</v>
      </c>
      <c r="R21" s="718" t="s">
        <v>17</v>
      </c>
      <c r="S21" s="719">
        <f>F21</f>
        <v>100</v>
      </c>
      <c r="T21" s="718" t="s">
        <v>17</v>
      </c>
      <c r="U21" s="719">
        <f>H21</f>
        <v>100</v>
      </c>
      <c r="V21" s="718" t="s">
        <v>17</v>
      </c>
      <c r="W21" s="719">
        <f>J21</f>
        <v>100</v>
      </c>
      <c r="X21" s="1545"/>
      <c r="Y21" s="3400"/>
      <c r="Z21" s="1546" t="str">
        <f>Q21</f>
        <v>环境状况</v>
      </c>
      <c r="AA21" s="1543">
        <f t="shared" si="3"/>
        <v>1</v>
      </c>
      <c r="AB21" s="1543">
        <f t="shared" si="4"/>
        <v>1</v>
      </c>
      <c r="AC21" s="1543">
        <f t="shared" si="5"/>
        <v>1</v>
      </c>
    </row>
    <row r="22" spans="1:29" ht="15">
      <c r="A22" s="368"/>
      <c r="B22" s="592"/>
      <c r="C22" s="410" t="s">
        <v>3187</v>
      </c>
      <c r="D22" s="411"/>
      <c r="E22" s="410" t="s">
        <v>3187</v>
      </c>
      <c r="F22" s="411"/>
      <c r="G22" s="410" t="s">
        <v>3187</v>
      </c>
      <c r="H22" s="411"/>
      <c r="I22" s="2170" t="s">
        <v>3187</v>
      </c>
      <c r="J22" s="411"/>
      <c r="K22" s="632"/>
      <c r="L22" s="2954"/>
      <c r="M22" s="2948"/>
      <c r="N22" s="2948"/>
      <c r="O22" s="3006"/>
      <c r="P22" s="3400"/>
      <c r="Q22" s="1542"/>
      <c r="R22" s="718"/>
      <c r="S22" s="719"/>
      <c r="T22" s="718"/>
      <c r="U22" s="719"/>
      <c r="V22" s="718"/>
      <c r="W22" s="719"/>
      <c r="X22" s="1545"/>
      <c r="Y22" s="3400"/>
      <c r="Z22" s="1546"/>
      <c r="AA22" s="1543">
        <v>1</v>
      </c>
      <c r="AB22" s="1543">
        <v>1</v>
      </c>
      <c r="AC22" s="1543">
        <v>1</v>
      </c>
    </row>
    <row r="23" spans="1:29" s="117" customFormat="1" ht="41.4">
      <c r="A23" s="609"/>
      <c r="B23" s="593" t="s">
        <v>2484</v>
      </c>
      <c r="C23" s="2092" t="str">
        <f>估价对象房地状况!G19</f>
        <v>估价对象所在区域公共配套设施齐备情况较好</v>
      </c>
      <c r="D23" s="413">
        <v>100</v>
      </c>
      <c r="E23" s="415"/>
      <c r="F23" s="413">
        <f>SUMIF(91:91,E24,92:92)-SUMIF(91:91,C24,92:92)+100</f>
        <v>100</v>
      </c>
      <c r="G23" s="415"/>
      <c r="H23" s="413">
        <f>SUMIF(91:91,G24,92:92)-SUMIF(91:91,C24,92:92)+100</f>
        <v>100</v>
      </c>
      <c r="I23" s="417"/>
      <c r="J23" s="413">
        <f>SUMIF(91:91,I24,92:92)-SUMIF(91:91,C24,92:92)+100</f>
        <v>100</v>
      </c>
      <c r="K23" s="633">
        <v>2</v>
      </c>
      <c r="L23" s="2949"/>
      <c r="M23" s="2950"/>
      <c r="N23" s="2950"/>
      <c r="O23" s="3004"/>
      <c r="P23" s="3400"/>
      <c r="Q23" s="1533" t="str">
        <f t="shared" si="8"/>
        <v>公共配套设施</v>
      </c>
      <c r="R23" s="714" t="s">
        <v>17</v>
      </c>
      <c r="S23" s="715">
        <f>F23</f>
        <v>100</v>
      </c>
      <c r="T23" s="714" t="s">
        <v>17</v>
      </c>
      <c r="U23" s="715">
        <f>H23</f>
        <v>100</v>
      </c>
      <c r="V23" s="714" t="s">
        <v>17</v>
      </c>
      <c r="W23" s="715">
        <f>J23</f>
        <v>100</v>
      </c>
      <c r="X23" s="716"/>
      <c r="Y23" s="3400"/>
      <c r="Z23" s="55" t="str">
        <f>Q23</f>
        <v>公共配套设施</v>
      </c>
      <c r="AA23" s="1543">
        <f>D23/F23</f>
        <v>1</v>
      </c>
      <c r="AB23" s="1543">
        <f>D23/H23</f>
        <v>1</v>
      </c>
      <c r="AC23" s="1543">
        <f>D23/J23</f>
        <v>1</v>
      </c>
    </row>
    <row r="24" spans="1:29" s="117" customFormat="1" ht="15">
      <c r="A24" s="609"/>
      <c r="B24" s="592"/>
      <c r="C24" s="2170" t="s">
        <v>3187</v>
      </c>
      <c r="D24" s="411"/>
      <c r="E24" s="2170" t="s">
        <v>3187</v>
      </c>
      <c r="F24" s="411"/>
      <c r="G24" s="2170" t="s">
        <v>3187</v>
      </c>
      <c r="H24" s="411"/>
      <c r="I24" s="2170" t="s">
        <v>3187</v>
      </c>
      <c r="J24" s="411"/>
      <c r="K24" s="632"/>
      <c r="L24" s="2949"/>
      <c r="M24" s="2950"/>
      <c r="N24" s="2950"/>
      <c r="O24" s="3004"/>
      <c r="P24" s="3400"/>
      <c r="Q24" s="1533"/>
      <c r="R24" s="714"/>
      <c r="S24" s="715"/>
      <c r="T24" s="714"/>
      <c r="U24" s="715"/>
      <c r="V24" s="714"/>
      <c r="W24" s="715"/>
      <c r="X24" s="716"/>
      <c r="Y24" s="3400"/>
      <c r="Z24" s="55"/>
      <c r="AA24" s="717">
        <v>1</v>
      </c>
      <c r="AB24" s="717">
        <v>1</v>
      </c>
      <c r="AC24" s="717">
        <v>1</v>
      </c>
    </row>
    <row r="25" spans="1:29" s="117" customFormat="1" ht="15">
      <c r="A25" s="609"/>
      <c r="B25" s="593" t="s">
        <v>2485</v>
      </c>
      <c r="C25" s="2092" t="str">
        <f>估价对象房地状况!G20</f>
        <v>七通</v>
      </c>
      <c r="D25" s="413">
        <v>100</v>
      </c>
      <c r="E25" s="415"/>
      <c r="F25" s="413">
        <f>SUMIF(93:93,E26,94:94)-SUMIF(93:93,C26,94:94)+100</f>
        <v>100</v>
      </c>
      <c r="G25" s="415"/>
      <c r="H25" s="413">
        <f>SUMIF(93:93,G26,94:94)-SUMIF(93:93,C26,94:94)+100</f>
        <v>100</v>
      </c>
      <c r="I25" s="417"/>
      <c r="J25" s="413">
        <f>SUMIF(93:93,I26,94:94)-SUMIF(93:93,C26,94:94)+100</f>
        <v>100</v>
      </c>
      <c r="K25" s="633">
        <v>1</v>
      </c>
      <c r="L25" s="2949"/>
      <c r="M25" s="2950"/>
      <c r="N25" s="2950"/>
      <c r="O25" s="3004"/>
      <c r="P25" s="3400"/>
      <c r="Q25" s="1533" t="str">
        <f t="shared" ref="Q25" si="9">B25</f>
        <v>基础设施水平</v>
      </c>
      <c r="R25" s="714" t="s">
        <v>17</v>
      </c>
      <c r="S25" s="715">
        <f>F25</f>
        <v>100</v>
      </c>
      <c r="T25" s="714" t="s">
        <v>17</v>
      </c>
      <c r="U25" s="715">
        <f>H25</f>
        <v>100</v>
      </c>
      <c r="V25" s="714" t="s">
        <v>17</v>
      </c>
      <c r="W25" s="715">
        <f>J25</f>
        <v>100</v>
      </c>
      <c r="X25" s="716"/>
      <c r="Y25" s="3400"/>
      <c r="Z25" s="55" t="str">
        <f>Q25</f>
        <v>基础设施水平</v>
      </c>
      <c r="AA25" s="1543">
        <f>D25/F25</f>
        <v>1</v>
      </c>
      <c r="AB25" s="1543">
        <f>D25/H25</f>
        <v>1</v>
      </c>
      <c r="AC25" s="1543">
        <f>D25/J25</f>
        <v>1</v>
      </c>
    </row>
    <row r="26" spans="1:29" s="117" customFormat="1" ht="15">
      <c r="A26" s="609"/>
      <c r="B26" s="592"/>
      <c r="C26" s="2170" t="s">
        <v>3189</v>
      </c>
      <c r="D26" s="411"/>
      <c r="E26" s="2170" t="s">
        <v>3189</v>
      </c>
      <c r="F26" s="411"/>
      <c r="G26" s="2170" t="s">
        <v>3189</v>
      </c>
      <c r="H26" s="411"/>
      <c r="I26" s="2170" t="s">
        <v>3189</v>
      </c>
      <c r="J26" s="411"/>
      <c r="K26" s="632"/>
      <c r="L26" s="2949"/>
      <c r="M26" s="2950"/>
      <c r="N26" s="2950"/>
      <c r="O26" s="3004"/>
      <c r="P26" s="3400"/>
      <c r="Q26" s="1533"/>
      <c r="R26" s="714"/>
      <c r="S26" s="715"/>
      <c r="T26" s="714"/>
      <c r="U26" s="715"/>
      <c r="V26" s="714"/>
      <c r="W26" s="715"/>
      <c r="X26" s="716"/>
      <c r="Y26" s="3400"/>
      <c r="Z26" s="55"/>
      <c r="AA26" s="717">
        <v>1</v>
      </c>
      <c r="AB26" s="717">
        <v>1</v>
      </c>
      <c r="AC26" s="717">
        <v>1</v>
      </c>
    </row>
    <row r="27" spans="1:29" ht="15">
      <c r="A27" s="391"/>
      <c r="B27" s="592" t="s">
        <v>2486</v>
      </c>
      <c r="C27" s="577" t="s">
        <v>3166</v>
      </c>
      <c r="D27" s="398">
        <v>100</v>
      </c>
      <c r="E27" s="594" t="s">
        <v>4404</v>
      </c>
      <c r="F27" s="398">
        <f>SUMIF(95:95,E27,96:96)-SUMIF(95:95,C27,96:96)+100</f>
        <v>98</v>
      </c>
      <c r="G27" s="594" t="s">
        <v>4404</v>
      </c>
      <c r="H27" s="398">
        <f>SUMIF(95:95,G27,96:96)-SUMIF(95:95,C27,96:96)+100</f>
        <v>98</v>
      </c>
      <c r="I27" s="594" t="s">
        <v>4404</v>
      </c>
      <c r="J27" s="398">
        <f>SUMIF(95:95,I27,96:96)-SUMIF(95:95,C27,96:96)+100</f>
        <v>98</v>
      </c>
      <c r="K27" s="633">
        <v>2</v>
      </c>
      <c r="L27" s="2954"/>
      <c r="M27" s="2948"/>
      <c r="N27" s="2948"/>
      <c r="O27" s="3006"/>
      <c r="P27" s="3400"/>
      <c r="Q27" s="1542" t="str">
        <f t="shared" si="8"/>
        <v>临街状况</v>
      </c>
      <c r="R27" s="718" t="s">
        <v>17</v>
      </c>
      <c r="S27" s="719">
        <f t="shared" ref="S27:S40" si="10">F27</f>
        <v>98</v>
      </c>
      <c r="T27" s="718" t="s">
        <v>17</v>
      </c>
      <c r="U27" s="719">
        <f t="shared" ref="U27:U40" si="11">H27</f>
        <v>98</v>
      </c>
      <c r="V27" s="718" t="s">
        <v>17</v>
      </c>
      <c r="W27" s="719">
        <f t="shared" ref="W27:W40" si="12">J27</f>
        <v>98</v>
      </c>
      <c r="X27" s="1545"/>
      <c r="Y27" s="3400"/>
      <c r="Z27" s="1546" t="str">
        <f t="shared" ref="Z27:Z40" si="13">Q27</f>
        <v>临街状况</v>
      </c>
      <c r="AA27" s="1543">
        <f t="shared" si="3"/>
        <v>1.0204081632653061</v>
      </c>
      <c r="AB27" s="1543">
        <f t="shared" si="4"/>
        <v>1.0204081632653061</v>
      </c>
      <c r="AC27" s="1543">
        <f t="shared" si="5"/>
        <v>1.0204081632653061</v>
      </c>
    </row>
    <row r="28" spans="1:29" ht="28.8">
      <c r="A28" s="391"/>
      <c r="B28" s="593" t="s">
        <v>2521</v>
      </c>
      <c r="C28" s="2183" t="str">
        <f>估价对象房地状况!G22</f>
        <v>城市支路——东环北路</v>
      </c>
      <c r="D28" s="413">
        <v>100</v>
      </c>
      <c r="E28" s="3046" t="s">
        <v>4396</v>
      </c>
      <c r="F28" s="413">
        <f>SUMIF(97:97,E29,98:98)-SUMIF(97:97,C29,98:98)+100</f>
        <v>100</v>
      </c>
      <c r="G28" s="3046" t="s">
        <v>4397</v>
      </c>
      <c r="H28" s="413">
        <f>SUMIF(97:97,G29,98:98)-SUMIF(97:97,C29,98:98)+100</f>
        <v>100</v>
      </c>
      <c r="I28" s="3046" t="s">
        <v>4398</v>
      </c>
      <c r="J28" s="413">
        <f>SUMIF(97:97,I29,98:98)-SUMIF(97:97,C29,98:98)+100</f>
        <v>100</v>
      </c>
      <c r="K28" s="633">
        <v>1</v>
      </c>
      <c r="L28" s="2954"/>
      <c r="M28" s="2948"/>
      <c r="N28" s="2948"/>
      <c r="O28" s="3006"/>
      <c r="P28" s="3400"/>
      <c r="Q28" s="1542" t="str">
        <f t="shared" si="8"/>
        <v>毗邻道路的类型与等级</v>
      </c>
      <c r="R28" s="718" t="s">
        <v>17</v>
      </c>
      <c r="S28" s="719">
        <f t="shared" si="10"/>
        <v>100</v>
      </c>
      <c r="T28" s="718" t="s">
        <v>17</v>
      </c>
      <c r="U28" s="719">
        <f t="shared" si="11"/>
        <v>100</v>
      </c>
      <c r="V28" s="718" t="s">
        <v>17</v>
      </c>
      <c r="W28" s="719">
        <f t="shared" si="12"/>
        <v>100</v>
      </c>
      <c r="X28" s="1545"/>
      <c r="Y28" s="3400"/>
      <c r="Z28" s="1546" t="str">
        <f t="shared" si="13"/>
        <v>毗邻道路的类型与等级</v>
      </c>
      <c r="AA28" s="1543">
        <f t="shared" si="3"/>
        <v>1</v>
      </c>
      <c r="AB28" s="1543">
        <f t="shared" si="4"/>
        <v>1</v>
      </c>
      <c r="AC28" s="1543">
        <f t="shared" si="5"/>
        <v>1</v>
      </c>
    </row>
    <row r="29" spans="1:29" ht="15">
      <c r="A29" s="391"/>
      <c r="B29" s="592"/>
      <c r="C29" s="410" t="s">
        <v>3190</v>
      </c>
      <c r="D29" s="411"/>
      <c r="E29" s="2096" t="s">
        <v>3190</v>
      </c>
      <c r="F29" s="411"/>
      <c r="G29" s="2096" t="s">
        <v>3190</v>
      </c>
      <c r="H29" s="411"/>
      <c r="I29" s="2096" t="s">
        <v>3190</v>
      </c>
      <c r="J29" s="411"/>
      <c r="K29" s="574"/>
      <c r="L29" s="2954"/>
      <c r="M29" s="2948"/>
      <c r="N29" s="2948"/>
      <c r="O29" s="3006"/>
      <c r="P29" s="3400"/>
      <c r="Q29" s="1542"/>
      <c r="R29" s="718"/>
      <c r="S29" s="719"/>
      <c r="T29" s="718"/>
      <c r="U29" s="719"/>
      <c r="V29" s="718"/>
      <c r="W29" s="719"/>
      <c r="X29" s="1545"/>
      <c r="Y29" s="3400"/>
      <c r="Z29" s="1546"/>
      <c r="AA29" s="1543">
        <v>1</v>
      </c>
      <c r="AB29" s="1543">
        <v>1</v>
      </c>
      <c r="AC29" s="1543">
        <v>1</v>
      </c>
    </row>
    <row r="30" spans="1:29" ht="15">
      <c r="A30" s="391"/>
      <c r="B30" s="614" t="s">
        <v>2580</v>
      </c>
      <c r="C30" s="1302">
        <f>估价对象房地状况!G23</f>
        <v>0</v>
      </c>
      <c r="D30" s="398">
        <v>100</v>
      </c>
      <c r="E30" s="594"/>
      <c r="F30" s="398">
        <f>SUMIF(99:99,E30,100:100)-SUMIF(99:99,C30,100:100)+100</f>
        <v>100</v>
      </c>
      <c r="G30" s="594"/>
      <c r="H30" s="398">
        <f>SUMIF(99:99,G30,100:100)-SUMIF(99:99,C30,100:100)+100</f>
        <v>100</v>
      </c>
      <c r="I30" s="594"/>
      <c r="J30" s="398">
        <f>SUMIF(99:99,I30,100:100)-SUMIF(99:99,C30,100:100)+100</f>
        <v>100</v>
      </c>
      <c r="K30" s="573"/>
      <c r="L30" s="2954"/>
      <c r="M30" s="2948"/>
      <c r="N30" s="2948"/>
      <c r="O30" s="3006"/>
      <c r="P30" s="3400"/>
      <c r="Q30" s="1542" t="str">
        <f t="shared" si="8"/>
        <v>土地级别</v>
      </c>
      <c r="R30" s="718" t="s">
        <v>17</v>
      </c>
      <c r="S30" s="719">
        <f t="shared" si="10"/>
        <v>100</v>
      </c>
      <c r="T30" s="718" t="s">
        <v>17</v>
      </c>
      <c r="U30" s="719">
        <f t="shared" si="11"/>
        <v>100</v>
      </c>
      <c r="V30" s="718" t="s">
        <v>17</v>
      </c>
      <c r="W30" s="719">
        <f t="shared" si="12"/>
        <v>100</v>
      </c>
      <c r="X30" s="1545"/>
      <c r="Y30" s="3400"/>
      <c r="Z30" s="1546" t="str">
        <f t="shared" si="13"/>
        <v>土地级别</v>
      </c>
      <c r="AA30" s="1543">
        <f t="shared" si="3"/>
        <v>1</v>
      </c>
      <c r="AB30" s="1543">
        <f t="shared" si="4"/>
        <v>1</v>
      </c>
      <c r="AC30" s="1543">
        <f t="shared" si="5"/>
        <v>1</v>
      </c>
    </row>
    <row r="31" spans="1:29" ht="15">
      <c r="A31" s="368"/>
      <c r="B31" s="2158">
        <v>111</v>
      </c>
      <c r="C31" s="634"/>
      <c r="D31" s="398">
        <v>100</v>
      </c>
      <c r="E31" s="440"/>
      <c r="F31" s="398">
        <f>SUMIF(101:101,E31,102:102)-SUMIF(101:101,C31,102:102)+100</f>
        <v>100</v>
      </c>
      <c r="G31" s="440"/>
      <c r="H31" s="398">
        <f>SUMIF(101:101,G31,102:102)-SUMIF(101:101,C31,102:102)+100</f>
        <v>100</v>
      </c>
      <c r="I31" s="510"/>
      <c r="J31" s="398">
        <f>SUMIF(101:101,I31,102:102)-SUMIF(101:101,C31,102:102)+100</f>
        <v>100</v>
      </c>
      <c r="K31" s="574"/>
      <c r="L31" s="2954"/>
      <c r="M31" s="2948"/>
      <c r="N31" s="2948"/>
      <c r="O31" s="3006"/>
      <c r="P31" s="3400"/>
      <c r="Q31" s="1542">
        <f t="shared" si="8"/>
        <v>111</v>
      </c>
      <c r="R31" s="718" t="s">
        <v>17</v>
      </c>
      <c r="S31" s="719">
        <f t="shared" si="10"/>
        <v>100</v>
      </c>
      <c r="T31" s="718" t="s">
        <v>17</v>
      </c>
      <c r="U31" s="719">
        <f t="shared" si="11"/>
        <v>100</v>
      </c>
      <c r="V31" s="718" t="s">
        <v>17</v>
      </c>
      <c r="W31" s="719">
        <f t="shared" si="12"/>
        <v>100</v>
      </c>
      <c r="X31" s="1545"/>
      <c r="Y31" s="3400"/>
      <c r="Z31" s="1546">
        <f t="shared" si="13"/>
        <v>111</v>
      </c>
      <c r="AA31" s="1543">
        <f t="shared" si="3"/>
        <v>1</v>
      </c>
      <c r="AB31" s="1543">
        <f t="shared" si="4"/>
        <v>1</v>
      </c>
      <c r="AC31" s="1543">
        <f t="shared" si="5"/>
        <v>1</v>
      </c>
    </row>
    <row r="32" spans="1:29" ht="15">
      <c r="A32" s="635"/>
      <c r="B32" s="2184">
        <v>111</v>
      </c>
      <c r="C32" s="634"/>
      <c r="D32" s="398">
        <v>100</v>
      </c>
      <c r="E32" s="440"/>
      <c r="F32" s="398">
        <f>SUMIF(103:103,E33,104:104)-SUMIF(103:103,C33,104:104)+100</f>
        <v>100</v>
      </c>
      <c r="G32" s="440"/>
      <c r="H32" s="398">
        <f>SUMIF(103:103,G32,104:104)-SUMIF(103:103,C32,104:104)+100</f>
        <v>100</v>
      </c>
      <c r="I32" s="634"/>
      <c r="J32" s="398">
        <f>SUMIF(103:103,I32,104:104)-SUMIF(103:103,C32,104:104)+100</f>
        <v>100</v>
      </c>
      <c r="K32" s="574"/>
      <c r="L32" s="2954"/>
      <c r="M32" s="2948"/>
      <c r="N32" s="2948"/>
      <c r="O32" s="3006"/>
      <c r="P32" s="3423" t="s">
        <v>2395</v>
      </c>
      <c r="Q32" s="1542">
        <f t="shared" si="8"/>
        <v>111</v>
      </c>
      <c r="R32" s="718" t="s">
        <v>17</v>
      </c>
      <c r="S32" s="719">
        <f t="shared" si="10"/>
        <v>100</v>
      </c>
      <c r="T32" s="718" t="s">
        <v>17</v>
      </c>
      <c r="U32" s="719">
        <f t="shared" si="11"/>
        <v>100</v>
      </c>
      <c r="V32" s="718" t="s">
        <v>17</v>
      </c>
      <c r="W32" s="719">
        <f t="shared" si="12"/>
        <v>100</v>
      </c>
      <c r="X32" s="1545"/>
      <c r="Y32" s="3404" t="s">
        <v>2395</v>
      </c>
      <c r="Z32" s="1546">
        <f t="shared" si="13"/>
        <v>111</v>
      </c>
      <c r="AA32" s="1543">
        <f t="shared" si="3"/>
        <v>1</v>
      </c>
      <c r="AB32" s="1543">
        <f t="shared" si="4"/>
        <v>1</v>
      </c>
      <c r="AC32" s="1543">
        <f t="shared" si="5"/>
        <v>1</v>
      </c>
    </row>
    <row r="33" spans="1:31" s="434" customFormat="1" ht="15.6" thickBot="1">
      <c r="A33" s="636"/>
      <c r="B33" s="2185">
        <v>111</v>
      </c>
      <c r="C33" s="638"/>
      <c r="D33" s="137">
        <v>100</v>
      </c>
      <c r="E33" s="661"/>
      <c r="F33" s="401">
        <f>SUMIF(105:105,E33,106:106)-SUMIF(105:105,C33,106:106)+100</f>
        <v>100</v>
      </c>
      <c r="G33" s="661"/>
      <c r="H33" s="401">
        <f>SUMIF(105:105,G33,106:106)-SUMIF(105:105,C33,106:106)+100</f>
        <v>100</v>
      </c>
      <c r="I33" s="638"/>
      <c r="J33" s="401">
        <f>SUMIF(105:105,I33,106:106)-SUMIF(105:105,C33,106:106)+100</f>
        <v>100</v>
      </c>
      <c r="K33" s="574"/>
      <c r="L33" s="2953"/>
      <c r="M33" s="2955"/>
      <c r="N33" s="2955"/>
      <c r="O33" s="3007"/>
      <c r="P33" s="3404"/>
      <c r="Q33" s="1542">
        <f t="shared" si="8"/>
        <v>111</v>
      </c>
      <c r="R33" s="721" t="s">
        <v>17</v>
      </c>
      <c r="S33" s="722">
        <f t="shared" si="10"/>
        <v>100</v>
      </c>
      <c r="T33" s="721" t="s">
        <v>17</v>
      </c>
      <c r="U33" s="722">
        <f t="shared" si="11"/>
        <v>100</v>
      </c>
      <c r="V33" s="721" t="s">
        <v>17</v>
      </c>
      <c r="W33" s="722">
        <f t="shared" si="12"/>
        <v>100</v>
      </c>
      <c r="X33" s="723"/>
      <c r="Y33" s="3404"/>
      <c r="Z33" s="724">
        <f t="shared" si="13"/>
        <v>111</v>
      </c>
      <c r="AA33" s="1543">
        <f t="shared" si="3"/>
        <v>1</v>
      </c>
      <c r="AB33" s="1543">
        <f t="shared" si="4"/>
        <v>1</v>
      </c>
      <c r="AC33" s="1543">
        <f t="shared" si="5"/>
        <v>1</v>
      </c>
    </row>
    <row r="34" spans="1:31" ht="15">
      <c r="A34" s="403" t="s">
        <v>2393</v>
      </c>
      <c r="B34" s="419" t="s">
        <v>2581</v>
      </c>
      <c r="C34" s="639">
        <f>'数据-汇总表'!D3</f>
        <v>15462.6</v>
      </c>
      <c r="D34" s="430">
        <v>100</v>
      </c>
      <c r="E34" s="639">
        <f>土地案例!J2</f>
        <v>30911.9</v>
      </c>
      <c r="F34" s="430">
        <f>LOOKUP(E34,108:108,109:109)-LOOKUP(C34,108:108,109:109)+100</f>
        <v>100</v>
      </c>
      <c r="G34" s="639">
        <f>土地案例!J3</f>
        <v>10730.4</v>
      </c>
      <c r="H34" s="430">
        <f>LOOKUP(G34,108:108,109:109)-LOOKUP(C34,108:108,109:109)+100</f>
        <v>100</v>
      </c>
      <c r="I34" s="491">
        <f>土地案例!J4</f>
        <v>6828.9</v>
      </c>
      <c r="J34" s="430">
        <f>LOOKUP(I34,108:108,109:109)-LOOKUP(C34,108:108,109:109)+100</f>
        <v>100</v>
      </c>
      <c r="K34" s="574"/>
      <c r="L34" s="2954"/>
      <c r="M34" s="2948"/>
      <c r="N34" s="2948"/>
      <c r="O34" s="3006"/>
      <c r="P34" s="3404"/>
      <c r="Q34" s="1542" t="str">
        <f>B34</f>
        <v>宗地面积</v>
      </c>
      <c r="R34" s="718" t="s">
        <v>17</v>
      </c>
      <c r="S34" s="719">
        <f t="shared" si="10"/>
        <v>100</v>
      </c>
      <c r="T34" s="718" t="s">
        <v>17</v>
      </c>
      <c r="U34" s="719">
        <f t="shared" si="11"/>
        <v>100</v>
      </c>
      <c r="V34" s="718" t="s">
        <v>17</v>
      </c>
      <c r="W34" s="719">
        <f t="shared" si="12"/>
        <v>100</v>
      </c>
      <c r="X34" s="1545"/>
      <c r="Y34" s="3404"/>
      <c r="Z34" s="1546" t="str">
        <f t="shared" si="13"/>
        <v>宗地面积</v>
      </c>
      <c r="AA34" s="1543">
        <f t="shared" si="3"/>
        <v>1</v>
      </c>
      <c r="AB34" s="1543">
        <f t="shared" si="4"/>
        <v>1</v>
      </c>
      <c r="AC34" s="1543">
        <f t="shared" si="5"/>
        <v>1</v>
      </c>
    </row>
    <row r="35" spans="1:31" ht="15">
      <c r="A35" s="435"/>
      <c r="B35" s="385" t="s">
        <v>2582</v>
      </c>
      <c r="C35" s="2098" t="s">
        <v>3191</v>
      </c>
      <c r="D35" s="398">
        <v>100</v>
      </c>
      <c r="E35" s="2098" t="s">
        <v>3191</v>
      </c>
      <c r="F35" s="398">
        <f>SUMIF(110:110,E35,111:111)-SUMIF(110:110,C35,111:111)+100</f>
        <v>100</v>
      </c>
      <c r="G35" s="2098" t="s">
        <v>3191</v>
      </c>
      <c r="H35" s="398">
        <f>SUMIF(110:110,G35,111:111)-SUMIF(110:110,C35,111:111)+100</f>
        <v>100</v>
      </c>
      <c r="I35" s="2098" t="s">
        <v>3191</v>
      </c>
      <c r="J35" s="398">
        <f>SUMIF(110:110,I35,111:111)-SUMIF(110:110,C35,111:111)+100</f>
        <v>100</v>
      </c>
      <c r="K35" s="573">
        <v>2</v>
      </c>
      <c r="L35" s="2954"/>
      <c r="M35" s="2948"/>
      <c r="N35" s="2948"/>
      <c r="O35" s="3006"/>
      <c r="P35" s="3404"/>
      <c r="Q35" s="1542" t="str">
        <f t="shared" ref="Q35:Q40" si="14">B35</f>
        <v>宗地形状</v>
      </c>
      <c r="R35" s="718" t="s">
        <v>17</v>
      </c>
      <c r="S35" s="719">
        <f t="shared" si="10"/>
        <v>100</v>
      </c>
      <c r="T35" s="718" t="s">
        <v>17</v>
      </c>
      <c r="U35" s="719">
        <f t="shared" si="11"/>
        <v>100</v>
      </c>
      <c r="V35" s="718" t="s">
        <v>17</v>
      </c>
      <c r="W35" s="719">
        <f t="shared" si="12"/>
        <v>100</v>
      </c>
      <c r="X35" s="1545"/>
      <c r="Y35" s="3404"/>
      <c r="Z35" s="1546" t="str">
        <f t="shared" si="13"/>
        <v>宗地形状</v>
      </c>
      <c r="AA35" s="1543">
        <f t="shared" si="3"/>
        <v>1</v>
      </c>
      <c r="AB35" s="1543">
        <f t="shared" si="4"/>
        <v>1</v>
      </c>
      <c r="AC35" s="1543">
        <f t="shared" si="5"/>
        <v>1</v>
      </c>
    </row>
    <row r="36" spans="1:31" s="117" customFormat="1" ht="15">
      <c r="A36" s="436"/>
      <c r="B36" s="385" t="s">
        <v>2584</v>
      </c>
      <c r="C36" s="3047" t="s">
        <v>3189</v>
      </c>
      <c r="D36" s="136">
        <v>100</v>
      </c>
      <c r="E36" s="2172" t="s">
        <v>3192</v>
      </c>
      <c r="F36" s="398">
        <f>SUMIF(112:112,E36,113:113)-SUMIF(112:112,C36,113:113)+100</f>
        <v>98</v>
      </c>
      <c r="G36" s="2172" t="s">
        <v>3192</v>
      </c>
      <c r="H36" s="398">
        <f>SUMIF(112:112,G36,113:113)-SUMIF(112:112,C36,113:113)+100</f>
        <v>98</v>
      </c>
      <c r="I36" s="2172" t="s">
        <v>3192</v>
      </c>
      <c r="J36" s="398">
        <f>SUMIF(112:112,I36,113:113)-SUMIF(112:112,C36,113:113)+100</f>
        <v>98</v>
      </c>
      <c r="K36" s="573">
        <v>2</v>
      </c>
      <c r="L36" s="2949"/>
      <c r="M36" s="2950"/>
      <c r="N36" s="2950"/>
      <c r="O36" s="3004"/>
      <c r="P36" s="3404"/>
      <c r="Q36" s="1542" t="str">
        <f t="shared" si="14"/>
        <v>宗地开发程度</v>
      </c>
      <c r="R36" s="714" t="s">
        <v>17</v>
      </c>
      <c r="S36" s="715">
        <f t="shared" si="10"/>
        <v>98</v>
      </c>
      <c r="T36" s="714" t="s">
        <v>17</v>
      </c>
      <c r="U36" s="715">
        <f t="shared" si="11"/>
        <v>98</v>
      </c>
      <c r="V36" s="714" t="s">
        <v>17</v>
      </c>
      <c r="W36" s="715">
        <f t="shared" si="12"/>
        <v>98</v>
      </c>
      <c r="X36" s="716"/>
      <c r="Y36" s="3404"/>
      <c r="Z36" s="55" t="str">
        <f t="shared" si="13"/>
        <v>宗地开发程度</v>
      </c>
      <c r="AA36" s="717">
        <f t="shared" si="3"/>
        <v>1.0204081632653061</v>
      </c>
      <c r="AB36" s="717">
        <f t="shared" si="4"/>
        <v>1.0204081632653061</v>
      </c>
      <c r="AC36" s="717">
        <f t="shared" si="5"/>
        <v>1.0204081632653061</v>
      </c>
    </row>
    <row r="37" spans="1:31" ht="15">
      <c r="A37" s="435"/>
      <c r="B37" s="385" t="s">
        <v>2585</v>
      </c>
      <c r="C37" s="2098" t="s">
        <v>3187</v>
      </c>
      <c r="D37" s="398">
        <v>100</v>
      </c>
      <c r="E37" s="2098" t="s">
        <v>3187</v>
      </c>
      <c r="F37" s="398">
        <f>SUMIF(114:114,E37,115:115)-SUMIF(114:114,C37,115:115)+100</f>
        <v>100</v>
      </c>
      <c r="G37" s="2098" t="s">
        <v>3187</v>
      </c>
      <c r="H37" s="398">
        <f>SUMIF(114:114,G37,115:115)-SUMIF(114:114,C37,115:115)+100</f>
        <v>100</v>
      </c>
      <c r="I37" s="2098" t="s">
        <v>3187</v>
      </c>
      <c r="J37" s="398">
        <f>SUMIF(114:114,I37,115:115)-SUMIF(114:114,C37,115:115)+100</f>
        <v>100</v>
      </c>
      <c r="K37" s="573">
        <v>1</v>
      </c>
      <c r="L37" s="2954"/>
      <c r="M37" s="2948"/>
      <c r="N37" s="2948"/>
      <c r="O37" s="3006"/>
      <c r="P37" s="3404" t="s">
        <v>2395</v>
      </c>
      <c r="Q37" s="1542" t="str">
        <f t="shared" si="14"/>
        <v>工程地质条件</v>
      </c>
      <c r="R37" s="718" t="s">
        <v>17</v>
      </c>
      <c r="S37" s="719">
        <f t="shared" si="10"/>
        <v>100</v>
      </c>
      <c r="T37" s="718" t="s">
        <v>17</v>
      </c>
      <c r="U37" s="719">
        <f t="shared" si="11"/>
        <v>100</v>
      </c>
      <c r="V37" s="718" t="s">
        <v>17</v>
      </c>
      <c r="W37" s="719">
        <f t="shared" si="12"/>
        <v>100</v>
      </c>
      <c r="X37" s="1545"/>
      <c r="Y37" s="3404" t="s">
        <v>2395</v>
      </c>
      <c r="Z37" s="1546" t="str">
        <f t="shared" si="13"/>
        <v>工程地质条件</v>
      </c>
      <c r="AA37" s="1543">
        <f t="shared" si="3"/>
        <v>1</v>
      </c>
      <c r="AB37" s="1543">
        <f t="shared" si="4"/>
        <v>1</v>
      </c>
      <c r="AC37" s="1543">
        <f t="shared" si="5"/>
        <v>1</v>
      </c>
    </row>
    <row r="38" spans="1:31" ht="15">
      <c r="A38" s="435"/>
      <c r="B38" s="1300">
        <v>111</v>
      </c>
      <c r="C38" s="634"/>
      <c r="D38" s="398">
        <v>100</v>
      </c>
      <c r="E38" s="634"/>
      <c r="F38" s="398">
        <f>SUMIF(116:116,E38,117:117)-SUMIF(116:116,C38,117:117)+100</f>
        <v>100</v>
      </c>
      <c r="G38" s="634"/>
      <c r="H38" s="398">
        <f>SUMIF(116:116,G38,117:117)-SUMIF(116:116,C38,117:117)+100</f>
        <v>100</v>
      </c>
      <c r="I38" s="510"/>
      <c r="J38" s="398">
        <f>SUMIF(116:116,I38,117:117)-SUMIF(116:116,C38,117:117)+100</f>
        <v>100</v>
      </c>
      <c r="K38" s="574"/>
      <c r="L38" s="2954"/>
      <c r="M38" s="2948"/>
      <c r="N38" s="2948"/>
      <c r="O38" s="3006"/>
      <c r="P38" s="3404"/>
      <c r="Q38" s="1542">
        <f t="shared" si="14"/>
        <v>111</v>
      </c>
      <c r="R38" s="718" t="s">
        <v>17</v>
      </c>
      <c r="S38" s="719">
        <f t="shared" si="10"/>
        <v>100</v>
      </c>
      <c r="T38" s="718" t="s">
        <v>17</v>
      </c>
      <c r="U38" s="719">
        <f t="shared" si="11"/>
        <v>100</v>
      </c>
      <c r="V38" s="718" t="s">
        <v>17</v>
      </c>
      <c r="W38" s="719">
        <f t="shared" si="12"/>
        <v>100</v>
      </c>
      <c r="X38" s="1545"/>
      <c r="Y38" s="3404"/>
      <c r="Z38" s="1546">
        <f t="shared" si="13"/>
        <v>111</v>
      </c>
      <c r="AA38" s="1543">
        <f t="shared" si="3"/>
        <v>1</v>
      </c>
      <c r="AB38" s="1543">
        <f t="shared" si="4"/>
        <v>1</v>
      </c>
      <c r="AC38" s="1543">
        <f t="shared" si="5"/>
        <v>1</v>
      </c>
    </row>
    <row r="39" spans="1:31" ht="15">
      <c r="A39" s="435"/>
      <c r="B39" s="1300">
        <v>111</v>
      </c>
      <c r="C39" s="634"/>
      <c r="D39" s="398">
        <v>100</v>
      </c>
      <c r="E39" s="634"/>
      <c r="F39" s="398">
        <f>SUMIF(118:118,E39,119:119)-SUMIF(118:118,C39,119:119)+100</f>
        <v>100</v>
      </c>
      <c r="G39" s="634"/>
      <c r="H39" s="398">
        <f>SUMIF(118:118,G39,119:119)-SUMIF(118:118,C39,119:119)+100</f>
        <v>100</v>
      </c>
      <c r="I39" s="510"/>
      <c r="J39" s="398">
        <f>SUMIF(118:118,I39,119:119)-SUMIF(118:118,C39,119:119)+100</f>
        <v>100</v>
      </c>
      <c r="K39" s="574"/>
      <c r="L39" s="2954"/>
      <c r="M39" s="2948"/>
      <c r="N39" s="2948"/>
      <c r="O39" s="3006"/>
      <c r="P39" s="3404"/>
      <c r="Q39" s="1542">
        <f t="shared" si="14"/>
        <v>111</v>
      </c>
      <c r="R39" s="718" t="s">
        <v>17</v>
      </c>
      <c r="S39" s="719">
        <f t="shared" si="10"/>
        <v>100</v>
      </c>
      <c r="T39" s="718" t="s">
        <v>17</v>
      </c>
      <c r="U39" s="719">
        <f t="shared" si="11"/>
        <v>100</v>
      </c>
      <c r="V39" s="718" t="s">
        <v>17</v>
      </c>
      <c r="W39" s="719">
        <f t="shared" si="12"/>
        <v>100</v>
      </c>
      <c r="X39" s="1545"/>
      <c r="Y39" s="3404"/>
      <c r="Z39" s="1546">
        <f t="shared" si="13"/>
        <v>111</v>
      </c>
      <c r="AA39" s="1543">
        <f t="shared" si="3"/>
        <v>1</v>
      </c>
      <c r="AB39" s="1543">
        <f t="shared" si="4"/>
        <v>1</v>
      </c>
      <c r="AC39" s="1543">
        <f t="shared" si="5"/>
        <v>1</v>
      </c>
    </row>
    <row r="40" spans="1:31" s="434" customFormat="1" ht="15.6" thickBot="1">
      <c r="A40" s="431"/>
      <c r="B40" s="1300">
        <v>111</v>
      </c>
      <c r="C40" s="2173"/>
      <c r="D40" s="137">
        <v>100</v>
      </c>
      <c r="E40" s="634"/>
      <c r="F40" s="401">
        <f>SUMIF(120:120,E40,121:121)-SUMIF(120:120,C40,121:121)+100</f>
        <v>100</v>
      </c>
      <c r="G40" s="634"/>
      <c r="H40" s="401">
        <f>SUMIF(120:120,G40,121:121)-SUMIF(120:120,C40,121:121)+100</f>
        <v>100</v>
      </c>
      <c r="I40" s="510"/>
      <c r="J40" s="401">
        <f>SUMIF(120:120,I40,121:121)-SUMIF(120:120,C40,121:121)+100</f>
        <v>100</v>
      </c>
      <c r="K40" s="641"/>
      <c r="L40" s="2953"/>
      <c r="M40" s="2955"/>
      <c r="N40" s="2955"/>
      <c r="O40" s="3007"/>
      <c r="P40" s="3404"/>
      <c r="Q40" s="1542">
        <f t="shared" si="14"/>
        <v>111</v>
      </c>
      <c r="R40" s="721" t="s">
        <v>17</v>
      </c>
      <c r="S40" s="722">
        <f t="shared" si="10"/>
        <v>100</v>
      </c>
      <c r="T40" s="721" t="s">
        <v>17</v>
      </c>
      <c r="U40" s="722">
        <f t="shared" si="11"/>
        <v>100</v>
      </c>
      <c r="V40" s="721" t="s">
        <v>17</v>
      </c>
      <c r="W40" s="722">
        <f t="shared" si="12"/>
        <v>100</v>
      </c>
      <c r="X40" s="723"/>
      <c r="Y40" s="3404"/>
      <c r="Z40" s="724">
        <f t="shared" si="13"/>
        <v>111</v>
      </c>
      <c r="AA40" s="1543">
        <f t="shared" si="3"/>
        <v>1</v>
      </c>
      <c r="AB40" s="1543">
        <f t="shared" si="4"/>
        <v>1</v>
      </c>
      <c r="AC40" s="1543">
        <f t="shared" si="5"/>
        <v>1</v>
      </c>
    </row>
    <row r="41" spans="1:31" ht="14.4">
      <c r="A41" s="442" t="s">
        <v>2550</v>
      </c>
      <c r="B41" s="2174" t="s">
        <v>4401</v>
      </c>
      <c r="C41" s="642" t="s">
        <v>1</v>
      </c>
      <c r="D41" s="444"/>
      <c r="E41" s="445">
        <f>入表前修正!Y259</f>
        <v>1877</v>
      </c>
      <c r="F41" s="446"/>
      <c r="G41" s="447">
        <f>入表前修正!AA259</f>
        <v>2208</v>
      </c>
      <c r="H41" s="448"/>
      <c r="I41" s="445">
        <f>入表前修正!AC259</f>
        <v>1656</v>
      </c>
      <c r="J41" s="448"/>
      <c r="K41" s="727"/>
      <c r="L41" s="2956"/>
      <c r="M41" s="2948"/>
      <c r="N41" s="2948"/>
      <c r="O41" s="2957"/>
      <c r="P41" s="3397" t="str">
        <f>A41</f>
        <v>成交单价</v>
      </c>
      <c r="Q41" s="3397"/>
      <c r="R41" s="3392">
        <f>E41</f>
        <v>1877</v>
      </c>
      <c r="S41" s="3392"/>
      <c r="T41" s="3392">
        <f>G41</f>
        <v>2208</v>
      </c>
      <c r="U41" s="3392"/>
      <c r="V41" s="3392">
        <f>I41</f>
        <v>1656</v>
      </c>
      <c r="W41" s="3392"/>
      <c r="X41" s="703"/>
      <c r="Y41" s="725"/>
      <c r="Z41" s="703"/>
      <c r="AA41" s="703"/>
      <c r="AB41" s="703"/>
      <c r="AC41" s="703"/>
    </row>
    <row r="42" spans="1:31" ht="15" thickBot="1">
      <c r="A42" s="449" t="s">
        <v>2499</v>
      </c>
      <c r="B42" s="643"/>
      <c r="C42" s="452">
        <f>R43</f>
        <v>1643</v>
      </c>
      <c r="D42" s="2544" t="s">
        <v>2891</v>
      </c>
      <c r="E42" s="452">
        <f>R42</f>
        <v>1613</v>
      </c>
      <c r="F42" s="2545"/>
      <c r="G42" s="451">
        <f>T42</f>
        <v>1870</v>
      </c>
      <c r="H42" s="2545"/>
      <c r="I42" s="452">
        <f>V42</f>
        <v>1445</v>
      </c>
      <c r="J42" s="2545"/>
      <c r="K42" s="2547">
        <f>F42+H42+J42</f>
        <v>0</v>
      </c>
      <c r="L42" s="2956"/>
      <c r="M42" s="2948"/>
      <c r="N42" s="2948"/>
      <c r="O42" s="2957"/>
      <c r="P42" s="3397" t="str">
        <f>A42</f>
        <v>比较价值（元/平方米）</v>
      </c>
      <c r="Q42" s="3397"/>
      <c r="R42" s="3425">
        <f>ROUND(PRODUCT(R41,AA7:AA40),0)</f>
        <v>1613</v>
      </c>
      <c r="S42" s="3425"/>
      <c r="T42" s="3425">
        <f>ROUND(PRODUCT(T41,AB7:AB40),0)</f>
        <v>1870</v>
      </c>
      <c r="U42" s="3425"/>
      <c r="V42" s="3425">
        <f>ROUND(PRODUCT(V41,AC7:AC40),0)</f>
        <v>1445</v>
      </c>
      <c r="W42" s="3425"/>
      <c r="X42" s="703"/>
      <c r="Y42" s="703"/>
      <c r="Z42" s="703"/>
      <c r="AA42" s="703"/>
      <c r="AB42" s="703"/>
      <c r="AC42" s="703"/>
    </row>
    <row r="43" spans="1:31" ht="15" thickBot="1">
      <c r="A43" s="453" t="s">
        <v>2500</v>
      </c>
      <c r="B43" s="454"/>
      <c r="C43" s="455">
        <f>R43</f>
        <v>1643</v>
      </c>
      <c r="D43" s="455"/>
      <c r="E43" s="455"/>
      <c r="F43" s="455"/>
      <c r="G43" s="455"/>
      <c r="H43" s="455"/>
      <c r="I43" s="455"/>
      <c r="J43" s="455"/>
      <c r="K43" s="728"/>
      <c r="L43" s="2956"/>
      <c r="M43" s="2948"/>
      <c r="N43" s="2948"/>
      <c r="O43" s="2957"/>
      <c r="P43" s="3394" t="str">
        <f>A43</f>
        <v>估价对象XX用房的比较价值（楼面单价，元/平方米）</v>
      </c>
      <c r="Q43" s="3395"/>
      <c r="R43" s="3426">
        <f>ROUND(IF(D42="简单平均",AVERAGE(R42:W42),R42*F42+T42*H42+V42*J42),0)</f>
        <v>1643</v>
      </c>
      <c r="S43" s="3426"/>
      <c r="T43" s="3426"/>
      <c r="U43" s="3426"/>
      <c r="V43" s="3426"/>
      <c r="W43" s="3426"/>
      <c r="X43" s="703"/>
      <c r="Y43" s="703"/>
      <c r="Z43" s="703"/>
      <c r="AA43" s="703"/>
      <c r="AB43" s="703"/>
      <c r="AC43" s="703"/>
    </row>
    <row r="44" spans="1:31">
      <c r="A44" s="2957"/>
      <c r="B44" s="2957"/>
      <c r="C44" s="2957"/>
      <c r="D44" s="2957"/>
      <c r="E44" s="2957"/>
      <c r="F44" s="2957"/>
      <c r="G44" s="2961"/>
      <c r="H44" s="2957"/>
      <c r="I44" s="2957"/>
      <c r="J44" s="2957"/>
      <c r="K44" s="2962"/>
      <c r="L44" s="2958"/>
      <c r="M44" s="2948"/>
      <c r="N44" s="2948"/>
      <c r="O44" s="2957"/>
      <c r="P44" s="2957"/>
      <c r="Q44" s="2957"/>
      <c r="R44" s="2957"/>
      <c r="S44" s="2957"/>
      <c r="T44" s="2957"/>
      <c r="U44" s="2957"/>
      <c r="V44" s="2957"/>
      <c r="W44" s="2957"/>
      <c r="X44" s="2957"/>
      <c r="Y44" s="2957"/>
      <c r="Z44" s="2957"/>
      <c r="AA44" s="2957"/>
      <c r="AB44" s="2957"/>
      <c r="AC44" s="2957"/>
      <c r="AD44" s="2957"/>
      <c r="AE44" s="2957"/>
    </row>
    <row r="45" spans="1:31">
      <c r="A45" s="2957"/>
      <c r="B45" s="2957"/>
      <c r="C45" s="2957"/>
      <c r="D45" s="2957"/>
      <c r="E45" s="2957"/>
      <c r="F45" s="2957"/>
      <c r="G45" s="2957"/>
      <c r="H45" s="2957"/>
      <c r="I45" s="2957"/>
      <c r="J45" s="2957"/>
      <c r="K45" s="2962"/>
      <c r="L45" s="2958"/>
      <c r="M45" s="2948"/>
      <c r="N45" s="2948"/>
      <c r="O45" s="2957"/>
      <c r="P45" s="2957"/>
      <c r="Q45" s="2957"/>
      <c r="R45" s="2957"/>
      <c r="S45" s="2957"/>
      <c r="T45" s="2957"/>
      <c r="U45" s="2957"/>
      <c r="V45" s="2957"/>
      <c r="W45" s="2957"/>
      <c r="X45" s="2957"/>
      <c r="Y45" s="2957"/>
      <c r="Z45" s="2957"/>
      <c r="AA45" s="2957"/>
      <c r="AB45" s="2957"/>
      <c r="AC45" s="2957"/>
      <c r="AD45" s="2957"/>
      <c r="AE45" s="2957"/>
    </row>
    <row r="46" spans="1:31" ht="13.5" customHeight="1">
      <c r="A46" s="2957"/>
      <c r="B46" s="2957"/>
      <c r="C46" s="458" t="s">
        <v>2501</v>
      </c>
      <c r="D46" s="459"/>
      <c r="E46" s="460">
        <f>IF(E41&lt;E42,E42/E41-1,E41/E42-1)</f>
        <v>0.16367017978921261</v>
      </c>
      <c r="F46" s="461" t="str">
        <f>IF(OR(E46&gt;=0.3,E46&lt;=-0.3),"超过30%","")</f>
        <v/>
      </c>
      <c r="G46" s="460">
        <f>IF(G41&lt;G42,G42/G41-1,G41/G42-1)</f>
        <v>0.1807486631016042</v>
      </c>
      <c r="H46" s="461" t="str">
        <f>IF(OR(G46&gt;=0.3,G46&lt;=-0.3),"超过30%","")</f>
        <v/>
      </c>
      <c r="I46" s="460">
        <f>IF(I41&lt;I42,I42/I41-1,I41/I42-1)</f>
        <v>0.14602076124567476</v>
      </c>
      <c r="J46" s="461" t="str">
        <f>IF(OR(I46&gt;=0.3,I46&lt;=-0.3),"超过30%","")</f>
        <v/>
      </c>
      <c r="K46" s="2962"/>
      <c r="L46" s="2958"/>
      <c r="M46" s="2948"/>
      <c r="N46" s="2948"/>
      <c r="O46" s="2957"/>
      <c r="P46" s="2957"/>
      <c r="Q46" s="2957"/>
      <c r="R46" s="2957"/>
      <c r="S46" s="2957"/>
      <c r="T46" s="2957"/>
      <c r="U46" s="2957"/>
      <c r="V46" s="2957"/>
      <c r="W46" s="2957"/>
      <c r="X46" s="2957"/>
      <c r="Y46" s="2957"/>
      <c r="Z46" s="2957"/>
      <c r="AA46" s="2957"/>
      <c r="AB46" s="2957"/>
      <c r="AC46" s="2957"/>
      <c r="AD46" s="2957"/>
      <c r="AE46" s="2957"/>
    </row>
    <row r="47" spans="1:31" ht="13.5" customHeight="1">
      <c r="A47" s="2957"/>
      <c r="B47" s="2957"/>
      <c r="C47" s="458" t="s">
        <v>2502</v>
      </c>
      <c r="D47" s="462"/>
      <c r="E47" s="460">
        <f>IF(E42&lt;G42,G42/E42-1,E42/G42-1)</f>
        <v>0.15933044017358955</v>
      </c>
      <c r="F47" s="461" t="str">
        <f>IF(OR(E47&gt;=0.2,E47&lt;=-0.2),"超过20%","")</f>
        <v/>
      </c>
      <c r="G47" s="460">
        <f>IF(G42&lt;I42,I42/G42-1,G42/I42-1)</f>
        <v>0.29411764705882359</v>
      </c>
      <c r="H47" s="461" t="str">
        <f>IF(OR(G47&gt;=0.2,G47&lt;=-0.2),"超过20%","")</f>
        <v>超过20%</v>
      </c>
      <c r="I47" s="460">
        <f>IF(I42&lt;E42,E42/I42-1,I42/E42-1)</f>
        <v>0.11626297577854672</v>
      </c>
      <c r="J47" s="461" t="str">
        <f>IF(OR(I47&gt;=0.2,I47&lt;=-0.2),"超过20%","")</f>
        <v/>
      </c>
      <c r="K47" s="2962"/>
      <c r="L47" s="2958"/>
      <c r="M47" s="2957"/>
      <c r="N47" s="2957"/>
      <c r="O47" s="2957"/>
      <c r="P47" s="2957"/>
      <c r="Q47" s="2957"/>
      <c r="R47" s="2957"/>
      <c r="S47" s="2957"/>
      <c r="T47" s="2957"/>
      <c r="U47" s="2957"/>
      <c r="V47" s="2957"/>
      <c r="W47" s="2957"/>
      <c r="X47" s="2957"/>
      <c r="Y47" s="2957"/>
      <c r="Z47" s="2957"/>
      <c r="AA47" s="2957"/>
      <c r="AB47" s="2957"/>
      <c r="AC47" s="2957"/>
      <c r="AD47" s="2957"/>
      <c r="AE47" s="2957"/>
    </row>
    <row r="48" spans="1:31" s="463" customFormat="1" ht="13.5" customHeight="1">
      <c r="A48" s="2960"/>
      <c r="B48" s="2960"/>
      <c r="C48" s="458" t="s">
        <v>2503</v>
      </c>
      <c r="D48" s="462"/>
      <c r="E48" s="460">
        <f>IF(E41&lt;G41,G41/E41-1,E41/G41-1)</f>
        <v>0.17634523175279693</v>
      </c>
      <c r="F48" s="461" t="str">
        <f>IF(OR(E48&gt;=0.3,E48&lt;=-0.3),"超过30%","")</f>
        <v/>
      </c>
      <c r="G48" s="460">
        <f>IF(G41&lt;I41,I41/G41-1,G41/I41-1)</f>
        <v>0.33333333333333326</v>
      </c>
      <c r="H48" s="461" t="str">
        <f>IF(OR(G48&gt;=0.3,G48&lt;=-0.3),"超过30%","")</f>
        <v>超过30%</v>
      </c>
      <c r="I48" s="460">
        <f>IF(I41&lt;E41,E41/I41-1,I41/E41-1)</f>
        <v>0.13345410628019327</v>
      </c>
      <c r="J48" s="461" t="str">
        <f>IF(OR(I48&gt;=0.3,I48&lt;=-0.3),"超过30%","")</f>
        <v/>
      </c>
      <c r="K48" s="2965"/>
      <c r="L48" s="2959"/>
      <c r="M48" s="2960"/>
      <c r="N48" s="2960"/>
      <c r="O48" s="2960"/>
      <c r="P48" s="2960"/>
      <c r="Q48" s="2960"/>
      <c r="R48" s="2960"/>
      <c r="S48" s="2960"/>
      <c r="T48" s="2960"/>
      <c r="U48" s="2960"/>
      <c r="V48" s="2960"/>
      <c r="W48" s="2960"/>
      <c r="X48" s="2960"/>
      <c r="Y48" s="2960"/>
      <c r="Z48" s="2960"/>
      <c r="AA48" s="2960"/>
      <c r="AB48" s="2960"/>
      <c r="AC48" s="2960"/>
      <c r="AD48" s="2960"/>
      <c r="AE48" s="2960"/>
    </row>
    <row r="49" spans="1:31" s="463" customFormat="1" ht="14.4" thickBot="1">
      <c r="A49" s="2960"/>
      <c r="B49" s="2963"/>
      <c r="C49" s="706"/>
      <c r="D49" s="704"/>
      <c r="E49" s="704"/>
      <c r="F49" s="704"/>
      <c r="G49" s="704"/>
      <c r="H49" s="704"/>
      <c r="I49" s="704"/>
      <c r="J49" s="704"/>
      <c r="K49" s="2965"/>
      <c r="L49" s="2959"/>
      <c r="M49" s="2960"/>
      <c r="N49" s="2960"/>
      <c r="O49" s="2960"/>
      <c r="P49" s="2960"/>
      <c r="Q49" s="2960"/>
      <c r="R49" s="2960"/>
      <c r="S49" s="2960"/>
      <c r="T49" s="2960"/>
      <c r="U49" s="2960"/>
      <c r="V49" s="2960"/>
      <c r="W49" s="2960"/>
      <c r="X49" s="2960"/>
      <c r="Y49" s="2960"/>
      <c r="Z49" s="2960"/>
      <c r="AA49" s="2960"/>
      <c r="AB49" s="2960"/>
      <c r="AC49" s="2960"/>
      <c r="AD49" s="2960"/>
      <c r="AE49" s="2960"/>
    </row>
    <row r="50" spans="1:31" ht="28.8">
      <c r="A50" s="644" t="s">
        <v>2588</v>
      </c>
      <c r="B50" s="645" t="s">
        <v>2589</v>
      </c>
      <c r="C50" s="2175" t="s">
        <v>2590</v>
      </c>
      <c r="D50" s="2176" t="s">
        <v>2591</v>
      </c>
      <c r="E50" s="646" t="s">
        <v>2592</v>
      </c>
      <c r="F50" s="647" t="s">
        <v>2593</v>
      </c>
      <c r="G50" s="3380" t="s">
        <v>2594</v>
      </c>
      <c r="H50" s="3427"/>
      <c r="I50" s="1546" t="s">
        <v>2630</v>
      </c>
      <c r="J50" s="1546">
        <f>项目基本情况!F35</f>
        <v>0</v>
      </c>
      <c r="K50" s="2178" t="s">
        <v>2596</v>
      </c>
      <c r="L50" s="2958"/>
      <c r="M50" s="2957"/>
      <c r="N50" s="2957"/>
      <c r="O50" s="2957"/>
      <c r="P50" s="2957"/>
      <c r="Q50" s="2957"/>
      <c r="R50" s="2957"/>
      <c r="S50" s="2957"/>
      <c r="T50" s="2957"/>
      <c r="U50" s="2957"/>
      <c r="V50" s="2957"/>
      <c r="W50" s="2957"/>
      <c r="X50" s="2957"/>
      <c r="Y50" s="2957"/>
      <c r="Z50" s="2957"/>
      <c r="AA50" s="2957"/>
      <c r="AB50" s="2957"/>
      <c r="AC50" s="2957"/>
      <c r="AD50" s="2957"/>
      <c r="AE50" s="2957"/>
    </row>
    <row r="51" spans="1:31" s="652" customFormat="1">
      <c r="A51" s="648" t="s">
        <v>2597</v>
      </c>
      <c r="B51" s="649">
        <f>C43</f>
        <v>1643</v>
      </c>
      <c r="C51" s="650">
        <v>1</v>
      </c>
      <c r="D51" s="1079">
        <v>1</v>
      </c>
      <c r="E51" s="650">
        <f>'数据-汇总表'!E8+'数据-汇总表'!E9</f>
        <v>8640.14</v>
      </c>
      <c r="F51" s="651">
        <f t="shared" ref="F51:F60" si="15">ROUND(B51*E51/10000,0)</f>
        <v>1420</v>
      </c>
      <c r="G51" s="3379"/>
      <c r="H51" s="3397"/>
      <c r="I51" s="883">
        <v>1</v>
      </c>
      <c r="J51" s="883">
        <v>1</v>
      </c>
      <c r="K51" s="2960"/>
      <c r="L51" s="3014"/>
      <c r="M51" s="3014"/>
      <c r="N51" s="3014"/>
      <c r="O51" s="3014"/>
      <c r="P51" s="3014"/>
      <c r="Q51" s="3014"/>
      <c r="R51" s="3014"/>
      <c r="S51" s="3014"/>
      <c r="T51" s="3014"/>
      <c r="U51" s="3014"/>
      <c r="V51" s="3014"/>
      <c r="W51" s="3014"/>
      <c r="X51" s="3014"/>
      <c r="Y51" s="3014"/>
      <c r="Z51" s="3014"/>
      <c r="AA51" s="3014"/>
      <c r="AB51" s="3014"/>
      <c r="AC51" s="3014"/>
      <c r="AD51" s="3014"/>
      <c r="AE51" s="3014"/>
    </row>
    <row r="52" spans="1:31" s="652" customFormat="1">
      <c r="A52" s="653" t="s">
        <v>2598</v>
      </c>
      <c r="B52" s="228">
        <f>ROUND($C$43*C52*D52,0)</f>
        <v>0</v>
      </c>
      <c r="C52" s="180">
        <f t="shared" ref="C52:C60" si="16">IF($C$50="北京市系数",I52,J52)</f>
        <v>0</v>
      </c>
      <c r="D52" s="1080">
        <v>0.25</v>
      </c>
      <c r="E52" s="654"/>
      <c r="F52" s="651">
        <f t="shared" si="15"/>
        <v>0</v>
      </c>
      <c r="G52" s="3428" t="s">
        <v>2599</v>
      </c>
      <c r="H52" s="1022">
        <f>项目基本情况!B37</f>
        <v>0</v>
      </c>
      <c r="I52" s="883">
        <f>SUMIF(修正!A45:A56,H52,修正!B45:B56)</f>
        <v>0</v>
      </c>
      <c r="J52" s="884"/>
      <c r="K52" s="2957"/>
      <c r="L52" s="3014"/>
      <c r="M52" s="3014"/>
      <c r="N52" s="3014"/>
      <c r="O52" s="3014"/>
      <c r="P52" s="3014"/>
      <c r="Q52" s="3014"/>
      <c r="R52" s="3014"/>
      <c r="S52" s="3014"/>
      <c r="T52" s="3014"/>
      <c r="U52" s="3014"/>
      <c r="V52" s="3014"/>
      <c r="W52" s="3014"/>
      <c r="X52" s="3014"/>
      <c r="Y52" s="3014"/>
      <c r="Z52" s="3014"/>
      <c r="AA52" s="3014"/>
      <c r="AB52" s="3014"/>
      <c r="AC52" s="3014"/>
      <c r="AD52" s="3014"/>
      <c r="AE52" s="3014"/>
    </row>
    <row r="53" spans="1:31" s="652" customFormat="1">
      <c r="A53" s="653" t="s">
        <v>2600</v>
      </c>
      <c r="B53" s="228">
        <f t="shared" ref="B53:B60" si="17">ROUND($C$43*C53*D53,0)</f>
        <v>0</v>
      </c>
      <c r="C53" s="180">
        <f t="shared" si="16"/>
        <v>0</v>
      </c>
      <c r="D53" s="1080">
        <v>0.25</v>
      </c>
      <c r="E53" s="654"/>
      <c r="F53" s="651">
        <f t="shared" si="15"/>
        <v>0</v>
      </c>
      <c r="G53" s="3428"/>
      <c r="H53" s="1022">
        <f>项目基本情况!B37</f>
        <v>0</v>
      </c>
      <c r="I53" s="883">
        <f>SUMIF(修正!A45:A56,H53,修正!C45:C56)</f>
        <v>0</v>
      </c>
      <c r="J53" s="884"/>
      <c r="K53" s="2960"/>
      <c r="L53" s="3014"/>
      <c r="M53" s="3014"/>
      <c r="N53" s="3014"/>
      <c r="O53" s="3014"/>
      <c r="P53" s="3014"/>
      <c r="Q53" s="3014"/>
      <c r="R53" s="3014"/>
      <c r="S53" s="3014"/>
      <c r="T53" s="3014"/>
      <c r="U53" s="3014"/>
      <c r="V53" s="3014"/>
      <c r="W53" s="3014"/>
      <c r="X53" s="3014"/>
      <c r="Y53" s="3014"/>
      <c r="Z53" s="3014"/>
      <c r="AA53" s="3014"/>
      <c r="AB53" s="3014"/>
      <c r="AC53" s="3014"/>
      <c r="AD53" s="3014"/>
      <c r="AE53" s="3014"/>
    </row>
    <row r="54" spans="1:31" s="652" customFormat="1">
      <c r="A54" s="653" t="s">
        <v>2601</v>
      </c>
      <c r="B54" s="228">
        <f t="shared" si="17"/>
        <v>0</v>
      </c>
      <c r="C54" s="180">
        <f t="shared" si="16"/>
        <v>0</v>
      </c>
      <c r="D54" s="1080">
        <v>0.25</v>
      </c>
      <c r="E54" s="654"/>
      <c r="F54" s="651">
        <f t="shared" si="15"/>
        <v>0</v>
      </c>
      <c r="G54" s="3428"/>
      <c r="H54" s="1022">
        <f>项目基本情况!B37</f>
        <v>0</v>
      </c>
      <c r="I54" s="883">
        <f>SUMIF(修正!A45:A56,H54,修正!D45:D56)</f>
        <v>0</v>
      </c>
      <c r="J54" s="884"/>
      <c r="K54" s="2957"/>
      <c r="L54" s="3014"/>
      <c r="M54" s="3014"/>
      <c r="N54" s="3014"/>
      <c r="O54" s="3014"/>
      <c r="P54" s="3014"/>
      <c r="Q54" s="3014"/>
      <c r="R54" s="3014"/>
      <c r="S54" s="3014"/>
      <c r="T54" s="3014"/>
      <c r="U54" s="3014"/>
      <c r="V54" s="3014"/>
      <c r="W54" s="3014"/>
      <c r="X54" s="3014"/>
      <c r="Y54" s="3014"/>
      <c r="Z54" s="3014"/>
      <c r="AA54" s="3014"/>
      <c r="AB54" s="3014"/>
      <c r="AC54" s="3014"/>
      <c r="AD54" s="3014"/>
      <c r="AE54" s="3014"/>
    </row>
    <row r="55" spans="1:31" s="652" customFormat="1">
      <c r="A55" s="653" t="s">
        <v>2602</v>
      </c>
      <c r="B55" s="228">
        <f t="shared" si="17"/>
        <v>0</v>
      </c>
      <c r="C55" s="180">
        <f t="shared" si="16"/>
        <v>0</v>
      </c>
      <c r="D55" s="1080">
        <v>0.25</v>
      </c>
      <c r="E55" s="654"/>
      <c r="F55" s="651">
        <f t="shared" si="15"/>
        <v>0</v>
      </c>
      <c r="G55" s="3428"/>
      <c r="H55" s="1022">
        <f>项目基本情况!B37</f>
        <v>0</v>
      </c>
      <c r="I55" s="883">
        <f>SUMIF(修正!A45:A56,H55,修正!E45:E56)</f>
        <v>0</v>
      </c>
      <c r="J55" s="884"/>
      <c r="K55" s="2960"/>
      <c r="L55" s="3014"/>
      <c r="M55" s="3014"/>
      <c r="N55" s="3014"/>
      <c r="O55" s="3014"/>
      <c r="P55" s="3014"/>
      <c r="Q55" s="3014"/>
      <c r="R55" s="3014"/>
      <c r="S55" s="3014"/>
      <c r="T55" s="3014"/>
      <c r="U55" s="3014"/>
      <c r="V55" s="3014"/>
      <c r="W55" s="3014"/>
      <c r="X55" s="3014"/>
      <c r="Y55" s="3014"/>
      <c r="Z55" s="3014"/>
      <c r="AA55" s="3014"/>
      <c r="AB55" s="3014"/>
      <c r="AC55" s="3014"/>
      <c r="AD55" s="3014"/>
      <c r="AE55" s="3014"/>
    </row>
    <row r="56" spans="1:31" s="652" customFormat="1">
      <c r="A56" s="653" t="s">
        <v>2603</v>
      </c>
      <c r="B56" s="228">
        <f t="shared" si="17"/>
        <v>0</v>
      </c>
      <c r="C56" s="180">
        <f t="shared" si="16"/>
        <v>0</v>
      </c>
      <c r="D56" s="1080">
        <v>0.25</v>
      </c>
      <c r="E56" s="227">
        <f>'数据-汇总表'!E11</f>
        <v>0</v>
      </c>
      <c r="F56" s="651">
        <f t="shared" si="15"/>
        <v>0</v>
      </c>
      <c r="G56" s="2179" t="s">
        <v>2604</v>
      </c>
      <c r="H56" s="1022">
        <f>项目基本情况!C37</f>
        <v>0</v>
      </c>
      <c r="I56" s="883">
        <f>SUMIF(修正!A45:A56,H56,修正!F45:F56)</f>
        <v>0</v>
      </c>
      <c r="J56" s="884"/>
      <c r="K56" s="2957"/>
      <c r="L56" s="3014"/>
      <c r="M56" s="3014"/>
      <c r="N56" s="3014"/>
      <c r="O56" s="3014"/>
      <c r="P56" s="3014"/>
      <c r="Q56" s="3014"/>
      <c r="R56" s="3014"/>
      <c r="S56" s="3014"/>
      <c r="T56" s="3014"/>
      <c r="U56" s="3014"/>
      <c r="V56" s="3014"/>
      <c r="W56" s="3014"/>
      <c r="X56" s="3014"/>
      <c r="Y56" s="3014"/>
      <c r="Z56" s="3014"/>
      <c r="AA56" s="3014"/>
      <c r="AB56" s="3014"/>
      <c r="AC56" s="3014"/>
      <c r="AD56" s="3014"/>
      <c r="AE56" s="3014"/>
    </row>
    <row r="57" spans="1:31" s="652" customFormat="1">
      <c r="A57" s="653" t="s">
        <v>2605</v>
      </c>
      <c r="B57" s="228">
        <f t="shared" si="17"/>
        <v>0</v>
      </c>
      <c r="C57" s="180">
        <f t="shared" si="16"/>
        <v>0</v>
      </c>
      <c r="D57" s="1080">
        <v>0.25</v>
      </c>
      <c r="E57" s="227">
        <f>'数据-汇总表'!E12</f>
        <v>0</v>
      </c>
      <c r="F57" s="651">
        <f t="shared" si="15"/>
        <v>0</v>
      </c>
      <c r="G57" s="1027" t="s">
        <v>2606</v>
      </c>
      <c r="H57" s="1022">
        <f>IF(G57="商业",项目基本情况!B37,IF(G57="办公",项目基本情况!C37,IF(G57="住宅",项目基本情况!D37,项目基本情况!E37)))</f>
        <v>0</v>
      </c>
      <c r="I57" s="883">
        <f>SUMIF(修正!A45:A56,H57,修正!G45:G56)</f>
        <v>0</v>
      </c>
      <c r="J57" s="884"/>
      <c r="K57" s="2960"/>
      <c r="L57" s="3014"/>
      <c r="M57" s="3014"/>
      <c r="N57" s="3014"/>
      <c r="O57" s="3014"/>
      <c r="P57" s="3014"/>
      <c r="Q57" s="3014"/>
      <c r="R57" s="3014"/>
      <c r="S57" s="3014"/>
      <c r="T57" s="3014"/>
      <c r="U57" s="3014"/>
      <c r="V57" s="3014"/>
      <c r="W57" s="3014"/>
      <c r="X57" s="3014"/>
      <c r="Y57" s="3014"/>
      <c r="Z57" s="3014"/>
      <c r="AA57" s="3014"/>
      <c r="AB57" s="3014"/>
      <c r="AC57" s="3014"/>
      <c r="AD57" s="3014"/>
      <c r="AE57" s="3014"/>
    </row>
    <row r="58" spans="1:31" s="652" customFormat="1">
      <c r="A58" s="653" t="s">
        <v>2607</v>
      </c>
      <c r="B58" s="228">
        <f t="shared" si="17"/>
        <v>0</v>
      </c>
      <c r="C58" s="180">
        <f t="shared" si="16"/>
        <v>0</v>
      </c>
      <c r="D58" s="1080">
        <v>0.25</v>
      </c>
      <c r="E58" s="227">
        <f>'数据-汇总表'!E13</f>
        <v>0</v>
      </c>
      <c r="F58" s="651">
        <f t="shared" si="15"/>
        <v>0</v>
      </c>
      <c r="G58" s="1027" t="s">
        <v>2608</v>
      </c>
      <c r="H58" s="1022">
        <f>IF(G58="商业",项目基本情况!B37,IF(G58="办公",项目基本情况!C37,IF(G58="住宅",项目基本情况!D37,项目基本情况!E37)))</f>
        <v>0</v>
      </c>
      <c r="I58" s="883">
        <f>SUMIF(修正!A45:A56,H58,修正!H45:H56)</f>
        <v>0</v>
      </c>
      <c r="J58" s="884"/>
      <c r="K58" s="2957"/>
      <c r="L58" s="3014"/>
      <c r="M58" s="3014"/>
      <c r="N58" s="3014"/>
      <c r="O58" s="3014"/>
      <c r="P58" s="3014"/>
      <c r="Q58" s="3014"/>
      <c r="R58" s="3014"/>
      <c r="S58" s="3014"/>
      <c r="T58" s="3014"/>
      <c r="U58" s="3014"/>
      <c r="V58" s="3014"/>
      <c r="W58" s="3014"/>
      <c r="X58" s="3014"/>
      <c r="Y58" s="3014"/>
      <c r="Z58" s="3014"/>
      <c r="AA58" s="3014"/>
      <c r="AB58" s="3014"/>
      <c r="AC58" s="3014"/>
      <c r="AD58" s="3014"/>
      <c r="AE58" s="3014"/>
    </row>
    <row r="59" spans="1:31" s="652" customFormat="1">
      <c r="A59" s="653" t="s">
        <v>2609</v>
      </c>
      <c r="B59" s="228">
        <f t="shared" si="17"/>
        <v>0</v>
      </c>
      <c r="C59" s="180">
        <f t="shared" si="16"/>
        <v>0</v>
      </c>
      <c r="D59" s="1080">
        <v>0.25</v>
      </c>
      <c r="E59" s="227">
        <f>'数据-汇总表'!E14</f>
        <v>0</v>
      </c>
      <c r="F59" s="651">
        <f t="shared" si="15"/>
        <v>0</v>
      </c>
      <c r="G59" s="2179" t="s">
        <v>2599</v>
      </c>
      <c r="H59" s="1022">
        <f>项目基本情况!B37</f>
        <v>0</v>
      </c>
      <c r="I59" s="883">
        <f>SUMIF(修正!A45:A56,H59,修正!H45:H56)</f>
        <v>0</v>
      </c>
      <c r="J59" s="884"/>
      <c r="K59" s="2960"/>
      <c r="L59" s="3014"/>
      <c r="M59" s="3014"/>
      <c r="N59" s="3014"/>
      <c r="O59" s="3014"/>
      <c r="P59" s="3014"/>
      <c r="Q59" s="3014"/>
      <c r="R59" s="3014"/>
      <c r="S59" s="3014"/>
      <c r="T59" s="3014"/>
      <c r="U59" s="3014"/>
      <c r="V59" s="3014"/>
      <c r="W59" s="3014"/>
      <c r="X59" s="3014"/>
      <c r="Y59" s="3014"/>
      <c r="Z59" s="3014"/>
      <c r="AA59" s="3014"/>
      <c r="AB59" s="3014"/>
      <c r="AC59" s="3014"/>
      <c r="AD59" s="3014"/>
      <c r="AE59" s="3014"/>
    </row>
    <row r="60" spans="1:31" s="652" customFormat="1" ht="14.4" thickBot="1">
      <c r="A60" s="653" t="s">
        <v>2610</v>
      </c>
      <c r="B60" s="228">
        <f t="shared" si="17"/>
        <v>0</v>
      </c>
      <c r="C60" s="180">
        <f t="shared" si="16"/>
        <v>0</v>
      </c>
      <c r="D60" s="1080">
        <v>0.25</v>
      </c>
      <c r="E60" s="227">
        <f>'数据-汇总表'!E15</f>
        <v>0</v>
      </c>
      <c r="F60" s="651">
        <f t="shared" si="15"/>
        <v>0</v>
      </c>
      <c r="G60" s="2180" t="s">
        <v>2604</v>
      </c>
      <c r="H60" s="1032">
        <f>项目基本情况!C37</f>
        <v>0</v>
      </c>
      <c r="I60" s="883">
        <f>SUMIF(修正!A45:A56,H60,修正!H45:H56)</f>
        <v>0</v>
      </c>
      <c r="J60" s="884"/>
      <c r="K60" s="2957"/>
      <c r="L60" s="3014"/>
      <c r="M60" s="3014"/>
      <c r="N60" s="3014"/>
      <c r="O60" s="3014"/>
      <c r="P60" s="3014"/>
      <c r="Q60" s="3014"/>
      <c r="R60" s="3014"/>
      <c r="S60" s="3014"/>
      <c r="T60" s="3014"/>
      <c r="U60" s="3014"/>
      <c r="V60" s="3014"/>
      <c r="W60" s="3014"/>
      <c r="X60" s="3014"/>
      <c r="Y60" s="3014"/>
      <c r="Z60" s="3014"/>
      <c r="AA60" s="3014"/>
      <c r="AB60" s="3014"/>
      <c r="AC60" s="3014"/>
      <c r="AD60" s="3014"/>
      <c r="AE60" s="3014"/>
    </row>
    <row r="61" spans="1:31" s="652" customFormat="1" ht="14.4" thickBot="1">
      <c r="A61" s="655" t="s">
        <v>2611</v>
      </c>
      <c r="B61" s="656" t="s">
        <v>28</v>
      </c>
      <c r="C61" s="656" t="s">
        <v>29</v>
      </c>
      <c r="D61" s="656" t="s">
        <v>997</v>
      </c>
      <c r="E61" s="656">
        <f>IF(B41="楼面地价",SUM(E51:E60),'数据-汇总表'!D3)</f>
        <v>15462.6</v>
      </c>
      <c r="F61" s="657">
        <f>IF(B41="楼面地价",SUM(F51:F60),ROUND(C43*E61/10000,0))</f>
        <v>2541</v>
      </c>
      <c r="G61" s="1074"/>
      <c r="H61" s="1074"/>
      <c r="I61" s="1074"/>
      <c r="J61" s="1074"/>
      <c r="K61" s="2962"/>
      <c r="L61" s="3014"/>
      <c r="M61" s="3014"/>
      <c r="N61" s="3014"/>
      <c r="O61" s="3014"/>
      <c r="P61" s="3014"/>
      <c r="Q61" s="3014"/>
      <c r="R61" s="3014"/>
      <c r="S61" s="3014"/>
      <c r="T61" s="3014"/>
      <c r="U61" s="3014"/>
      <c r="V61" s="3014"/>
      <c r="W61" s="3014"/>
      <c r="X61" s="3014"/>
      <c r="Y61" s="3014"/>
      <c r="Z61" s="3014"/>
      <c r="AA61" s="3014"/>
      <c r="AB61" s="3014"/>
      <c r="AC61" s="3014"/>
      <c r="AD61" s="3014"/>
      <c r="AE61" s="3014"/>
    </row>
    <row r="62" spans="1:31">
      <c r="A62" s="1062"/>
      <c r="B62" s="1064"/>
      <c r="C62" s="1066"/>
      <c r="D62" s="1062"/>
      <c r="E62" s="1062"/>
      <c r="F62" s="1062"/>
      <c r="G62" s="1062"/>
      <c r="H62" s="1062"/>
      <c r="I62" s="1062"/>
      <c r="J62" s="1062"/>
      <c r="K62" s="1023"/>
      <c r="L62" s="1024"/>
      <c r="M62" s="1062"/>
      <c r="N62" s="1062"/>
      <c r="O62" s="1062"/>
      <c r="P62" s="2957"/>
      <c r="Q62" s="2957"/>
      <c r="R62" s="2957"/>
      <c r="S62" s="2957"/>
      <c r="T62" s="2957"/>
      <c r="U62" s="2957"/>
      <c r="V62" s="2957"/>
      <c r="W62" s="2957"/>
      <c r="X62" s="2957"/>
      <c r="Y62" s="2957"/>
      <c r="Z62" s="2957"/>
      <c r="AA62" s="2957"/>
      <c r="AB62" s="2957"/>
      <c r="AC62" s="2957"/>
      <c r="AD62" s="2957"/>
      <c r="AE62" s="2957"/>
    </row>
    <row r="63" spans="1:31">
      <c r="A63" s="1062"/>
      <c r="B63" s="1064"/>
      <c r="C63" s="705" t="str">
        <f>YEAR(C7)&amp;"-"&amp;MONTH(C7)&amp;"-1"</f>
        <v>2020-8-1</v>
      </c>
      <c r="D63" s="705">
        <f>EDATE(C63,-3)</f>
        <v>43952</v>
      </c>
      <c r="E63" s="705">
        <f>EDATE(D63,-3)</f>
        <v>43862</v>
      </c>
      <c r="F63" s="705">
        <f t="shared" ref="F63:O63" si="18">EDATE(E63,-3)</f>
        <v>43770</v>
      </c>
      <c r="G63" s="705">
        <f t="shared" si="18"/>
        <v>43678</v>
      </c>
      <c r="H63" s="705">
        <f t="shared" si="18"/>
        <v>43586</v>
      </c>
      <c r="I63" s="705">
        <f t="shared" si="18"/>
        <v>43497</v>
      </c>
      <c r="J63" s="705">
        <f t="shared" si="18"/>
        <v>43405</v>
      </c>
      <c r="K63" s="705">
        <f t="shared" si="18"/>
        <v>43313</v>
      </c>
      <c r="L63" s="705">
        <f t="shared" si="18"/>
        <v>43221</v>
      </c>
      <c r="M63" s="705">
        <f t="shared" si="18"/>
        <v>43132</v>
      </c>
      <c r="N63" s="705">
        <f t="shared" si="18"/>
        <v>43040</v>
      </c>
      <c r="O63" s="705">
        <f t="shared" si="18"/>
        <v>42948</v>
      </c>
      <c r="P63" s="2957"/>
      <c r="Q63" s="2957"/>
      <c r="R63" s="2957"/>
      <c r="S63" s="2957"/>
      <c r="T63" s="2957"/>
      <c r="U63" s="2957"/>
      <c r="V63" s="2957"/>
      <c r="W63" s="2957"/>
      <c r="X63" s="2957"/>
      <c r="Y63" s="2957"/>
      <c r="Z63" s="2957"/>
      <c r="AA63" s="2957"/>
      <c r="AB63" s="2957"/>
      <c r="AC63" s="2957"/>
      <c r="AD63" s="2957"/>
      <c r="AE63" s="2957"/>
    </row>
    <row r="64" spans="1:31" ht="22.2" thickBot="1">
      <c r="A64" s="707" t="s">
        <v>2504</v>
      </c>
      <c r="B64" s="703"/>
      <c r="C64" s="708"/>
      <c r="D64" s="708"/>
      <c r="E64" s="708"/>
      <c r="F64" s="709"/>
      <c r="G64" s="709"/>
      <c r="H64" s="708"/>
      <c r="I64" s="708"/>
      <c r="J64" s="708"/>
      <c r="K64" s="710"/>
      <c r="L64" s="711"/>
      <c r="M64" s="708"/>
      <c r="N64" s="708"/>
      <c r="O64" s="1075"/>
      <c r="P64" s="3001"/>
      <c r="Q64" s="2971"/>
      <c r="R64" s="2957"/>
      <c r="S64" s="2957"/>
      <c r="T64" s="2957"/>
      <c r="U64" s="2957"/>
      <c r="V64" s="2957"/>
      <c r="W64" s="2957"/>
      <c r="X64" s="2957"/>
      <c r="Y64" s="2957"/>
      <c r="Z64" s="2957"/>
      <c r="AA64" s="2957"/>
      <c r="AB64" s="2957"/>
      <c r="AC64" s="2957"/>
      <c r="AD64" s="2957"/>
      <c r="AE64" s="2957"/>
    </row>
    <row r="65" spans="1:31" s="469" customFormat="1" ht="14.4">
      <c r="A65" s="2181" t="s">
        <v>2612</v>
      </c>
      <c r="B65" s="1273"/>
      <c r="C65" s="1348" t="str">
        <f>YEAR(C63)&amp;"-"&amp;ROUNDUP(MONTH(C63)/3,0)</f>
        <v>2020-3</v>
      </c>
      <c r="D65" s="1348" t="str">
        <f t="shared" ref="D65:O65" si="19">YEAR(D63)&amp;"-"&amp;ROUNDUP(MONTH(D63)/3,0)</f>
        <v>2020-2</v>
      </c>
      <c r="E65" s="1348" t="str">
        <f t="shared" si="19"/>
        <v>2020-1</v>
      </c>
      <c r="F65" s="1348" t="str">
        <f t="shared" si="19"/>
        <v>2019-4</v>
      </c>
      <c r="G65" s="1348" t="str">
        <f t="shared" si="19"/>
        <v>2019-3</v>
      </c>
      <c r="H65" s="1348" t="str">
        <f t="shared" si="19"/>
        <v>2019-2</v>
      </c>
      <c r="I65" s="1348" t="str">
        <f t="shared" si="19"/>
        <v>2019-1</v>
      </c>
      <c r="J65" s="1348" t="str">
        <f t="shared" si="19"/>
        <v>2018-4</v>
      </c>
      <c r="K65" s="1348" t="str">
        <f t="shared" si="19"/>
        <v>2018-3</v>
      </c>
      <c r="L65" s="1348" t="str">
        <f t="shared" si="19"/>
        <v>2018-2</v>
      </c>
      <c r="M65" s="1348" t="str">
        <f t="shared" si="19"/>
        <v>2018-1</v>
      </c>
      <c r="N65" s="1348" t="str">
        <f t="shared" si="19"/>
        <v>2017-4</v>
      </c>
      <c r="O65" s="1348" t="str">
        <f t="shared" si="19"/>
        <v>2017-3</v>
      </c>
      <c r="P65" s="3008"/>
      <c r="Q65" s="2973"/>
      <c r="R65" s="2973"/>
      <c r="S65" s="2973"/>
      <c r="T65" s="2973"/>
      <c r="U65" s="2973"/>
      <c r="V65" s="2973"/>
      <c r="W65" s="2973"/>
      <c r="X65" s="2973"/>
      <c r="Y65" s="2973"/>
      <c r="Z65" s="2973"/>
      <c r="AA65" s="2973"/>
      <c r="AB65" s="2973"/>
      <c r="AC65" s="2973"/>
      <c r="AD65" s="2973"/>
      <c r="AE65" s="2973"/>
    </row>
    <row r="66" spans="1:31" s="117" customFormat="1" ht="30.75" customHeight="1">
      <c r="A66" s="2186" t="s">
        <v>2631</v>
      </c>
      <c r="B66" s="298" t="str">
        <f>"北京市平均增长率"&amp;TEXT(基准地价修正!P24,"0.00%")</f>
        <v>北京市平均增长率1.27%</v>
      </c>
      <c r="C66" s="564">
        <v>100</v>
      </c>
      <c r="D66" s="556">
        <f>C66-0.5</f>
        <v>99.5</v>
      </c>
      <c r="E66" s="556">
        <f t="shared" ref="E66:O66" si="20">D66-0.5</f>
        <v>99</v>
      </c>
      <c r="F66" s="556">
        <f t="shared" si="20"/>
        <v>98.5</v>
      </c>
      <c r="G66" s="556">
        <f t="shared" si="20"/>
        <v>98</v>
      </c>
      <c r="H66" s="556">
        <f t="shared" si="20"/>
        <v>97.5</v>
      </c>
      <c r="I66" s="556">
        <f t="shared" si="20"/>
        <v>97</v>
      </c>
      <c r="J66" s="556">
        <f t="shared" si="20"/>
        <v>96.5</v>
      </c>
      <c r="K66" s="556">
        <f t="shared" si="20"/>
        <v>96</v>
      </c>
      <c r="L66" s="556">
        <f t="shared" si="20"/>
        <v>95.5</v>
      </c>
      <c r="M66" s="556">
        <f t="shared" si="20"/>
        <v>95</v>
      </c>
      <c r="N66" s="556">
        <f t="shared" si="20"/>
        <v>94.5</v>
      </c>
      <c r="O66" s="556">
        <f t="shared" si="20"/>
        <v>94</v>
      </c>
      <c r="P66" s="2971"/>
      <c r="Q66" s="2889"/>
      <c r="R66" s="2889"/>
      <c r="S66" s="2889"/>
      <c r="T66" s="2889"/>
      <c r="U66" s="2889"/>
      <c r="V66" s="2889"/>
      <c r="W66" s="2889"/>
      <c r="X66" s="2889"/>
      <c r="Y66" s="2889"/>
      <c r="Z66" s="2889"/>
      <c r="AA66" s="2889"/>
      <c r="AB66" s="2889"/>
      <c r="AC66" s="2889"/>
      <c r="AD66" s="2889"/>
      <c r="AE66" s="2889"/>
    </row>
    <row r="67" spans="1:31" s="117" customFormat="1" ht="15" thickBot="1">
      <c r="A67" s="476" t="s">
        <v>2415</v>
      </c>
      <c r="B67" s="477"/>
      <c r="C67" s="478"/>
      <c r="D67" s="479"/>
      <c r="E67" s="479"/>
      <c r="F67" s="479"/>
      <c r="G67" s="479"/>
      <c r="H67" s="479"/>
      <c r="I67" s="479"/>
      <c r="J67" s="479"/>
      <c r="K67" s="479"/>
      <c r="L67" s="479"/>
      <c r="M67" s="480"/>
      <c r="N67" s="480"/>
      <c r="O67" s="481"/>
      <c r="P67" s="2971"/>
      <c r="Q67" s="2971"/>
      <c r="R67" s="2889"/>
      <c r="S67" s="2889"/>
      <c r="T67" s="2889"/>
      <c r="U67" s="2889"/>
      <c r="V67" s="2889"/>
      <c r="W67" s="2889"/>
      <c r="X67" s="2889"/>
      <c r="Y67" s="2889"/>
      <c r="Z67" s="2889"/>
      <c r="AA67" s="2889"/>
      <c r="AB67" s="2889"/>
      <c r="AC67" s="2889"/>
      <c r="AD67" s="2889"/>
      <c r="AE67" s="2889"/>
    </row>
    <row r="68" spans="1:31" s="117" customFormat="1" ht="14.4">
      <c r="A68" s="482" t="s">
        <v>2380</v>
      </c>
      <c r="B68" s="471"/>
      <c r="C68" s="483" t="s">
        <v>2482</v>
      </c>
      <c r="D68" s="484"/>
      <c r="E68" s="484"/>
      <c r="F68" s="484"/>
      <c r="G68" s="484"/>
      <c r="H68" s="484"/>
      <c r="I68" s="484"/>
      <c r="J68" s="484"/>
      <c r="K68" s="484"/>
      <c r="L68" s="485"/>
      <c r="M68" s="486"/>
      <c r="N68" s="2984"/>
      <c r="O68" s="2984"/>
      <c r="P68" s="3009"/>
      <c r="Q68" s="2971"/>
      <c r="R68" s="2889"/>
      <c r="S68" s="2889"/>
      <c r="T68" s="2889"/>
      <c r="U68" s="2889"/>
      <c r="V68" s="2889"/>
      <c r="W68" s="2889"/>
      <c r="X68" s="2889"/>
      <c r="Y68" s="2889"/>
      <c r="Z68" s="2889"/>
      <c r="AA68" s="2889"/>
      <c r="AB68" s="2889"/>
      <c r="AC68" s="2889"/>
      <c r="AD68" s="2889"/>
      <c r="AE68" s="2889"/>
    </row>
    <row r="69" spans="1:31" s="117" customFormat="1" ht="14.4" thickBot="1">
      <c r="A69" s="482"/>
      <c r="B69" s="471"/>
      <c r="C69" s="599">
        <v>100</v>
      </c>
      <c r="D69" s="473"/>
      <c r="E69" s="473"/>
      <c r="F69" s="473"/>
      <c r="G69" s="473"/>
      <c r="H69" s="473"/>
      <c r="I69" s="473"/>
      <c r="J69" s="473"/>
      <c r="K69" s="473"/>
      <c r="L69" s="473"/>
      <c r="M69" s="475"/>
      <c r="N69" s="2984"/>
      <c r="O69" s="2984"/>
      <c r="P69" s="2971"/>
      <c r="Q69" s="2971"/>
      <c r="R69" s="2889"/>
      <c r="S69" s="2889"/>
      <c r="T69" s="2889"/>
      <c r="U69" s="2889"/>
      <c r="V69" s="2889"/>
      <c r="W69" s="2889"/>
      <c r="X69" s="2889"/>
      <c r="Y69" s="2889"/>
      <c r="Z69" s="2889"/>
      <c r="AA69" s="2889"/>
      <c r="AB69" s="2889"/>
      <c r="AC69" s="2889"/>
      <c r="AD69" s="2889"/>
      <c r="AE69" s="2889"/>
    </row>
    <row r="70" spans="1:31" ht="14.4">
      <c r="A70" s="488" t="s">
        <v>2418</v>
      </c>
      <c r="B70" s="489" t="s">
        <v>2384</v>
      </c>
      <c r="C70" s="3043" t="s">
        <v>3168</v>
      </c>
      <c r="D70" s="491"/>
      <c r="E70" s="491"/>
      <c r="F70" s="491"/>
      <c r="G70" s="491"/>
      <c r="H70" s="491"/>
      <c r="I70" s="491"/>
      <c r="J70" s="491"/>
      <c r="K70" s="492"/>
      <c r="L70" s="493"/>
      <c r="M70" s="494"/>
      <c r="N70" s="2985"/>
      <c r="O70" s="2985"/>
      <c r="P70" s="3010"/>
      <c r="Q70" s="2971"/>
      <c r="R70" s="2957"/>
      <c r="S70" s="2957"/>
      <c r="T70" s="2957"/>
      <c r="U70" s="2957"/>
      <c r="V70" s="2957"/>
      <c r="W70" s="2957"/>
      <c r="X70" s="2957"/>
      <c r="Y70" s="2957"/>
      <c r="Z70" s="2957"/>
      <c r="AA70" s="2957"/>
      <c r="AB70" s="2957"/>
      <c r="AC70" s="2957"/>
      <c r="AD70" s="2957"/>
      <c r="AE70" s="2957"/>
    </row>
    <row r="71" spans="1:31" ht="14.4" thickBot="1">
      <c r="A71" s="495"/>
      <c r="B71" s="496"/>
      <c r="C71" s="497">
        <v>100</v>
      </c>
      <c r="D71" s="497"/>
      <c r="E71" s="497"/>
      <c r="F71" s="497"/>
      <c r="G71" s="497"/>
      <c r="H71" s="497"/>
      <c r="I71" s="497"/>
      <c r="J71" s="497"/>
      <c r="K71" s="497"/>
      <c r="L71" s="497"/>
      <c r="M71" s="498"/>
      <c r="N71" s="2986"/>
      <c r="O71" s="2986"/>
      <c r="P71" s="3010"/>
      <c r="Q71" s="2971"/>
      <c r="R71" s="2957"/>
      <c r="S71" s="2957"/>
      <c r="T71" s="2957"/>
      <c r="U71" s="2957"/>
      <c r="V71" s="2957"/>
      <c r="W71" s="2957"/>
      <c r="X71" s="2957"/>
      <c r="Y71" s="2957"/>
      <c r="Z71" s="2957"/>
      <c r="AA71" s="2957"/>
      <c r="AB71" s="2957"/>
      <c r="AC71" s="2957"/>
      <c r="AD71" s="2957"/>
      <c r="AE71" s="2957"/>
    </row>
    <row r="72" spans="1:31" ht="29.4" thickTop="1">
      <c r="A72" s="495"/>
      <c r="B72" s="499" t="s">
        <v>2387</v>
      </c>
      <c r="C72" s="500"/>
      <c r="D72" s="500"/>
      <c r="E72" s="500"/>
      <c r="F72" s="500"/>
      <c r="G72" s="500"/>
      <c r="H72" s="500"/>
      <c r="I72" s="500"/>
      <c r="J72" s="500"/>
      <c r="K72" s="501"/>
      <c r="L72" s="502"/>
      <c r="M72" s="503"/>
      <c r="N72" s="2985"/>
      <c r="O72" s="2985"/>
      <c r="P72" s="3010"/>
      <c r="Q72" s="2971"/>
      <c r="R72" s="2957"/>
      <c r="S72" s="2957"/>
      <c r="T72" s="2957"/>
      <c r="U72" s="2957"/>
      <c r="V72" s="2957"/>
      <c r="W72" s="2957"/>
      <c r="X72" s="2957"/>
      <c r="Y72" s="2957"/>
      <c r="Z72" s="2957"/>
      <c r="AA72" s="2957"/>
      <c r="AB72" s="2957"/>
      <c r="AC72" s="2957"/>
      <c r="AD72" s="2957"/>
      <c r="AE72" s="2957"/>
    </row>
    <row r="73" spans="1:31" ht="14.4" thickBot="1">
      <c r="A73" s="495"/>
      <c r="B73" s="504"/>
      <c r="C73" s="505"/>
      <c r="D73" s="505"/>
      <c r="E73" s="505"/>
      <c r="F73" s="505"/>
      <c r="G73" s="505"/>
      <c r="H73" s="505"/>
      <c r="I73" s="505"/>
      <c r="J73" s="505"/>
      <c r="K73" s="505"/>
      <c r="L73" s="505"/>
      <c r="M73" s="506"/>
      <c r="N73" s="2986"/>
      <c r="O73" s="2986"/>
      <c r="P73" s="3010"/>
      <c r="Q73" s="2971"/>
      <c r="R73" s="2957"/>
      <c r="S73" s="2957"/>
      <c r="T73" s="2957"/>
      <c r="U73" s="2957"/>
      <c r="V73" s="2957"/>
      <c r="W73" s="2957"/>
      <c r="X73" s="2957"/>
      <c r="Y73" s="2957"/>
      <c r="Z73" s="2957"/>
      <c r="AA73" s="2957"/>
      <c r="AB73" s="2957"/>
      <c r="AC73" s="2957"/>
      <c r="AD73" s="2957"/>
      <c r="AE73" s="2957"/>
    </row>
    <row r="74" spans="1:31" ht="15" thickTop="1">
      <c r="A74" s="495"/>
      <c r="B74" s="507" t="s">
        <v>2388</v>
      </c>
      <c r="C74" s="508" t="str">
        <f>C75&amp;"（含）"&amp;"-"&amp;D75</f>
        <v>0（含）-1</v>
      </c>
      <c r="D74" s="508" t="str">
        <f t="shared" ref="D74:L74" si="21">D75&amp;"（含）"&amp;"-"&amp;E75</f>
        <v>1（含）-2</v>
      </c>
      <c r="E74" s="508" t="str">
        <f t="shared" si="21"/>
        <v>2（含）-3</v>
      </c>
      <c r="F74" s="508" t="str">
        <f t="shared" si="21"/>
        <v>3（含）-</v>
      </c>
      <c r="G74" s="508" t="str">
        <f t="shared" si="21"/>
        <v>（含）-</v>
      </c>
      <c r="H74" s="508" t="str">
        <f t="shared" si="21"/>
        <v>（含）-</v>
      </c>
      <c r="I74" s="508" t="str">
        <f t="shared" si="21"/>
        <v>（含）-</v>
      </c>
      <c r="J74" s="508" t="str">
        <f t="shared" si="21"/>
        <v>（含）-</v>
      </c>
      <c r="K74" s="508" t="str">
        <f t="shared" si="21"/>
        <v>（含）-</v>
      </c>
      <c r="L74" s="508" t="str">
        <f t="shared" si="21"/>
        <v>（含）-</v>
      </c>
      <c r="M74" s="411" t="str">
        <f>M75&amp;"（含）"&amp;"-"&amp;P75</f>
        <v>（含）-</v>
      </c>
      <c r="N74" s="2986"/>
      <c r="O74" s="2986"/>
      <c r="P74" s="3010"/>
      <c r="Q74" s="2971"/>
      <c r="R74" s="2957"/>
      <c r="S74" s="2957"/>
      <c r="T74" s="2957"/>
      <c r="U74" s="2957"/>
      <c r="V74" s="2957"/>
      <c r="W74" s="2957"/>
      <c r="X74" s="2957"/>
      <c r="Y74" s="2957"/>
      <c r="Z74" s="2957"/>
      <c r="AA74" s="2957"/>
      <c r="AB74" s="2957"/>
      <c r="AC74" s="2957"/>
      <c r="AD74" s="2957"/>
      <c r="AE74" s="2957"/>
    </row>
    <row r="75" spans="1:31">
      <c r="A75" s="495"/>
      <c r="B75" s="509"/>
      <c r="C75" s="510">
        <v>0</v>
      </c>
      <c r="D75" s="510">
        <v>1</v>
      </c>
      <c r="E75" s="510">
        <v>2</v>
      </c>
      <c r="F75" s="510">
        <v>3</v>
      </c>
      <c r="G75" s="510"/>
      <c r="H75" s="510"/>
      <c r="I75" s="510"/>
      <c r="J75" s="510"/>
      <c r="K75" s="511"/>
      <c r="L75" s="512"/>
      <c r="M75" s="513"/>
      <c r="N75" s="2985"/>
      <c r="O75" s="2985"/>
      <c r="P75" s="3010"/>
      <c r="Q75" s="2971"/>
      <c r="R75" s="2957"/>
      <c r="S75" s="2957"/>
      <c r="T75" s="2957"/>
      <c r="U75" s="2957"/>
      <c r="V75" s="2957"/>
      <c r="W75" s="2957"/>
      <c r="X75" s="2957"/>
      <c r="Y75" s="2957"/>
      <c r="Z75" s="2957"/>
      <c r="AA75" s="2957"/>
      <c r="AB75" s="2957"/>
      <c r="AC75" s="2957"/>
      <c r="AD75" s="2957"/>
      <c r="AE75" s="2957"/>
    </row>
    <row r="76" spans="1:31" ht="14.4" thickBot="1">
      <c r="A76" s="495"/>
      <c r="B76" s="496"/>
      <c r="C76" s="505">
        <v>100</v>
      </c>
      <c r="D76" s="505">
        <f>IF($B$41="单位面积地价",C76+$K11,C76-$K11)</f>
        <v>102</v>
      </c>
      <c r="E76" s="505">
        <f t="shared" ref="E76:M76" si="22">IF($B$41="单位面积地价",D76+$K11,D76-$K11)</f>
        <v>104</v>
      </c>
      <c r="F76" s="505">
        <f t="shared" si="22"/>
        <v>106</v>
      </c>
      <c r="G76" s="505">
        <f t="shared" si="22"/>
        <v>108</v>
      </c>
      <c r="H76" s="505">
        <f t="shared" si="22"/>
        <v>110</v>
      </c>
      <c r="I76" s="505">
        <f t="shared" si="22"/>
        <v>112</v>
      </c>
      <c r="J76" s="505">
        <f t="shared" si="22"/>
        <v>114</v>
      </c>
      <c r="K76" s="505">
        <f t="shared" si="22"/>
        <v>116</v>
      </c>
      <c r="L76" s="505">
        <f t="shared" si="22"/>
        <v>118</v>
      </c>
      <c r="M76" s="505">
        <f t="shared" si="22"/>
        <v>120</v>
      </c>
      <c r="N76" s="2986"/>
      <c r="O76" s="2986"/>
      <c r="P76" s="3010"/>
      <c r="Q76" s="2971"/>
      <c r="R76" s="2957"/>
      <c r="S76" s="2957"/>
      <c r="T76" s="2957"/>
      <c r="U76" s="2957"/>
      <c r="V76" s="2957"/>
      <c r="W76" s="2957"/>
      <c r="X76" s="2957"/>
      <c r="Y76" s="2957"/>
      <c r="Z76" s="2957"/>
      <c r="AA76" s="2957"/>
      <c r="AB76" s="2957"/>
      <c r="AC76" s="2957"/>
      <c r="AD76" s="2957"/>
      <c r="AE76" s="2957"/>
    </row>
    <row r="77" spans="1:31" s="434" customFormat="1" ht="14.4" thickTop="1">
      <c r="A77" s="514"/>
      <c r="B77" s="499">
        <f>B12</f>
        <v>111</v>
      </c>
      <c r="C77" s="515"/>
      <c r="D77" s="515"/>
      <c r="E77" s="515"/>
      <c r="F77" s="515"/>
      <c r="G77" s="515"/>
      <c r="H77" s="516"/>
      <c r="I77" s="516"/>
      <c r="J77" s="516"/>
      <c r="K77" s="516"/>
      <c r="L77" s="517"/>
      <c r="M77" s="518"/>
      <c r="N77" s="2987"/>
      <c r="O77" s="2987"/>
      <c r="P77" s="3011"/>
      <c r="Q77" s="2978"/>
      <c r="R77" s="2979"/>
      <c r="S77" s="2979"/>
      <c r="T77" s="2979"/>
      <c r="U77" s="2979"/>
      <c r="V77" s="2979"/>
      <c r="W77" s="2979"/>
      <c r="X77" s="2979"/>
      <c r="Y77" s="2979"/>
      <c r="Z77" s="2979"/>
      <c r="AA77" s="2979"/>
      <c r="AB77" s="2979"/>
      <c r="AC77" s="2979"/>
      <c r="AD77" s="2979"/>
      <c r="AE77" s="2979"/>
    </row>
    <row r="78" spans="1:31" s="434" customFormat="1" ht="14.4" thickBot="1">
      <c r="A78" s="514"/>
      <c r="B78" s="504"/>
      <c r="C78" s="521"/>
      <c r="D78" s="497"/>
      <c r="E78" s="497"/>
      <c r="F78" s="497"/>
      <c r="G78" s="497"/>
      <c r="H78" s="497"/>
      <c r="I78" s="497"/>
      <c r="J78" s="497"/>
      <c r="K78" s="497"/>
      <c r="L78" s="497"/>
      <c r="M78" s="498"/>
      <c r="N78" s="2986"/>
      <c r="O78" s="2986"/>
      <c r="P78" s="3011"/>
      <c r="Q78" s="2978"/>
      <c r="R78" s="2979"/>
      <c r="S78" s="2979"/>
      <c r="T78" s="2979"/>
      <c r="U78" s="2979"/>
      <c r="V78" s="2979"/>
      <c r="W78" s="2979"/>
      <c r="X78" s="2979"/>
      <c r="Y78" s="2979"/>
      <c r="Z78" s="2979"/>
      <c r="AA78" s="2979"/>
      <c r="AB78" s="2979"/>
      <c r="AC78" s="2979"/>
      <c r="AD78" s="2979"/>
      <c r="AE78" s="2979"/>
    </row>
    <row r="79" spans="1:31" s="434" customFormat="1" ht="14.4" thickTop="1">
      <c r="A79" s="514"/>
      <c r="B79" s="499">
        <f>B13</f>
        <v>111</v>
      </c>
      <c r="C79" s="515"/>
      <c r="D79" s="515"/>
      <c r="E79" s="515"/>
      <c r="F79" s="515"/>
      <c r="G79" s="515"/>
      <c r="H79" s="516"/>
      <c r="I79" s="516"/>
      <c r="J79" s="516"/>
      <c r="K79" s="516"/>
      <c r="L79" s="517"/>
      <c r="M79" s="518"/>
      <c r="N79" s="2987"/>
      <c r="O79" s="2987"/>
      <c r="P79" s="2955"/>
      <c r="Q79" s="2981"/>
      <c r="R79" s="2979"/>
      <c r="S79" s="2979"/>
      <c r="T79" s="2979"/>
      <c r="U79" s="2979"/>
      <c r="V79" s="2979"/>
      <c r="W79" s="2979"/>
      <c r="X79" s="2979"/>
      <c r="Y79" s="2979"/>
      <c r="Z79" s="2979"/>
      <c r="AA79" s="2979"/>
      <c r="AB79" s="2979"/>
      <c r="AC79" s="2979"/>
      <c r="AD79" s="2979"/>
      <c r="AE79" s="2979"/>
    </row>
    <row r="80" spans="1:31" s="434" customFormat="1" ht="14.4" thickBot="1">
      <c r="A80" s="514"/>
      <c r="B80" s="504"/>
      <c r="C80" s="521"/>
      <c r="D80" s="521"/>
      <c r="E80" s="521"/>
      <c r="F80" s="521"/>
      <c r="G80" s="521"/>
      <c r="H80" s="523"/>
      <c r="I80" s="523"/>
      <c r="J80" s="523"/>
      <c r="K80" s="523"/>
      <c r="L80" s="523"/>
      <c r="M80" s="524"/>
      <c r="N80" s="2987"/>
      <c r="O80" s="2987"/>
      <c r="P80" s="3011"/>
      <c r="Q80" s="2978"/>
      <c r="R80" s="2979"/>
      <c r="S80" s="2979"/>
      <c r="T80" s="2979"/>
      <c r="U80" s="2979"/>
      <c r="V80" s="2979"/>
      <c r="W80" s="2979"/>
      <c r="X80" s="2979"/>
      <c r="Y80" s="2979"/>
      <c r="Z80" s="2979"/>
      <c r="AA80" s="2979"/>
      <c r="AB80" s="2979"/>
      <c r="AC80" s="2979"/>
      <c r="AD80" s="2979"/>
      <c r="AE80" s="2979"/>
    </row>
    <row r="81" spans="1:31" s="434" customFormat="1" ht="14.4" thickTop="1">
      <c r="A81" s="514"/>
      <c r="B81" s="507">
        <f>B14</f>
        <v>111</v>
      </c>
      <c r="C81" s="484"/>
      <c r="D81" s="484"/>
      <c r="E81" s="484"/>
      <c r="F81" s="484"/>
      <c r="G81" s="484"/>
      <c r="H81" s="525"/>
      <c r="I81" s="525"/>
      <c r="J81" s="525"/>
      <c r="K81" s="525"/>
      <c r="L81" s="526"/>
      <c r="M81" s="527"/>
      <c r="N81" s="2987"/>
      <c r="O81" s="2987"/>
      <c r="P81" s="3016"/>
      <c r="Q81" s="2978"/>
      <c r="R81" s="2979"/>
      <c r="S81" s="2979"/>
      <c r="T81" s="2979"/>
      <c r="U81" s="2979"/>
      <c r="V81" s="2979"/>
      <c r="W81" s="2979"/>
      <c r="X81" s="2979"/>
      <c r="Y81" s="2979"/>
      <c r="Z81" s="2979"/>
      <c r="AA81" s="2979"/>
      <c r="AB81" s="2979"/>
      <c r="AC81" s="2979"/>
      <c r="AD81" s="2979"/>
      <c r="AE81" s="2979"/>
    </row>
    <row r="82" spans="1:31" s="434" customFormat="1" ht="14.4" thickBot="1">
      <c r="A82" s="529"/>
      <c r="B82" s="530"/>
      <c r="C82" s="531"/>
      <c r="D82" s="531"/>
      <c r="E82" s="531"/>
      <c r="F82" s="531"/>
      <c r="G82" s="531"/>
      <c r="H82" s="532"/>
      <c r="I82" s="532"/>
      <c r="J82" s="532"/>
      <c r="K82" s="532"/>
      <c r="L82" s="532"/>
      <c r="M82" s="533"/>
      <c r="N82" s="2987"/>
      <c r="O82" s="2987"/>
      <c r="P82" s="3011"/>
      <c r="Q82" s="2978"/>
      <c r="R82" s="2979"/>
      <c r="S82" s="2979"/>
      <c r="T82" s="2979"/>
      <c r="U82" s="2979"/>
      <c r="V82" s="2979"/>
      <c r="W82" s="2979"/>
      <c r="X82" s="2979"/>
      <c r="Y82" s="2979"/>
      <c r="Z82" s="2979"/>
      <c r="AA82" s="2979"/>
      <c r="AB82" s="2979"/>
      <c r="AC82" s="2979"/>
      <c r="AD82" s="2979"/>
      <c r="AE82" s="2979"/>
    </row>
    <row r="83" spans="1:31" ht="14.4">
      <c r="A83" s="488" t="s">
        <v>2389</v>
      </c>
      <c r="B83" s="489" t="s">
        <v>2535</v>
      </c>
      <c r="C83" s="534" t="s">
        <v>2427</v>
      </c>
      <c r="D83" s="534" t="s">
        <v>2428</v>
      </c>
      <c r="E83" s="534" t="s">
        <v>2429</v>
      </c>
      <c r="F83" s="534" t="s">
        <v>2430</v>
      </c>
      <c r="G83" s="534" t="s">
        <v>2431</v>
      </c>
      <c r="H83" s="490"/>
      <c r="I83" s="490"/>
      <c r="J83" s="490"/>
      <c r="K83" s="535"/>
      <c r="L83" s="536"/>
      <c r="M83" s="537"/>
      <c r="N83" s="2985"/>
      <c r="O83" s="2985"/>
      <c r="P83" s="3012"/>
      <c r="Q83" s="2971"/>
      <c r="R83" s="2957"/>
      <c r="S83" s="2957"/>
      <c r="T83" s="2957"/>
      <c r="U83" s="2957"/>
      <c r="V83" s="2957"/>
      <c r="W83" s="2957"/>
      <c r="X83" s="2957"/>
      <c r="Y83" s="2957"/>
      <c r="Z83" s="2957"/>
      <c r="AA83" s="2957"/>
      <c r="AB83" s="2957"/>
      <c r="AC83" s="2957"/>
      <c r="AD83" s="2957"/>
      <c r="AE83" s="2957"/>
    </row>
    <row r="84" spans="1:31" ht="14.4" thickBot="1">
      <c r="A84" s="495"/>
      <c r="B84" s="504"/>
      <c r="C84" s="505">
        <v>100</v>
      </c>
      <c r="D84" s="505">
        <f>C84-$K15</f>
        <v>97</v>
      </c>
      <c r="E84" s="505">
        <f>D84-$K15</f>
        <v>94</v>
      </c>
      <c r="F84" s="505">
        <f>E84-$K15</f>
        <v>91</v>
      </c>
      <c r="G84" s="505">
        <f>F84-$K15</f>
        <v>88</v>
      </c>
      <c r="H84" s="505"/>
      <c r="I84" s="505"/>
      <c r="J84" s="505"/>
      <c r="K84" s="505"/>
      <c r="L84" s="505"/>
      <c r="M84" s="506"/>
      <c r="N84" s="2986"/>
      <c r="O84" s="2986"/>
      <c r="P84" s="3010"/>
      <c r="Q84" s="2971"/>
      <c r="R84" s="2957"/>
      <c r="S84" s="2957"/>
      <c r="T84" s="2957"/>
      <c r="U84" s="2957"/>
      <c r="V84" s="2957"/>
      <c r="W84" s="2957"/>
      <c r="X84" s="2957"/>
      <c r="Y84" s="2957"/>
      <c r="Z84" s="2957"/>
      <c r="AA84" s="2957"/>
      <c r="AB84" s="2957"/>
      <c r="AC84" s="2957"/>
      <c r="AD84" s="2957"/>
      <c r="AE84" s="2957"/>
    </row>
    <row r="85" spans="1:31" ht="15" thickTop="1">
      <c r="A85" s="495"/>
      <c r="B85" s="499" t="s">
        <v>2432</v>
      </c>
      <c r="C85" s="539" t="s">
        <v>2427</v>
      </c>
      <c r="D85" s="539" t="s">
        <v>2428</v>
      </c>
      <c r="E85" s="539" t="s">
        <v>2429</v>
      </c>
      <c r="F85" s="539" t="s">
        <v>2430</v>
      </c>
      <c r="G85" s="539" t="s">
        <v>2431</v>
      </c>
      <c r="H85" s="500"/>
      <c r="I85" s="500"/>
      <c r="J85" s="500"/>
      <c r="K85" s="501"/>
      <c r="L85" s="502"/>
      <c r="M85" s="503"/>
      <c r="N85" s="2985"/>
      <c r="O85" s="2985"/>
      <c r="P85" s="3010"/>
      <c r="Q85" s="2971"/>
      <c r="R85" s="2957"/>
      <c r="S85" s="2957"/>
      <c r="T85" s="2957"/>
      <c r="U85" s="2957"/>
      <c r="V85" s="2957"/>
      <c r="W85" s="2957"/>
      <c r="X85" s="2957"/>
      <c r="Y85" s="2957"/>
      <c r="Z85" s="2957"/>
      <c r="AA85" s="2957"/>
      <c r="AB85" s="2957"/>
      <c r="AC85" s="2957"/>
      <c r="AD85" s="2957"/>
      <c r="AE85" s="2957"/>
    </row>
    <row r="86" spans="1:31" ht="14.4" thickBot="1">
      <c r="A86" s="495"/>
      <c r="B86" s="504"/>
      <c r="C86" s="505">
        <v>100</v>
      </c>
      <c r="D86" s="505">
        <f>C86-$K17</f>
        <v>97</v>
      </c>
      <c r="E86" s="505">
        <f>D86-$K17</f>
        <v>94</v>
      </c>
      <c r="F86" s="505">
        <f>E86-$K17</f>
        <v>91</v>
      </c>
      <c r="G86" s="505">
        <f>F86-$K17</f>
        <v>88</v>
      </c>
      <c r="H86" s="505"/>
      <c r="I86" s="505"/>
      <c r="J86" s="505"/>
      <c r="K86" s="505"/>
      <c r="L86" s="505"/>
      <c r="M86" s="506"/>
      <c r="N86" s="2986"/>
      <c r="O86" s="2986"/>
      <c r="P86" s="3010"/>
      <c r="Q86" s="2971"/>
      <c r="R86" s="2957"/>
      <c r="S86" s="2957"/>
      <c r="T86" s="2957"/>
      <c r="U86" s="2957"/>
      <c r="V86" s="2957"/>
      <c r="W86" s="2957"/>
      <c r="X86" s="2957"/>
      <c r="Y86" s="2957"/>
      <c r="Z86" s="2957"/>
      <c r="AA86" s="2957"/>
      <c r="AB86" s="2957"/>
      <c r="AC86" s="2957"/>
      <c r="AD86" s="2957"/>
      <c r="AE86" s="2957"/>
    </row>
    <row r="87" spans="1:31" s="117" customFormat="1" ht="29.4" thickTop="1">
      <c r="A87" s="540"/>
      <c r="B87" s="499" t="s">
        <v>2615</v>
      </c>
      <c r="C87" s="534" t="s">
        <v>2427</v>
      </c>
      <c r="D87" s="534" t="s">
        <v>2428</v>
      </c>
      <c r="E87" s="534" t="s">
        <v>2429</v>
      </c>
      <c r="F87" s="534" t="s">
        <v>2430</v>
      </c>
      <c r="G87" s="534" t="s">
        <v>2431</v>
      </c>
      <c r="H87" s="539"/>
      <c r="I87" s="539"/>
      <c r="J87" s="539"/>
      <c r="K87" s="539"/>
      <c r="L87" s="658"/>
      <c r="M87" s="582"/>
      <c r="N87" s="2984"/>
      <c r="O87" s="2984"/>
      <c r="P87" s="3010"/>
      <c r="Q87" s="2971"/>
      <c r="R87" s="2889"/>
      <c r="S87" s="2889"/>
      <c r="T87" s="2889"/>
      <c r="U87" s="2889"/>
      <c r="V87" s="2889"/>
      <c r="W87" s="2889"/>
      <c r="X87" s="2889"/>
      <c r="Y87" s="2889"/>
      <c r="Z87" s="2889"/>
      <c r="AA87" s="2889"/>
      <c r="AB87" s="2889"/>
      <c r="AC87" s="2889"/>
      <c r="AD87" s="2889"/>
      <c r="AE87" s="2889"/>
    </row>
    <row r="88" spans="1:31" s="117" customFormat="1" ht="14.4" thickBot="1">
      <c r="A88" s="540"/>
      <c r="B88" s="504"/>
      <c r="C88" s="543">
        <v>100</v>
      </c>
      <c r="D88" s="505">
        <f>C88-$K19</f>
        <v>98</v>
      </c>
      <c r="E88" s="505">
        <f>D88-$K19</f>
        <v>96</v>
      </c>
      <c r="F88" s="505">
        <f>E88-$K19</f>
        <v>94</v>
      </c>
      <c r="G88" s="505">
        <f>F88-$K19</f>
        <v>92</v>
      </c>
      <c r="H88" s="505"/>
      <c r="I88" s="505"/>
      <c r="J88" s="505"/>
      <c r="K88" s="505"/>
      <c r="L88" s="505"/>
      <c r="M88" s="506"/>
      <c r="N88" s="2986"/>
      <c r="O88" s="2986"/>
      <c r="P88" s="3010"/>
      <c r="Q88" s="2971"/>
      <c r="R88" s="2889"/>
      <c r="S88" s="2889"/>
      <c r="T88" s="2889"/>
      <c r="U88" s="2889"/>
      <c r="V88" s="2889"/>
      <c r="W88" s="2889"/>
      <c r="X88" s="2889"/>
      <c r="Y88" s="2889"/>
      <c r="Z88" s="2889"/>
      <c r="AA88" s="2889"/>
      <c r="AB88" s="2889"/>
      <c r="AC88" s="2889"/>
      <c r="AD88" s="2889"/>
      <c r="AE88" s="2889"/>
    </row>
    <row r="89" spans="1:31" s="117" customFormat="1" ht="29.4" thickTop="1">
      <c r="A89" s="540"/>
      <c r="B89" s="499" t="s">
        <v>2616</v>
      </c>
      <c r="C89" s="534" t="s">
        <v>2427</v>
      </c>
      <c r="D89" s="534" t="s">
        <v>2428</v>
      </c>
      <c r="E89" s="534" t="s">
        <v>2429</v>
      </c>
      <c r="F89" s="534" t="s">
        <v>2430</v>
      </c>
      <c r="G89" s="534" t="s">
        <v>2431</v>
      </c>
      <c r="H89" s="539"/>
      <c r="I89" s="539"/>
      <c r="J89" s="539"/>
      <c r="K89" s="539"/>
      <c r="L89" s="539"/>
      <c r="M89" s="582"/>
      <c r="N89" s="2984"/>
      <c r="O89" s="2984"/>
      <c r="P89" s="3010"/>
      <c r="Q89" s="2971"/>
      <c r="R89" s="2889"/>
      <c r="S89" s="2889"/>
      <c r="T89" s="2889"/>
      <c r="U89" s="2889"/>
      <c r="V89" s="2889"/>
      <c r="W89" s="2889"/>
      <c r="X89" s="2889"/>
      <c r="Y89" s="2889"/>
      <c r="Z89" s="2889"/>
      <c r="AA89" s="2889"/>
      <c r="AB89" s="2889"/>
      <c r="AC89" s="2889"/>
      <c r="AD89" s="2889"/>
      <c r="AE89" s="2889"/>
    </row>
    <row r="90" spans="1:31" s="117" customFormat="1" ht="14.4" thickBot="1">
      <c r="A90" s="540"/>
      <c r="B90" s="504"/>
      <c r="C90" s="505">
        <v>100</v>
      </c>
      <c r="D90" s="505">
        <f>C90-$K21</f>
        <v>98</v>
      </c>
      <c r="E90" s="505">
        <f>D90-$K21</f>
        <v>96</v>
      </c>
      <c r="F90" s="505">
        <f>E90-$K21</f>
        <v>94</v>
      </c>
      <c r="G90" s="505">
        <f>F90-$K21</f>
        <v>92</v>
      </c>
      <c r="H90" s="505"/>
      <c r="I90" s="505"/>
      <c r="J90" s="505"/>
      <c r="K90" s="505"/>
      <c r="L90" s="505"/>
      <c r="M90" s="506"/>
      <c r="N90" s="2986"/>
      <c r="O90" s="2986"/>
      <c r="P90" s="3010"/>
      <c r="Q90" s="2971"/>
      <c r="R90" s="2889"/>
      <c r="S90" s="2889"/>
      <c r="T90" s="2889"/>
      <c r="U90" s="2889"/>
      <c r="V90" s="2889"/>
      <c r="W90" s="2889"/>
      <c r="X90" s="2889"/>
      <c r="Y90" s="2889"/>
      <c r="Z90" s="2889"/>
      <c r="AA90" s="2889"/>
      <c r="AB90" s="2889"/>
      <c r="AC90" s="2889"/>
      <c r="AD90" s="2889"/>
      <c r="AE90" s="2889"/>
    </row>
    <row r="91" spans="1:31" s="434" customFormat="1" ht="15" thickTop="1">
      <c r="A91" s="514"/>
      <c r="B91" s="499" t="s">
        <v>2484</v>
      </c>
      <c r="C91" s="534" t="s">
        <v>2427</v>
      </c>
      <c r="D91" s="534" t="s">
        <v>2428</v>
      </c>
      <c r="E91" s="534" t="s">
        <v>2429</v>
      </c>
      <c r="F91" s="534" t="s">
        <v>2430</v>
      </c>
      <c r="G91" s="534" t="s">
        <v>2431</v>
      </c>
      <c r="H91" s="561"/>
      <c r="I91" s="561"/>
      <c r="J91" s="561"/>
      <c r="K91" s="561"/>
      <c r="L91" s="562"/>
      <c r="M91" s="563"/>
      <c r="N91" s="2987"/>
      <c r="O91" s="2987"/>
      <c r="P91" s="3011"/>
      <c r="Q91" s="2978"/>
      <c r="R91" s="2979"/>
      <c r="S91" s="2979"/>
      <c r="T91" s="2979"/>
      <c r="U91" s="2979"/>
      <c r="V91" s="2979"/>
      <c r="W91" s="2979"/>
      <c r="X91" s="2979"/>
      <c r="Y91" s="2979"/>
      <c r="Z91" s="2979"/>
      <c r="AA91" s="2979"/>
      <c r="AB91" s="2979"/>
      <c r="AC91" s="2979"/>
      <c r="AD91" s="2979"/>
      <c r="AE91" s="2979"/>
    </row>
    <row r="92" spans="1:31" s="434" customFormat="1" ht="14.4" thickBot="1">
      <c r="A92" s="514"/>
      <c r="B92" s="504"/>
      <c r="C92" s="505">
        <v>100</v>
      </c>
      <c r="D92" s="505">
        <f>C92-$K23</f>
        <v>98</v>
      </c>
      <c r="E92" s="505">
        <f>D92-$K23</f>
        <v>96</v>
      </c>
      <c r="F92" s="505">
        <f>E92-$K23</f>
        <v>94</v>
      </c>
      <c r="G92" s="505">
        <f>F92-$K23</f>
        <v>92</v>
      </c>
      <c r="H92" s="568"/>
      <c r="I92" s="568"/>
      <c r="J92" s="568"/>
      <c r="K92" s="568"/>
      <c r="L92" s="568"/>
      <c r="M92" s="569"/>
      <c r="N92" s="2987"/>
      <c r="O92" s="2987"/>
      <c r="P92" s="3011"/>
      <c r="Q92" s="2978"/>
      <c r="R92" s="2979"/>
      <c r="S92" s="2979"/>
      <c r="T92" s="2979"/>
      <c r="U92" s="2979"/>
      <c r="V92" s="2979"/>
      <c r="W92" s="2979"/>
      <c r="X92" s="2979"/>
      <c r="Y92" s="2979"/>
      <c r="Z92" s="2979"/>
      <c r="AA92" s="2979"/>
      <c r="AB92" s="2979"/>
      <c r="AC92" s="2979"/>
      <c r="AD92" s="2979"/>
      <c r="AE92" s="2979"/>
    </row>
    <row r="93" spans="1:31" s="434" customFormat="1" ht="15" thickTop="1">
      <c r="A93" s="514"/>
      <c r="B93" s="507" t="s">
        <v>2632</v>
      </c>
      <c r="C93" s="620" t="s">
        <v>2505</v>
      </c>
      <c r="D93" s="620" t="s">
        <v>2506</v>
      </c>
      <c r="E93" s="620" t="s">
        <v>2507</v>
      </c>
      <c r="F93" s="620" t="s">
        <v>2508</v>
      </c>
      <c r="G93" s="620" t="s">
        <v>2509</v>
      </c>
      <c r="H93" s="561"/>
      <c r="I93" s="561"/>
      <c r="J93" s="561"/>
      <c r="K93" s="561"/>
      <c r="L93" s="561"/>
      <c r="M93" s="563"/>
      <c r="N93" s="2987"/>
      <c r="O93" s="2987"/>
      <c r="P93" s="3011"/>
      <c r="Q93" s="2978"/>
      <c r="R93" s="2979"/>
      <c r="S93" s="2979"/>
      <c r="T93" s="2979"/>
      <c r="U93" s="2979"/>
      <c r="V93" s="2979"/>
      <c r="W93" s="2979"/>
      <c r="X93" s="2979"/>
      <c r="Y93" s="2979"/>
      <c r="Z93" s="2979"/>
      <c r="AA93" s="2979"/>
      <c r="AB93" s="2979"/>
      <c r="AC93" s="2979"/>
      <c r="AD93" s="2979"/>
      <c r="AE93" s="2979"/>
    </row>
    <row r="94" spans="1:31" s="434" customFormat="1" ht="14.4" thickBot="1">
      <c r="A94" s="514"/>
      <c r="B94" s="507"/>
      <c r="C94" s="505">
        <v>100</v>
      </c>
      <c r="D94" s="505">
        <f>C94-$K25</f>
        <v>99</v>
      </c>
      <c r="E94" s="505">
        <f>D94-$K25</f>
        <v>98</v>
      </c>
      <c r="F94" s="505">
        <f>E94-$K25</f>
        <v>97</v>
      </c>
      <c r="G94" s="505">
        <f>F94-$K25</f>
        <v>96</v>
      </c>
      <c r="H94" s="509"/>
      <c r="I94" s="509"/>
      <c r="J94" s="509"/>
      <c r="K94" s="509"/>
      <c r="L94" s="509"/>
      <c r="M94" s="1298"/>
      <c r="N94" s="2987"/>
      <c r="O94" s="2987"/>
      <c r="P94" s="3011"/>
      <c r="Q94" s="2978"/>
      <c r="R94" s="2979"/>
      <c r="S94" s="2979"/>
      <c r="T94" s="2979"/>
      <c r="U94" s="2979"/>
      <c r="V94" s="2979"/>
      <c r="W94" s="2979"/>
      <c r="X94" s="2979"/>
      <c r="Y94" s="2979"/>
      <c r="Z94" s="2979"/>
      <c r="AA94" s="2979"/>
      <c r="AB94" s="2979"/>
      <c r="AC94" s="2979"/>
      <c r="AD94" s="2979"/>
      <c r="AE94" s="2979"/>
    </row>
    <row r="95" spans="1:31" ht="15" thickTop="1">
      <c r="A95" s="495"/>
      <c r="B95" s="499" t="str">
        <f>B27</f>
        <v>临街状况</v>
      </c>
      <c r="C95" s="500" t="s">
        <v>2617</v>
      </c>
      <c r="D95" s="500" t="s">
        <v>2618</v>
      </c>
      <c r="E95" s="500" t="s">
        <v>2619</v>
      </c>
      <c r="F95" s="500" t="s">
        <v>2620</v>
      </c>
      <c r="G95" s="500"/>
      <c r="H95" s="500"/>
      <c r="I95" s="500"/>
      <c r="J95" s="500"/>
      <c r="K95" s="501"/>
      <c r="L95" s="502"/>
      <c r="M95" s="503"/>
      <c r="N95" s="2985"/>
      <c r="O95" s="2985"/>
      <c r="P95" s="3010"/>
      <c r="Q95" s="2971"/>
      <c r="R95" s="2957"/>
      <c r="S95" s="2957"/>
      <c r="T95" s="2957"/>
      <c r="U95" s="2957"/>
      <c r="V95" s="2957"/>
      <c r="W95" s="2957"/>
      <c r="X95" s="2957"/>
      <c r="Y95" s="2957"/>
      <c r="Z95" s="2957"/>
      <c r="AA95" s="2957"/>
      <c r="AB95" s="2957"/>
      <c r="AC95" s="2957"/>
      <c r="AD95" s="2957"/>
      <c r="AE95" s="2957"/>
    </row>
    <row r="96" spans="1:31" ht="14.4" thickBot="1">
      <c r="A96" s="495"/>
      <c r="B96" s="504"/>
      <c r="C96" s="505">
        <v>100</v>
      </c>
      <c r="D96" s="505">
        <f t="shared" ref="D96:M96" si="23">C96-$K27</f>
        <v>98</v>
      </c>
      <c r="E96" s="505">
        <f t="shared" si="23"/>
        <v>96</v>
      </c>
      <c r="F96" s="505">
        <f t="shared" si="23"/>
        <v>94</v>
      </c>
      <c r="G96" s="505">
        <f t="shared" si="23"/>
        <v>92</v>
      </c>
      <c r="H96" s="505">
        <f t="shared" si="23"/>
        <v>90</v>
      </c>
      <c r="I96" s="505">
        <f t="shared" si="23"/>
        <v>88</v>
      </c>
      <c r="J96" s="505">
        <f t="shared" si="23"/>
        <v>86</v>
      </c>
      <c r="K96" s="505">
        <f t="shared" si="23"/>
        <v>84</v>
      </c>
      <c r="L96" s="505">
        <f t="shared" si="23"/>
        <v>82</v>
      </c>
      <c r="M96" s="505">
        <f t="shared" si="23"/>
        <v>80</v>
      </c>
      <c r="N96" s="2986"/>
      <c r="O96" s="2986"/>
      <c r="P96" s="3010"/>
      <c r="Q96" s="2971"/>
      <c r="R96" s="2957"/>
      <c r="S96" s="2957"/>
      <c r="T96" s="2957"/>
      <c r="U96" s="2957"/>
      <c r="V96" s="2957"/>
      <c r="W96" s="2957"/>
      <c r="X96" s="2957"/>
      <c r="Y96" s="2957"/>
      <c r="Z96" s="2957"/>
      <c r="AA96" s="2957"/>
      <c r="AB96" s="2957"/>
      <c r="AC96" s="2957"/>
      <c r="AD96" s="2957"/>
      <c r="AE96" s="2957"/>
    </row>
    <row r="97" spans="1:31" ht="29.4" thickTop="1">
      <c r="A97" s="495"/>
      <c r="B97" s="499" t="s">
        <v>2521</v>
      </c>
      <c r="C97" s="3044" t="s">
        <v>3169</v>
      </c>
      <c r="D97" s="3044" t="s">
        <v>3170</v>
      </c>
      <c r="E97" s="3044" t="s">
        <v>3171</v>
      </c>
      <c r="F97" s="3044" t="s">
        <v>3172</v>
      </c>
      <c r="G97" s="3044" t="s">
        <v>3173</v>
      </c>
      <c r="H97" s="544"/>
      <c r="I97" s="544"/>
      <c r="J97" s="544"/>
      <c r="K97" s="545"/>
      <c r="L97" s="546"/>
      <c r="M97" s="547"/>
      <c r="N97" s="2985"/>
      <c r="O97" s="2985"/>
      <c r="P97" s="3010"/>
      <c r="Q97" s="2971"/>
      <c r="R97" s="2957"/>
      <c r="S97" s="2957"/>
      <c r="T97" s="2957"/>
      <c r="U97" s="2957"/>
      <c r="V97" s="2957"/>
      <c r="W97" s="2957"/>
      <c r="X97" s="2957"/>
      <c r="Y97" s="2957"/>
      <c r="Z97" s="2957"/>
      <c r="AA97" s="2957"/>
      <c r="AB97" s="2957"/>
      <c r="AC97" s="2957"/>
      <c r="AD97" s="2957"/>
      <c r="AE97" s="2957"/>
    </row>
    <row r="98" spans="1:31" ht="14.4" thickBot="1">
      <c r="A98" s="495"/>
      <c r="B98" s="504"/>
      <c r="C98" s="505">
        <v>100</v>
      </c>
      <c r="D98" s="505">
        <f t="shared" ref="D98:M98" si="24">C98-$K28</f>
        <v>99</v>
      </c>
      <c r="E98" s="505">
        <f t="shared" si="24"/>
        <v>98</v>
      </c>
      <c r="F98" s="505">
        <f t="shared" si="24"/>
        <v>97</v>
      </c>
      <c r="G98" s="505">
        <f t="shared" si="24"/>
        <v>96</v>
      </c>
      <c r="H98" s="505">
        <f t="shared" si="24"/>
        <v>95</v>
      </c>
      <c r="I98" s="505">
        <f t="shared" si="24"/>
        <v>94</v>
      </c>
      <c r="J98" s="505">
        <f t="shared" si="24"/>
        <v>93</v>
      </c>
      <c r="K98" s="505">
        <f t="shared" si="24"/>
        <v>92</v>
      </c>
      <c r="L98" s="505">
        <f t="shared" si="24"/>
        <v>91</v>
      </c>
      <c r="M98" s="505">
        <f t="shared" si="24"/>
        <v>90</v>
      </c>
      <c r="N98" s="2986"/>
      <c r="O98" s="2986"/>
      <c r="P98" s="3010"/>
      <c r="Q98" s="2971"/>
      <c r="R98" s="2957"/>
      <c r="S98" s="2957"/>
      <c r="T98" s="2957"/>
      <c r="U98" s="2957"/>
      <c r="V98" s="2957"/>
      <c r="W98" s="2957"/>
      <c r="X98" s="2957"/>
      <c r="Y98" s="2957"/>
      <c r="Z98" s="2957"/>
      <c r="AA98" s="2957"/>
      <c r="AB98" s="2957"/>
      <c r="AC98" s="2957"/>
      <c r="AD98" s="2957"/>
      <c r="AE98" s="2957"/>
    </row>
    <row r="99" spans="1:31" ht="15" thickTop="1">
      <c r="A99" s="495"/>
      <c r="B99" s="499" t="s">
        <v>2580</v>
      </c>
      <c r="C99" s="544"/>
      <c r="D99" s="544"/>
      <c r="E99" s="544"/>
      <c r="F99" s="544"/>
      <c r="G99" s="544"/>
      <c r="H99" s="544"/>
      <c r="I99" s="544"/>
      <c r="J99" s="544"/>
      <c r="K99" s="545"/>
      <c r="L99" s="546"/>
      <c r="M99" s="547"/>
      <c r="N99" s="2985"/>
      <c r="O99" s="2985"/>
      <c r="P99" s="3010"/>
      <c r="Q99" s="2971"/>
      <c r="R99" s="2957"/>
      <c r="S99" s="2957"/>
      <c r="T99" s="2957"/>
      <c r="U99" s="2957"/>
      <c r="V99" s="2957"/>
      <c r="W99" s="2957"/>
      <c r="X99" s="2957"/>
      <c r="Y99" s="2957"/>
      <c r="Z99" s="2957"/>
      <c r="AA99" s="2957"/>
      <c r="AB99" s="2957"/>
      <c r="AC99" s="2957"/>
      <c r="AD99" s="2957"/>
      <c r="AE99" s="2957"/>
    </row>
    <row r="100" spans="1:31" ht="14.4" thickBot="1">
      <c r="A100" s="495"/>
      <c r="B100" s="504"/>
      <c r="C100" s="505">
        <v>100</v>
      </c>
      <c r="D100" s="505">
        <f t="shared" ref="D100:M100" si="25">C100-$K30</f>
        <v>100</v>
      </c>
      <c r="E100" s="505">
        <f t="shared" si="25"/>
        <v>100</v>
      </c>
      <c r="F100" s="505">
        <f t="shared" si="25"/>
        <v>100</v>
      </c>
      <c r="G100" s="505">
        <f t="shared" si="25"/>
        <v>100</v>
      </c>
      <c r="H100" s="505">
        <f t="shared" si="25"/>
        <v>100</v>
      </c>
      <c r="I100" s="505">
        <f t="shared" si="25"/>
        <v>100</v>
      </c>
      <c r="J100" s="505">
        <f t="shared" si="25"/>
        <v>100</v>
      </c>
      <c r="K100" s="505">
        <f t="shared" si="25"/>
        <v>100</v>
      </c>
      <c r="L100" s="505">
        <f t="shared" si="25"/>
        <v>100</v>
      </c>
      <c r="M100" s="505">
        <f t="shared" si="25"/>
        <v>100</v>
      </c>
      <c r="N100" s="2986"/>
      <c r="O100" s="2986"/>
      <c r="P100" s="3010"/>
      <c r="Q100" s="2971"/>
      <c r="R100" s="2957"/>
      <c r="S100" s="2957"/>
      <c r="T100" s="2957"/>
      <c r="U100" s="2957"/>
      <c r="V100" s="2957"/>
      <c r="W100" s="2957"/>
      <c r="X100" s="2957"/>
      <c r="Y100" s="2957"/>
      <c r="Z100" s="2957"/>
      <c r="AA100" s="2957"/>
      <c r="AB100" s="2957"/>
      <c r="AC100" s="2957"/>
      <c r="AD100" s="2957"/>
      <c r="AE100" s="2957"/>
    </row>
    <row r="101" spans="1:31" ht="14.4" thickTop="1">
      <c r="A101" s="495"/>
      <c r="B101" s="507">
        <f>B31</f>
        <v>111</v>
      </c>
      <c r="C101" s="515"/>
      <c r="D101" s="515"/>
      <c r="E101" s="515"/>
      <c r="F101" s="515"/>
      <c r="G101" s="548"/>
      <c r="H101" s="548"/>
      <c r="I101" s="548"/>
      <c r="J101" s="548"/>
      <c r="K101" s="549"/>
      <c r="L101" s="550"/>
      <c r="M101" s="551"/>
      <c r="N101" s="2985"/>
      <c r="O101" s="2985"/>
      <c r="P101" s="3010"/>
      <c r="Q101" s="2971"/>
      <c r="R101" s="2957"/>
      <c r="S101" s="2957"/>
      <c r="T101" s="2957"/>
      <c r="U101" s="2957"/>
      <c r="V101" s="2957"/>
      <c r="W101" s="2957"/>
      <c r="X101" s="2957"/>
      <c r="Y101" s="2957"/>
      <c r="Z101" s="2957"/>
      <c r="AA101" s="2957"/>
      <c r="AB101" s="2957"/>
      <c r="AC101" s="2957"/>
      <c r="AD101" s="2957"/>
      <c r="AE101" s="2957"/>
    </row>
    <row r="102" spans="1:31" ht="14.4" thickBot="1">
      <c r="A102" s="495"/>
      <c r="B102" s="530"/>
      <c r="C102" s="521"/>
      <c r="D102" s="497"/>
      <c r="E102" s="497"/>
      <c r="F102" s="497"/>
      <c r="G102" s="552"/>
      <c r="H102" s="552"/>
      <c r="I102" s="552"/>
      <c r="J102" s="552"/>
      <c r="K102" s="552"/>
      <c r="L102" s="552"/>
      <c r="M102" s="553"/>
      <c r="N102" s="2986"/>
      <c r="O102" s="2986"/>
      <c r="P102" s="3010"/>
      <c r="Q102" s="2971"/>
      <c r="R102" s="2957"/>
      <c r="S102" s="2957"/>
      <c r="T102" s="2957"/>
      <c r="U102" s="2957"/>
      <c r="V102" s="2957"/>
      <c r="W102" s="2957"/>
      <c r="X102" s="2957"/>
      <c r="Y102" s="2957"/>
      <c r="Z102" s="2957"/>
      <c r="AA102" s="2957"/>
      <c r="AB102" s="2957"/>
      <c r="AC102" s="2957"/>
      <c r="AD102" s="2957"/>
      <c r="AE102" s="2957"/>
    </row>
    <row r="103" spans="1:31" ht="14.4" thickTop="1">
      <c r="A103" s="635"/>
      <c r="B103" s="499">
        <f>B32</f>
        <v>111</v>
      </c>
      <c r="C103" s="515"/>
      <c r="D103" s="515"/>
      <c r="E103" s="515"/>
      <c r="F103" s="515"/>
      <c r="G103" s="544"/>
      <c r="H103" s="544"/>
      <c r="I103" s="544"/>
      <c r="J103" s="544"/>
      <c r="K103" s="545"/>
      <c r="L103" s="546"/>
      <c r="M103" s="547"/>
      <c r="N103" s="2985"/>
      <c r="O103" s="2985"/>
      <c r="P103" s="3010"/>
      <c r="Q103" s="2971"/>
      <c r="R103" s="2957"/>
      <c r="S103" s="2957"/>
      <c r="T103" s="2957"/>
      <c r="U103" s="2957"/>
      <c r="V103" s="2957"/>
      <c r="W103" s="2957"/>
      <c r="X103" s="2957"/>
      <c r="Y103" s="2957"/>
      <c r="Z103" s="2957"/>
      <c r="AA103" s="2957"/>
      <c r="AB103" s="2957"/>
      <c r="AC103" s="2957"/>
      <c r="AD103" s="2957"/>
      <c r="AE103" s="2957"/>
    </row>
    <row r="104" spans="1:31" ht="14.4" thickBot="1">
      <c r="A104" s="495"/>
      <c r="B104" s="504"/>
      <c r="C104" s="521"/>
      <c r="D104" s="521"/>
      <c r="E104" s="521"/>
      <c r="F104" s="521"/>
      <c r="G104" s="497"/>
      <c r="H104" s="497"/>
      <c r="I104" s="497"/>
      <c r="J104" s="497"/>
      <c r="K104" s="497"/>
      <c r="L104" s="497"/>
      <c r="M104" s="498"/>
      <c r="N104" s="2986"/>
      <c r="O104" s="2986"/>
      <c r="P104" s="3010"/>
      <c r="Q104" s="2971"/>
      <c r="R104" s="2957"/>
      <c r="S104" s="2957"/>
      <c r="T104" s="2957"/>
      <c r="U104" s="2957"/>
      <c r="V104" s="2957"/>
      <c r="W104" s="2957"/>
      <c r="X104" s="2957"/>
      <c r="Y104" s="2957"/>
      <c r="Z104" s="2957"/>
      <c r="AA104" s="2957"/>
      <c r="AB104" s="2957"/>
      <c r="AC104" s="2957"/>
      <c r="AD104" s="2957"/>
      <c r="AE104" s="2957"/>
    </row>
    <row r="105" spans="1:31" s="434" customFormat="1" ht="14.4" thickTop="1">
      <c r="A105" s="554"/>
      <c r="B105" s="555">
        <f>B33</f>
        <v>111</v>
      </c>
      <c r="C105" s="484"/>
      <c r="D105" s="484"/>
      <c r="E105" s="484"/>
      <c r="F105" s="484"/>
      <c r="G105" s="556"/>
      <c r="H105" s="556"/>
      <c r="I105" s="556"/>
      <c r="J105" s="557"/>
      <c r="K105" s="557"/>
      <c r="L105" s="558"/>
      <c r="M105" s="559"/>
      <c r="N105" s="2987"/>
      <c r="O105" s="2987"/>
      <c r="P105" s="3011"/>
      <c r="Q105" s="2978"/>
      <c r="R105" s="2979"/>
      <c r="S105" s="2979"/>
      <c r="T105" s="2979"/>
      <c r="U105" s="2979"/>
      <c r="V105" s="2979"/>
      <c r="W105" s="2979"/>
      <c r="X105" s="2979"/>
      <c r="Y105" s="2979"/>
      <c r="Z105" s="2979"/>
      <c r="AA105" s="2979"/>
      <c r="AB105" s="2979"/>
      <c r="AC105" s="2979"/>
      <c r="AD105" s="2979"/>
      <c r="AE105" s="2979"/>
    </row>
    <row r="106" spans="1:31" s="434" customFormat="1" ht="14.4" thickBot="1">
      <c r="A106" s="514"/>
      <c r="B106" s="507"/>
      <c r="C106" s="531"/>
      <c r="D106" s="531"/>
      <c r="E106" s="531"/>
      <c r="F106" s="531"/>
      <c r="G106" s="637"/>
      <c r="H106" s="637"/>
      <c r="I106" s="637"/>
      <c r="J106" s="637"/>
      <c r="K106" s="637"/>
      <c r="L106" s="637"/>
      <c r="M106" s="659"/>
      <c r="N106" s="2986"/>
      <c r="O106" s="2986"/>
      <c r="P106" s="3011"/>
      <c r="Q106" s="2978"/>
      <c r="R106" s="2979"/>
      <c r="S106" s="2979"/>
      <c r="T106" s="2979"/>
      <c r="U106" s="2979"/>
      <c r="V106" s="2979"/>
      <c r="W106" s="2979"/>
      <c r="X106" s="2979"/>
      <c r="Y106" s="2979"/>
      <c r="Z106" s="2979"/>
      <c r="AA106" s="2979"/>
      <c r="AB106" s="2979"/>
      <c r="AC106" s="2979"/>
      <c r="AD106" s="2979"/>
      <c r="AE106" s="2979"/>
    </row>
    <row r="107" spans="1:31" ht="14.4">
      <c r="A107" s="488" t="s">
        <v>2393</v>
      </c>
      <c r="B107" s="489" t="s">
        <v>2621</v>
      </c>
      <c r="C107" s="490" t="str">
        <f t="shared" ref="C107:L107" si="26">C108&amp;"(含)"&amp;"-"&amp;D108</f>
        <v>0(含)-40000</v>
      </c>
      <c r="D107" s="490" t="str">
        <f t="shared" si="26"/>
        <v>40000(含)-</v>
      </c>
      <c r="E107" s="490" t="str">
        <f t="shared" si="26"/>
        <v>(含)-</v>
      </c>
      <c r="F107" s="490" t="str">
        <f t="shared" si="26"/>
        <v>(含)-</v>
      </c>
      <c r="G107" s="490" t="str">
        <f t="shared" si="26"/>
        <v>(含)-</v>
      </c>
      <c r="H107" s="490" t="str">
        <f t="shared" si="26"/>
        <v>(含)-</v>
      </c>
      <c r="I107" s="490" t="str">
        <f t="shared" si="26"/>
        <v>(含)-</v>
      </c>
      <c r="J107" s="490" t="str">
        <f t="shared" si="26"/>
        <v>(含)-</v>
      </c>
      <c r="K107" s="1509" t="str">
        <f t="shared" si="26"/>
        <v>(含)-</v>
      </c>
      <c r="L107" s="1509" t="str">
        <f t="shared" si="26"/>
        <v>(含)-</v>
      </c>
      <c r="M107" s="1510" t="str">
        <f>M108&amp;"(含)"&amp;"-"&amp;P108</f>
        <v>(含)-</v>
      </c>
      <c r="N107" s="2985"/>
      <c r="O107" s="2985"/>
      <c r="P107" s="3010"/>
      <c r="Q107" s="2971"/>
      <c r="R107" s="2957"/>
      <c r="S107" s="2957"/>
      <c r="T107" s="2957"/>
      <c r="U107" s="2957"/>
      <c r="V107" s="2957"/>
      <c r="W107" s="2957"/>
      <c r="X107" s="2957"/>
      <c r="Y107" s="2957"/>
      <c r="Z107" s="2957"/>
      <c r="AA107" s="2957"/>
      <c r="AB107" s="2957"/>
      <c r="AC107" s="2957"/>
      <c r="AD107" s="2957"/>
      <c r="AE107" s="2957"/>
    </row>
    <row r="108" spans="1:31">
      <c r="A108" s="495"/>
      <c r="B108" s="507"/>
      <c r="C108" s="556">
        <v>0</v>
      </c>
      <c r="D108" s="556">
        <v>40000</v>
      </c>
      <c r="E108" s="556"/>
      <c r="F108" s="556"/>
      <c r="G108" s="556"/>
      <c r="H108" s="556"/>
      <c r="I108" s="556"/>
      <c r="J108" s="557"/>
      <c r="K108" s="557"/>
      <c r="L108" s="558"/>
      <c r="M108" s="559"/>
      <c r="N108" s="2985"/>
      <c r="O108" s="2985"/>
      <c r="P108" s="3010"/>
      <c r="Q108" s="2971"/>
      <c r="R108" s="2957"/>
      <c r="S108" s="2957"/>
      <c r="T108" s="2957"/>
      <c r="U108" s="2957"/>
      <c r="V108" s="2957"/>
      <c r="W108" s="2957"/>
      <c r="X108" s="2957"/>
      <c r="Y108" s="2957"/>
      <c r="Z108" s="2957"/>
      <c r="AA108" s="2957"/>
      <c r="AB108" s="2957"/>
      <c r="AC108" s="2957"/>
      <c r="AD108" s="2957"/>
      <c r="AE108" s="2957"/>
    </row>
    <row r="109" spans="1:31" ht="14.4" thickBot="1">
      <c r="A109" s="495"/>
      <c r="B109" s="504"/>
      <c r="C109" s="531">
        <v>100</v>
      </c>
      <c r="D109" s="552">
        <v>102</v>
      </c>
      <c r="E109" s="552"/>
      <c r="F109" s="552"/>
      <c r="G109" s="552"/>
      <c r="H109" s="552"/>
      <c r="I109" s="552"/>
      <c r="J109" s="552"/>
      <c r="K109" s="552"/>
      <c r="L109" s="552"/>
      <c r="M109" s="553"/>
      <c r="N109" s="2986"/>
      <c r="O109" s="2986"/>
      <c r="P109" s="3010"/>
      <c r="Q109" s="2971"/>
      <c r="R109" s="2957"/>
      <c r="S109" s="2957"/>
      <c r="T109" s="2957"/>
      <c r="U109" s="2957"/>
      <c r="V109" s="2957"/>
      <c r="W109" s="2957"/>
      <c r="X109" s="2957"/>
      <c r="Y109" s="2957"/>
      <c r="Z109" s="2957"/>
      <c r="AA109" s="2957"/>
      <c r="AB109" s="2957"/>
      <c r="AC109" s="2957"/>
      <c r="AD109" s="2957"/>
      <c r="AE109" s="2957"/>
    </row>
    <row r="110" spans="1:31" ht="15" thickTop="1">
      <c r="A110" s="560"/>
      <c r="B110" s="499" t="s">
        <v>2622</v>
      </c>
      <c r="C110" s="3045" t="s">
        <v>3174</v>
      </c>
      <c r="D110" s="3045" t="s">
        <v>3175</v>
      </c>
      <c r="E110" s="3045" t="s">
        <v>3176</v>
      </c>
      <c r="F110" s="3045" t="s">
        <v>3177</v>
      </c>
      <c r="G110" s="544"/>
      <c r="H110" s="544"/>
      <c r="I110" s="544"/>
      <c r="J110" s="544"/>
      <c r="K110" s="545"/>
      <c r="L110" s="546"/>
      <c r="M110" s="547"/>
      <c r="N110" s="2985"/>
      <c r="O110" s="2985"/>
      <c r="P110" s="3010"/>
      <c r="Q110" s="2971"/>
      <c r="R110" s="2957"/>
      <c r="S110" s="2957"/>
      <c r="T110" s="2957"/>
      <c r="U110" s="2957"/>
      <c r="V110" s="2957"/>
      <c r="W110" s="2957"/>
      <c r="X110" s="2957"/>
      <c r="Y110" s="2957"/>
      <c r="Z110" s="2957"/>
      <c r="AA110" s="2957"/>
      <c r="AB110" s="2957"/>
      <c r="AC110" s="2957"/>
      <c r="AD110" s="2957"/>
      <c r="AE110" s="2957"/>
    </row>
    <row r="111" spans="1:31" ht="14.4" thickBot="1">
      <c r="A111" s="495"/>
      <c r="B111" s="504"/>
      <c r="C111" s="505">
        <v>100</v>
      </c>
      <c r="D111" s="505">
        <f t="shared" ref="D111:M111" si="27">C111-$K35</f>
        <v>98</v>
      </c>
      <c r="E111" s="505">
        <f t="shared" si="27"/>
        <v>96</v>
      </c>
      <c r="F111" s="505">
        <f t="shared" si="27"/>
        <v>94</v>
      </c>
      <c r="G111" s="505">
        <f t="shared" si="27"/>
        <v>92</v>
      </c>
      <c r="H111" s="505">
        <f t="shared" si="27"/>
        <v>90</v>
      </c>
      <c r="I111" s="505">
        <f t="shared" si="27"/>
        <v>88</v>
      </c>
      <c r="J111" s="505">
        <f t="shared" si="27"/>
        <v>86</v>
      </c>
      <c r="K111" s="505">
        <f t="shared" si="27"/>
        <v>84</v>
      </c>
      <c r="L111" s="505">
        <f t="shared" si="27"/>
        <v>82</v>
      </c>
      <c r="M111" s="506">
        <f t="shared" si="27"/>
        <v>80</v>
      </c>
      <c r="N111" s="2986"/>
      <c r="O111" s="2986"/>
      <c r="P111" s="3010"/>
      <c r="Q111" s="2971"/>
      <c r="R111" s="2957"/>
      <c r="S111" s="2957"/>
      <c r="T111" s="2957"/>
      <c r="U111" s="2957"/>
      <c r="V111" s="2957"/>
      <c r="W111" s="2957"/>
      <c r="X111" s="2957"/>
      <c r="Y111" s="2957"/>
      <c r="Z111" s="2957"/>
      <c r="AA111" s="2957"/>
      <c r="AB111" s="2957"/>
      <c r="AC111" s="2957"/>
      <c r="AD111" s="2957"/>
      <c r="AE111" s="2957"/>
    </row>
    <row r="112" spans="1:31" s="434" customFormat="1" ht="15" thickTop="1">
      <c r="A112" s="554"/>
      <c r="B112" s="499" t="s">
        <v>2624</v>
      </c>
      <c r="C112" s="3044" t="s">
        <v>3163</v>
      </c>
      <c r="D112" s="3044" t="s">
        <v>3178</v>
      </c>
      <c r="E112" s="3044" t="s">
        <v>3179</v>
      </c>
      <c r="F112" s="3044" t="s">
        <v>3180</v>
      </c>
      <c r="G112" s="3044" t="s">
        <v>3181</v>
      </c>
      <c r="H112" s="544"/>
      <c r="I112" s="544"/>
      <c r="J112" s="544"/>
      <c r="K112" s="545"/>
      <c r="L112" s="546"/>
      <c r="M112" s="547"/>
      <c r="N112" s="2987"/>
      <c r="O112" s="2987"/>
      <c r="P112" s="3011"/>
      <c r="Q112" s="2978"/>
      <c r="R112" s="2979"/>
      <c r="S112" s="2979"/>
      <c r="T112" s="2979"/>
      <c r="U112" s="2979"/>
      <c r="V112" s="2979"/>
      <c r="W112" s="2979"/>
      <c r="X112" s="2979"/>
      <c r="Y112" s="2979"/>
      <c r="Z112" s="2979"/>
      <c r="AA112" s="2979"/>
      <c r="AB112" s="2979"/>
      <c r="AC112" s="2979"/>
      <c r="AD112" s="2979"/>
      <c r="AE112" s="2979"/>
    </row>
    <row r="113" spans="1:31" s="434" customFormat="1" ht="14.4" thickBot="1">
      <c r="A113" s="514"/>
      <c r="B113" s="504"/>
      <c r="C113" s="505">
        <v>100</v>
      </c>
      <c r="D113" s="505">
        <f t="shared" ref="D113:M113" si="28">C113-$K36</f>
        <v>98</v>
      </c>
      <c r="E113" s="505">
        <f t="shared" si="28"/>
        <v>96</v>
      </c>
      <c r="F113" s="505">
        <f t="shared" si="28"/>
        <v>94</v>
      </c>
      <c r="G113" s="505">
        <f t="shared" si="28"/>
        <v>92</v>
      </c>
      <c r="H113" s="505">
        <f t="shared" si="28"/>
        <v>90</v>
      </c>
      <c r="I113" s="505">
        <f t="shared" si="28"/>
        <v>88</v>
      </c>
      <c r="J113" s="505">
        <f t="shared" si="28"/>
        <v>86</v>
      </c>
      <c r="K113" s="505">
        <f t="shared" si="28"/>
        <v>84</v>
      </c>
      <c r="L113" s="505">
        <f t="shared" si="28"/>
        <v>82</v>
      </c>
      <c r="M113" s="506">
        <f t="shared" si="28"/>
        <v>80</v>
      </c>
      <c r="N113" s="2987"/>
      <c r="O113" s="2987"/>
      <c r="P113" s="3011"/>
      <c r="Q113" s="2978"/>
      <c r="R113" s="2979"/>
      <c r="S113" s="2979"/>
      <c r="T113" s="2979"/>
      <c r="U113" s="2979"/>
      <c r="V113" s="2979"/>
      <c r="W113" s="2979"/>
      <c r="X113" s="2979"/>
      <c r="Y113" s="2979"/>
      <c r="Z113" s="2979"/>
      <c r="AA113" s="2979"/>
      <c r="AB113" s="2979"/>
      <c r="AC113" s="2979"/>
      <c r="AD113" s="2979"/>
      <c r="AE113" s="2979"/>
    </row>
    <row r="114" spans="1:31" ht="15" thickTop="1">
      <c r="A114" s="560"/>
      <c r="B114" s="499" t="s">
        <v>2625</v>
      </c>
      <c r="C114" s="3044" t="s">
        <v>3182</v>
      </c>
      <c r="D114" s="3044" t="s">
        <v>3183</v>
      </c>
      <c r="E114" s="3045" t="s">
        <v>3184</v>
      </c>
      <c r="F114" s="3045" t="s">
        <v>3185</v>
      </c>
      <c r="G114" s="3045" t="s">
        <v>3186</v>
      </c>
      <c r="H114" s="544"/>
      <c r="I114" s="544"/>
      <c r="J114" s="544"/>
      <c r="K114" s="545"/>
      <c r="L114" s="546"/>
      <c r="M114" s="547"/>
      <c r="N114" s="2985"/>
      <c r="O114" s="2985"/>
      <c r="P114" s="3010"/>
      <c r="Q114" s="2971"/>
      <c r="R114" s="2957"/>
      <c r="S114" s="2957"/>
      <c r="T114" s="2957"/>
      <c r="U114" s="2957"/>
      <c r="V114" s="2957"/>
      <c r="W114" s="2957"/>
      <c r="X114" s="2957"/>
      <c r="Y114" s="2957"/>
      <c r="Z114" s="2957"/>
      <c r="AA114" s="2957"/>
      <c r="AB114" s="2957"/>
      <c r="AC114" s="2957"/>
      <c r="AD114" s="2957"/>
      <c r="AE114" s="2957"/>
    </row>
    <row r="115" spans="1:31" ht="14.4" thickBot="1">
      <c r="A115" s="495"/>
      <c r="B115" s="504"/>
      <c r="C115" s="505">
        <v>100</v>
      </c>
      <c r="D115" s="505">
        <f t="shared" ref="D115:M115" si="29">C115-$K37</f>
        <v>99</v>
      </c>
      <c r="E115" s="505">
        <f t="shared" si="29"/>
        <v>98</v>
      </c>
      <c r="F115" s="505">
        <f t="shared" si="29"/>
        <v>97</v>
      </c>
      <c r="G115" s="505">
        <f t="shared" si="29"/>
        <v>96</v>
      </c>
      <c r="H115" s="505">
        <f t="shared" si="29"/>
        <v>95</v>
      </c>
      <c r="I115" s="505">
        <f t="shared" si="29"/>
        <v>94</v>
      </c>
      <c r="J115" s="505">
        <f t="shared" si="29"/>
        <v>93</v>
      </c>
      <c r="K115" s="505">
        <f t="shared" si="29"/>
        <v>92</v>
      </c>
      <c r="L115" s="505">
        <f t="shared" si="29"/>
        <v>91</v>
      </c>
      <c r="M115" s="506">
        <f t="shared" si="29"/>
        <v>90</v>
      </c>
      <c r="N115" s="2986"/>
      <c r="O115" s="2986"/>
      <c r="P115" s="3010"/>
      <c r="Q115" s="2971"/>
      <c r="R115" s="2957"/>
      <c r="S115" s="2957"/>
      <c r="T115" s="2957"/>
      <c r="U115" s="2957"/>
      <c r="V115" s="2957"/>
      <c r="W115" s="2957"/>
      <c r="X115" s="2957"/>
      <c r="Y115" s="2957"/>
      <c r="Z115" s="2957"/>
      <c r="AA115" s="2957"/>
      <c r="AB115" s="2957"/>
      <c r="AC115" s="2957"/>
      <c r="AD115" s="2957"/>
      <c r="AE115" s="2957"/>
    </row>
    <row r="116" spans="1:31" ht="14.4" thickTop="1">
      <c r="A116" s="560"/>
      <c r="B116" s="499">
        <f>B38</f>
        <v>111</v>
      </c>
      <c r="C116" s="515"/>
      <c r="D116" s="515"/>
      <c r="E116" s="515"/>
      <c r="F116" s="515"/>
      <c r="G116" s="515"/>
      <c r="H116" s="544"/>
      <c r="I116" s="544"/>
      <c r="J116" s="544"/>
      <c r="K116" s="545"/>
      <c r="L116" s="546"/>
      <c r="M116" s="547"/>
      <c r="N116" s="2985"/>
      <c r="O116" s="2985"/>
      <c r="P116" s="3010"/>
      <c r="Q116" s="2971"/>
      <c r="R116" s="2957"/>
      <c r="S116" s="2957"/>
      <c r="T116" s="2957"/>
      <c r="U116" s="2957"/>
      <c r="V116" s="2957"/>
      <c r="W116" s="2957"/>
      <c r="X116" s="2957"/>
      <c r="Y116" s="2957"/>
      <c r="Z116" s="2957"/>
      <c r="AA116" s="2957"/>
      <c r="AB116" s="2957"/>
      <c r="AC116" s="2957"/>
      <c r="AD116" s="2957"/>
      <c r="AE116" s="2957"/>
    </row>
    <row r="117" spans="1:31" ht="14.4" thickBot="1">
      <c r="A117" s="495"/>
      <c r="B117" s="504"/>
      <c r="C117" s="521"/>
      <c r="D117" s="497"/>
      <c r="E117" s="497"/>
      <c r="F117" s="497"/>
      <c r="G117" s="497"/>
      <c r="H117" s="497"/>
      <c r="I117" s="497"/>
      <c r="J117" s="497"/>
      <c r="K117" s="497"/>
      <c r="L117" s="497"/>
      <c r="M117" s="498"/>
      <c r="N117" s="2986"/>
      <c r="O117" s="2986"/>
      <c r="P117" s="3010"/>
      <c r="Q117" s="2971"/>
      <c r="R117" s="2957"/>
      <c r="S117" s="2957"/>
      <c r="T117" s="2957"/>
      <c r="U117" s="2957"/>
      <c r="V117" s="2957"/>
      <c r="W117" s="2957"/>
      <c r="X117" s="2957"/>
      <c r="Y117" s="2957"/>
      <c r="Z117" s="2957"/>
      <c r="AA117" s="2957"/>
      <c r="AB117" s="2957"/>
      <c r="AC117" s="2957"/>
      <c r="AD117" s="2957"/>
      <c r="AE117" s="2957"/>
    </row>
    <row r="118" spans="1:31" ht="14.4" thickTop="1">
      <c r="A118" s="560"/>
      <c r="B118" s="499">
        <f>B39</f>
        <v>111</v>
      </c>
      <c r="C118" s="515"/>
      <c r="D118" s="515"/>
      <c r="E118" s="515"/>
      <c r="F118" s="515"/>
      <c r="G118" s="544"/>
      <c r="H118" s="544"/>
      <c r="I118" s="544"/>
      <c r="J118" s="544"/>
      <c r="K118" s="545"/>
      <c r="L118" s="546"/>
      <c r="M118" s="547"/>
      <c r="N118" s="2985"/>
      <c r="O118" s="2985"/>
      <c r="P118" s="3010"/>
      <c r="Q118" s="2971"/>
      <c r="R118" s="2957"/>
      <c r="S118" s="2957"/>
      <c r="T118" s="2957"/>
      <c r="U118" s="2957"/>
      <c r="V118" s="2957"/>
      <c r="W118" s="2957"/>
      <c r="X118" s="2957"/>
      <c r="Y118" s="2957"/>
      <c r="Z118" s="2957"/>
      <c r="AA118" s="2957"/>
      <c r="AB118" s="2957"/>
      <c r="AC118" s="2957"/>
      <c r="AD118" s="2957"/>
      <c r="AE118" s="2957"/>
    </row>
    <row r="119" spans="1:31" ht="14.4" thickBot="1">
      <c r="A119" s="495"/>
      <c r="B119" s="504"/>
      <c r="C119" s="521"/>
      <c r="D119" s="521"/>
      <c r="E119" s="521"/>
      <c r="F119" s="521"/>
      <c r="G119" s="497"/>
      <c r="H119" s="497"/>
      <c r="I119" s="497"/>
      <c r="J119" s="497"/>
      <c r="K119" s="497"/>
      <c r="L119" s="497"/>
      <c r="M119" s="498"/>
      <c r="N119" s="2986"/>
      <c r="O119" s="2986"/>
      <c r="P119" s="3010"/>
      <c r="Q119" s="2971"/>
      <c r="R119" s="2957"/>
      <c r="S119" s="2957"/>
      <c r="T119" s="2957"/>
      <c r="U119" s="2957"/>
      <c r="V119" s="2957"/>
      <c r="W119" s="2957"/>
      <c r="X119" s="2957"/>
      <c r="Y119" s="2957"/>
      <c r="Z119" s="2957"/>
      <c r="AA119" s="2957"/>
      <c r="AB119" s="2957"/>
      <c r="AC119" s="2957"/>
      <c r="AD119" s="2957"/>
      <c r="AE119" s="2957"/>
    </row>
    <row r="120" spans="1:31" s="434" customFormat="1" ht="14.4" thickTop="1">
      <c r="A120" s="554"/>
      <c r="B120" s="499">
        <f>B40</f>
        <v>111</v>
      </c>
      <c r="C120" s="484"/>
      <c r="D120" s="484"/>
      <c r="E120" s="484"/>
      <c r="F120" s="484"/>
      <c r="G120" s="516"/>
      <c r="H120" s="516"/>
      <c r="I120" s="516"/>
      <c r="J120" s="516"/>
      <c r="K120" s="516"/>
      <c r="L120" s="517"/>
      <c r="M120" s="518"/>
      <c r="N120" s="2987"/>
      <c r="O120" s="2987"/>
      <c r="P120" s="3011"/>
      <c r="Q120" s="2978"/>
      <c r="R120" s="2979"/>
      <c r="S120" s="2979"/>
      <c r="T120" s="2979"/>
      <c r="U120" s="2979"/>
      <c r="V120" s="2979"/>
      <c r="W120" s="2979"/>
      <c r="X120" s="2979"/>
      <c r="Y120" s="2979"/>
      <c r="Z120" s="2979"/>
      <c r="AA120" s="2979"/>
      <c r="AB120" s="2979"/>
      <c r="AC120" s="2979"/>
      <c r="AD120" s="2979"/>
      <c r="AE120" s="2979"/>
    </row>
    <row r="121" spans="1:31" s="434" customFormat="1" ht="14.4" thickBot="1">
      <c r="A121" s="529"/>
      <c r="B121" s="660"/>
      <c r="C121" s="531"/>
      <c r="D121" s="531"/>
      <c r="E121" s="531"/>
      <c r="F121" s="531"/>
      <c r="G121" s="552"/>
      <c r="H121" s="552"/>
      <c r="I121" s="552"/>
      <c r="J121" s="552"/>
      <c r="K121" s="552"/>
      <c r="L121" s="552"/>
      <c r="M121" s="553"/>
      <c r="N121" s="2987"/>
      <c r="O121" s="2987"/>
      <c r="P121" s="3011"/>
      <c r="Q121" s="2978"/>
      <c r="R121" s="2979"/>
      <c r="S121" s="2979"/>
      <c r="T121" s="2979"/>
      <c r="U121" s="2979"/>
      <c r="V121" s="2979"/>
      <c r="W121" s="2979"/>
      <c r="X121" s="2979"/>
      <c r="Y121" s="2979"/>
      <c r="Z121" s="2979"/>
      <c r="AA121" s="2979"/>
      <c r="AB121" s="2979"/>
      <c r="AC121" s="2979"/>
      <c r="AD121" s="2979"/>
      <c r="AE121" s="2979"/>
    </row>
    <row r="122" spans="1:31">
      <c r="N122" s="2957"/>
      <c r="O122" s="2957"/>
      <c r="P122" s="2957"/>
      <c r="Q122" s="2957"/>
      <c r="R122" s="2957"/>
      <c r="S122" s="2957"/>
      <c r="T122" s="2957"/>
      <c r="U122" s="2957"/>
      <c r="V122" s="2957"/>
      <c r="W122" s="2957"/>
      <c r="X122" s="2957"/>
      <c r="Y122" s="2957"/>
      <c r="Z122" s="2957"/>
      <c r="AA122" s="2957"/>
      <c r="AB122" s="2957"/>
      <c r="AC122" s="2957"/>
      <c r="AD122" s="2957"/>
      <c r="AE122" s="2957"/>
    </row>
    <row r="123" spans="1:31">
      <c r="P123" s="2957"/>
      <c r="Q123" s="2957"/>
      <c r="R123" s="2957"/>
      <c r="S123" s="2957"/>
      <c r="T123" s="2957"/>
      <c r="U123" s="2957"/>
      <c r="V123" s="2957"/>
      <c r="W123" s="2957"/>
      <c r="X123" s="2957"/>
      <c r="Y123" s="2957"/>
      <c r="Z123" s="2957"/>
      <c r="AA123" s="2957"/>
      <c r="AB123" s="2957"/>
      <c r="AC123" s="2957"/>
      <c r="AD123" s="2957"/>
      <c r="AE123" s="295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 priority="17" stopIfTrue="1" operator="containsText" text="超过">
      <formula>NOT(ISERROR(SEARCH("超过",F46)))</formula>
    </cfRule>
  </conditionalFormatting>
  <conditionalFormatting sqref="J48">
    <cfRule type="containsText" dxfId="15" priority="16" stopIfTrue="1" operator="containsText" text="超过">
      <formula>NOT(ISERROR(SEARCH("超过",J48)))</formula>
    </cfRule>
  </conditionalFormatting>
  <conditionalFormatting sqref="H48">
    <cfRule type="containsText" dxfId="14" priority="15" stopIfTrue="1" operator="containsText" text="超过">
      <formula>NOT(ISERROR(SEARCH("超过",H48)))</formula>
    </cfRule>
  </conditionalFormatting>
  <conditionalFormatting sqref="F48">
    <cfRule type="containsText" dxfId="13" priority="14" stopIfTrue="1" operator="containsText" text="超过">
      <formula>NOT(ISERROR(SEARCH("超过",F48)))</formula>
    </cfRule>
  </conditionalFormatting>
  <conditionalFormatting sqref="F47 H47 J47">
    <cfRule type="containsText" dxfId="12" priority="13" stopIfTrue="1" operator="containsText" text="超过">
      <formula>NOT(ISERROR(SEARCH("超过",F47)))</formula>
    </cfRule>
  </conditionalFormatting>
  <conditionalFormatting sqref="E46">
    <cfRule type="expression" dxfId="11" priority="12" stopIfTrue="1">
      <formula>$F$46="超过30%"</formula>
    </cfRule>
  </conditionalFormatting>
  <conditionalFormatting sqref="G48">
    <cfRule type="expression" dxfId="10" priority="11" stopIfTrue="1">
      <formula>$H$48="超过30%"</formula>
    </cfRule>
  </conditionalFormatting>
  <conditionalFormatting sqref="E48">
    <cfRule type="expression" dxfId="9" priority="9" stopIfTrue="1">
      <formula>$F$48="超过30%"</formula>
    </cfRule>
  </conditionalFormatting>
  <conditionalFormatting sqref="G46">
    <cfRule type="expression" dxfId="8" priority="8" stopIfTrue="1">
      <formula>$H$46="超过30%"</formula>
    </cfRule>
  </conditionalFormatting>
  <conditionalFormatting sqref="G47">
    <cfRule type="expression" dxfId="7" priority="7" stopIfTrue="1">
      <formula>$H$47="超过20%"</formula>
    </cfRule>
  </conditionalFormatting>
  <conditionalFormatting sqref="I46">
    <cfRule type="expression" dxfId="6" priority="6" stopIfTrue="1">
      <formula>$J$46="超过30%"</formula>
    </cfRule>
  </conditionalFormatting>
  <conditionalFormatting sqref="I47">
    <cfRule type="expression" dxfId="5" priority="5" stopIfTrue="1">
      <formula>$J$47="超过20%"</formula>
    </cfRule>
  </conditionalFormatting>
  <conditionalFormatting sqref="I48">
    <cfRule type="expression" dxfId="4" priority="4" stopIfTrue="1">
      <formula>$J$48="超过30%"</formula>
    </cfRule>
  </conditionalFormatting>
  <conditionalFormatting sqref="E47">
    <cfRule type="expression" dxfId="3" priority="52" stopIfTrue="1">
      <formula>#REF!+$F$47="超过20%"</formula>
    </cfRule>
  </conditionalFormatting>
  <conditionalFormatting sqref="F42">
    <cfRule type="expression" dxfId="2" priority="3">
      <formula>$D$42="简单平均"</formula>
    </cfRule>
  </conditionalFormatting>
  <conditionalFormatting sqref="H42">
    <cfRule type="expression" dxfId="1" priority="2">
      <formula>$D$42="简单平均"</formula>
    </cfRule>
  </conditionalFormatting>
  <conditionalFormatting sqref="J42">
    <cfRule type="expression" dxfId="0"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G9" sqref="G9"/>
    </sheetView>
  </sheetViews>
  <sheetFormatPr defaultColWidth="9" defaultRowHeight="20.25" customHeight="1"/>
  <cols>
    <col min="1" max="1" width="14.21875" style="3066" customWidth="1"/>
    <col min="2" max="2" width="18.77734375" style="3066" customWidth="1"/>
    <col min="3" max="5" width="14.21875" style="3066" customWidth="1"/>
    <col min="6" max="6" width="11" style="3066" customWidth="1"/>
    <col min="7" max="7" width="9" style="3066"/>
    <col min="8" max="8" width="13.77734375" style="3066" customWidth="1"/>
    <col min="9" max="256" width="9" style="3066"/>
    <col min="257" max="257" width="14.21875" style="3066" customWidth="1"/>
    <col min="258" max="258" width="18.77734375" style="3066" customWidth="1"/>
    <col min="259" max="261" width="14.21875" style="3066" customWidth="1"/>
    <col min="262" max="262" width="11" style="3066" customWidth="1"/>
    <col min="263" max="263" width="9" style="3066"/>
    <col min="264" max="264" width="13.77734375" style="3066" customWidth="1"/>
    <col min="265" max="512" width="9" style="3066"/>
    <col min="513" max="513" width="14.21875" style="3066" customWidth="1"/>
    <col min="514" max="514" width="18.77734375" style="3066" customWidth="1"/>
    <col min="515" max="517" width="14.21875" style="3066" customWidth="1"/>
    <col min="518" max="518" width="11" style="3066" customWidth="1"/>
    <col min="519" max="519" width="9" style="3066"/>
    <col min="520" max="520" width="13.77734375" style="3066" customWidth="1"/>
    <col min="521" max="768" width="9" style="3066"/>
    <col min="769" max="769" width="14.21875" style="3066" customWidth="1"/>
    <col min="770" max="770" width="18.77734375" style="3066" customWidth="1"/>
    <col min="771" max="773" width="14.21875" style="3066" customWidth="1"/>
    <col min="774" max="774" width="11" style="3066" customWidth="1"/>
    <col min="775" max="775" width="9" style="3066"/>
    <col min="776" max="776" width="13.77734375" style="3066" customWidth="1"/>
    <col min="777" max="1024" width="9" style="3066"/>
    <col min="1025" max="1025" width="14.21875" style="3066" customWidth="1"/>
    <col min="1026" max="1026" width="18.77734375" style="3066" customWidth="1"/>
    <col min="1027" max="1029" width="14.21875" style="3066" customWidth="1"/>
    <col min="1030" max="1030" width="11" style="3066" customWidth="1"/>
    <col min="1031" max="1031" width="9" style="3066"/>
    <col min="1032" max="1032" width="13.77734375" style="3066" customWidth="1"/>
    <col min="1033" max="1280" width="9" style="3066"/>
    <col min="1281" max="1281" width="14.21875" style="3066" customWidth="1"/>
    <col min="1282" max="1282" width="18.77734375" style="3066" customWidth="1"/>
    <col min="1283" max="1285" width="14.21875" style="3066" customWidth="1"/>
    <col min="1286" max="1286" width="11" style="3066" customWidth="1"/>
    <col min="1287" max="1287" width="9" style="3066"/>
    <col min="1288" max="1288" width="13.77734375" style="3066" customWidth="1"/>
    <col min="1289" max="1536" width="9" style="3066"/>
    <col min="1537" max="1537" width="14.21875" style="3066" customWidth="1"/>
    <col min="1538" max="1538" width="18.77734375" style="3066" customWidth="1"/>
    <col min="1539" max="1541" width="14.21875" style="3066" customWidth="1"/>
    <col min="1542" max="1542" width="11" style="3066" customWidth="1"/>
    <col min="1543" max="1543" width="9" style="3066"/>
    <col min="1544" max="1544" width="13.77734375" style="3066" customWidth="1"/>
    <col min="1545" max="1792" width="9" style="3066"/>
    <col min="1793" max="1793" width="14.21875" style="3066" customWidth="1"/>
    <col min="1794" max="1794" width="18.77734375" style="3066" customWidth="1"/>
    <col min="1795" max="1797" width="14.21875" style="3066" customWidth="1"/>
    <col min="1798" max="1798" width="11" style="3066" customWidth="1"/>
    <col min="1799" max="1799" width="9" style="3066"/>
    <col min="1800" max="1800" width="13.77734375" style="3066" customWidth="1"/>
    <col min="1801" max="2048" width="9" style="3066"/>
    <col min="2049" max="2049" width="14.21875" style="3066" customWidth="1"/>
    <col min="2050" max="2050" width="18.77734375" style="3066" customWidth="1"/>
    <col min="2051" max="2053" width="14.21875" style="3066" customWidth="1"/>
    <col min="2054" max="2054" width="11" style="3066" customWidth="1"/>
    <col min="2055" max="2055" width="9" style="3066"/>
    <col min="2056" max="2056" width="13.77734375" style="3066" customWidth="1"/>
    <col min="2057" max="2304" width="9" style="3066"/>
    <col min="2305" max="2305" width="14.21875" style="3066" customWidth="1"/>
    <col min="2306" max="2306" width="18.77734375" style="3066" customWidth="1"/>
    <col min="2307" max="2309" width="14.21875" style="3066" customWidth="1"/>
    <col min="2310" max="2310" width="11" style="3066" customWidth="1"/>
    <col min="2311" max="2311" width="9" style="3066"/>
    <col min="2312" max="2312" width="13.77734375" style="3066" customWidth="1"/>
    <col min="2313" max="2560" width="9" style="3066"/>
    <col min="2561" max="2561" width="14.21875" style="3066" customWidth="1"/>
    <col min="2562" max="2562" width="18.77734375" style="3066" customWidth="1"/>
    <col min="2563" max="2565" width="14.21875" style="3066" customWidth="1"/>
    <col min="2566" max="2566" width="11" style="3066" customWidth="1"/>
    <col min="2567" max="2567" width="9" style="3066"/>
    <col min="2568" max="2568" width="13.77734375" style="3066" customWidth="1"/>
    <col min="2569" max="2816" width="9" style="3066"/>
    <col min="2817" max="2817" width="14.21875" style="3066" customWidth="1"/>
    <col min="2818" max="2818" width="18.77734375" style="3066" customWidth="1"/>
    <col min="2819" max="2821" width="14.21875" style="3066" customWidth="1"/>
    <col min="2822" max="2822" width="11" style="3066" customWidth="1"/>
    <col min="2823" max="2823" width="9" style="3066"/>
    <col min="2824" max="2824" width="13.77734375" style="3066" customWidth="1"/>
    <col min="2825" max="3072" width="9" style="3066"/>
    <col min="3073" max="3073" width="14.21875" style="3066" customWidth="1"/>
    <col min="3074" max="3074" width="18.77734375" style="3066" customWidth="1"/>
    <col min="3075" max="3077" width="14.21875" style="3066" customWidth="1"/>
    <col min="3078" max="3078" width="11" style="3066" customWidth="1"/>
    <col min="3079" max="3079" width="9" style="3066"/>
    <col min="3080" max="3080" width="13.77734375" style="3066" customWidth="1"/>
    <col min="3081" max="3328" width="9" style="3066"/>
    <col min="3329" max="3329" width="14.21875" style="3066" customWidth="1"/>
    <col min="3330" max="3330" width="18.77734375" style="3066" customWidth="1"/>
    <col min="3331" max="3333" width="14.21875" style="3066" customWidth="1"/>
    <col min="3334" max="3334" width="11" style="3066" customWidth="1"/>
    <col min="3335" max="3335" width="9" style="3066"/>
    <col min="3336" max="3336" width="13.77734375" style="3066" customWidth="1"/>
    <col min="3337" max="3584" width="9" style="3066"/>
    <col min="3585" max="3585" width="14.21875" style="3066" customWidth="1"/>
    <col min="3586" max="3586" width="18.77734375" style="3066" customWidth="1"/>
    <col min="3587" max="3589" width="14.21875" style="3066" customWidth="1"/>
    <col min="3590" max="3590" width="11" style="3066" customWidth="1"/>
    <col min="3591" max="3591" width="9" style="3066"/>
    <col min="3592" max="3592" width="13.77734375" style="3066" customWidth="1"/>
    <col min="3593" max="3840" width="9" style="3066"/>
    <col min="3841" max="3841" width="14.21875" style="3066" customWidth="1"/>
    <col min="3842" max="3842" width="18.77734375" style="3066" customWidth="1"/>
    <col min="3843" max="3845" width="14.21875" style="3066" customWidth="1"/>
    <col min="3846" max="3846" width="11" style="3066" customWidth="1"/>
    <col min="3847" max="3847" width="9" style="3066"/>
    <col min="3848" max="3848" width="13.77734375" style="3066" customWidth="1"/>
    <col min="3849" max="4096" width="9" style="3066"/>
    <col min="4097" max="4097" width="14.21875" style="3066" customWidth="1"/>
    <col min="4098" max="4098" width="18.77734375" style="3066" customWidth="1"/>
    <col min="4099" max="4101" width="14.21875" style="3066" customWidth="1"/>
    <col min="4102" max="4102" width="11" style="3066" customWidth="1"/>
    <col min="4103" max="4103" width="9" style="3066"/>
    <col min="4104" max="4104" width="13.77734375" style="3066" customWidth="1"/>
    <col min="4105" max="4352" width="9" style="3066"/>
    <col min="4353" max="4353" width="14.21875" style="3066" customWidth="1"/>
    <col min="4354" max="4354" width="18.77734375" style="3066" customWidth="1"/>
    <col min="4355" max="4357" width="14.21875" style="3066" customWidth="1"/>
    <col min="4358" max="4358" width="11" style="3066" customWidth="1"/>
    <col min="4359" max="4359" width="9" style="3066"/>
    <col min="4360" max="4360" width="13.77734375" style="3066" customWidth="1"/>
    <col min="4361" max="4608" width="9" style="3066"/>
    <col min="4609" max="4609" width="14.21875" style="3066" customWidth="1"/>
    <col min="4610" max="4610" width="18.77734375" style="3066" customWidth="1"/>
    <col min="4611" max="4613" width="14.21875" style="3066" customWidth="1"/>
    <col min="4614" max="4614" width="11" style="3066" customWidth="1"/>
    <col min="4615" max="4615" width="9" style="3066"/>
    <col min="4616" max="4616" width="13.77734375" style="3066" customWidth="1"/>
    <col min="4617" max="4864" width="9" style="3066"/>
    <col min="4865" max="4865" width="14.21875" style="3066" customWidth="1"/>
    <col min="4866" max="4866" width="18.77734375" style="3066" customWidth="1"/>
    <col min="4867" max="4869" width="14.21875" style="3066" customWidth="1"/>
    <col min="4870" max="4870" width="11" style="3066" customWidth="1"/>
    <col min="4871" max="4871" width="9" style="3066"/>
    <col min="4872" max="4872" width="13.77734375" style="3066" customWidth="1"/>
    <col min="4873" max="5120" width="9" style="3066"/>
    <col min="5121" max="5121" width="14.21875" style="3066" customWidth="1"/>
    <col min="5122" max="5122" width="18.77734375" style="3066" customWidth="1"/>
    <col min="5123" max="5125" width="14.21875" style="3066" customWidth="1"/>
    <col min="5126" max="5126" width="11" style="3066" customWidth="1"/>
    <col min="5127" max="5127" width="9" style="3066"/>
    <col min="5128" max="5128" width="13.77734375" style="3066" customWidth="1"/>
    <col min="5129" max="5376" width="9" style="3066"/>
    <col min="5377" max="5377" width="14.21875" style="3066" customWidth="1"/>
    <col min="5378" max="5378" width="18.77734375" style="3066" customWidth="1"/>
    <col min="5379" max="5381" width="14.21875" style="3066" customWidth="1"/>
    <col min="5382" max="5382" width="11" style="3066" customWidth="1"/>
    <col min="5383" max="5383" width="9" style="3066"/>
    <col min="5384" max="5384" width="13.77734375" style="3066" customWidth="1"/>
    <col min="5385" max="5632" width="9" style="3066"/>
    <col min="5633" max="5633" width="14.21875" style="3066" customWidth="1"/>
    <col min="5634" max="5634" width="18.77734375" style="3066" customWidth="1"/>
    <col min="5635" max="5637" width="14.21875" style="3066" customWidth="1"/>
    <col min="5638" max="5638" width="11" style="3066" customWidth="1"/>
    <col min="5639" max="5639" width="9" style="3066"/>
    <col min="5640" max="5640" width="13.77734375" style="3066" customWidth="1"/>
    <col min="5641" max="5888" width="9" style="3066"/>
    <col min="5889" max="5889" width="14.21875" style="3066" customWidth="1"/>
    <col min="5890" max="5890" width="18.77734375" style="3066" customWidth="1"/>
    <col min="5891" max="5893" width="14.21875" style="3066" customWidth="1"/>
    <col min="5894" max="5894" width="11" style="3066" customWidth="1"/>
    <col min="5895" max="5895" width="9" style="3066"/>
    <col min="5896" max="5896" width="13.77734375" style="3066" customWidth="1"/>
    <col min="5897" max="6144" width="9" style="3066"/>
    <col min="6145" max="6145" width="14.21875" style="3066" customWidth="1"/>
    <col min="6146" max="6146" width="18.77734375" style="3066" customWidth="1"/>
    <col min="6147" max="6149" width="14.21875" style="3066" customWidth="1"/>
    <col min="6150" max="6150" width="11" style="3066" customWidth="1"/>
    <col min="6151" max="6151" width="9" style="3066"/>
    <col min="6152" max="6152" width="13.77734375" style="3066" customWidth="1"/>
    <col min="6153" max="6400" width="9" style="3066"/>
    <col min="6401" max="6401" width="14.21875" style="3066" customWidth="1"/>
    <col min="6402" max="6402" width="18.77734375" style="3066" customWidth="1"/>
    <col min="6403" max="6405" width="14.21875" style="3066" customWidth="1"/>
    <col min="6406" max="6406" width="11" style="3066" customWidth="1"/>
    <col min="6407" max="6407" width="9" style="3066"/>
    <col min="6408" max="6408" width="13.77734375" style="3066" customWidth="1"/>
    <col min="6409" max="6656" width="9" style="3066"/>
    <col min="6657" max="6657" width="14.21875" style="3066" customWidth="1"/>
    <col min="6658" max="6658" width="18.77734375" style="3066" customWidth="1"/>
    <col min="6659" max="6661" width="14.21875" style="3066" customWidth="1"/>
    <col min="6662" max="6662" width="11" style="3066" customWidth="1"/>
    <col min="6663" max="6663" width="9" style="3066"/>
    <col min="6664" max="6664" width="13.77734375" style="3066" customWidth="1"/>
    <col min="6665" max="6912" width="9" style="3066"/>
    <col min="6913" max="6913" width="14.21875" style="3066" customWidth="1"/>
    <col min="6914" max="6914" width="18.77734375" style="3066" customWidth="1"/>
    <col min="6915" max="6917" width="14.21875" style="3066" customWidth="1"/>
    <col min="6918" max="6918" width="11" style="3066" customWidth="1"/>
    <col min="6919" max="6919" width="9" style="3066"/>
    <col min="6920" max="6920" width="13.77734375" style="3066" customWidth="1"/>
    <col min="6921" max="7168" width="9" style="3066"/>
    <col min="7169" max="7169" width="14.21875" style="3066" customWidth="1"/>
    <col min="7170" max="7170" width="18.77734375" style="3066" customWidth="1"/>
    <col min="7171" max="7173" width="14.21875" style="3066" customWidth="1"/>
    <col min="7174" max="7174" width="11" style="3066" customWidth="1"/>
    <col min="7175" max="7175" width="9" style="3066"/>
    <col min="7176" max="7176" width="13.77734375" style="3066" customWidth="1"/>
    <col min="7177" max="7424" width="9" style="3066"/>
    <col min="7425" max="7425" width="14.21875" style="3066" customWidth="1"/>
    <col min="7426" max="7426" width="18.77734375" style="3066" customWidth="1"/>
    <col min="7427" max="7429" width="14.21875" style="3066" customWidth="1"/>
    <col min="7430" max="7430" width="11" style="3066" customWidth="1"/>
    <col min="7431" max="7431" width="9" style="3066"/>
    <col min="7432" max="7432" width="13.77734375" style="3066" customWidth="1"/>
    <col min="7433" max="7680" width="9" style="3066"/>
    <col min="7681" max="7681" width="14.21875" style="3066" customWidth="1"/>
    <col min="7682" max="7682" width="18.77734375" style="3066" customWidth="1"/>
    <col min="7683" max="7685" width="14.21875" style="3066" customWidth="1"/>
    <col min="7686" max="7686" width="11" style="3066" customWidth="1"/>
    <col min="7687" max="7687" width="9" style="3066"/>
    <col min="7688" max="7688" width="13.77734375" style="3066" customWidth="1"/>
    <col min="7689" max="7936" width="9" style="3066"/>
    <col min="7937" max="7937" width="14.21875" style="3066" customWidth="1"/>
    <col min="7938" max="7938" width="18.77734375" style="3066" customWidth="1"/>
    <col min="7939" max="7941" width="14.21875" style="3066" customWidth="1"/>
    <col min="7942" max="7942" width="11" style="3066" customWidth="1"/>
    <col min="7943" max="7943" width="9" style="3066"/>
    <col min="7944" max="7944" width="13.77734375" style="3066" customWidth="1"/>
    <col min="7945" max="8192" width="9" style="3066"/>
    <col min="8193" max="8193" width="14.21875" style="3066" customWidth="1"/>
    <col min="8194" max="8194" width="18.77734375" style="3066" customWidth="1"/>
    <col min="8195" max="8197" width="14.21875" style="3066" customWidth="1"/>
    <col min="8198" max="8198" width="11" style="3066" customWidth="1"/>
    <col min="8199" max="8199" width="9" style="3066"/>
    <col min="8200" max="8200" width="13.77734375" style="3066" customWidth="1"/>
    <col min="8201" max="8448" width="9" style="3066"/>
    <col min="8449" max="8449" width="14.21875" style="3066" customWidth="1"/>
    <col min="8450" max="8450" width="18.77734375" style="3066" customWidth="1"/>
    <col min="8451" max="8453" width="14.21875" style="3066" customWidth="1"/>
    <col min="8454" max="8454" width="11" style="3066" customWidth="1"/>
    <col min="8455" max="8455" width="9" style="3066"/>
    <col min="8456" max="8456" width="13.77734375" style="3066" customWidth="1"/>
    <col min="8457" max="8704" width="9" style="3066"/>
    <col min="8705" max="8705" width="14.21875" style="3066" customWidth="1"/>
    <col min="8706" max="8706" width="18.77734375" style="3066" customWidth="1"/>
    <col min="8707" max="8709" width="14.21875" style="3066" customWidth="1"/>
    <col min="8710" max="8710" width="11" style="3066" customWidth="1"/>
    <col min="8711" max="8711" width="9" style="3066"/>
    <col min="8712" max="8712" width="13.77734375" style="3066" customWidth="1"/>
    <col min="8713" max="8960" width="9" style="3066"/>
    <col min="8961" max="8961" width="14.21875" style="3066" customWidth="1"/>
    <col min="8962" max="8962" width="18.77734375" style="3066" customWidth="1"/>
    <col min="8963" max="8965" width="14.21875" style="3066" customWidth="1"/>
    <col min="8966" max="8966" width="11" style="3066" customWidth="1"/>
    <col min="8967" max="8967" width="9" style="3066"/>
    <col min="8968" max="8968" width="13.77734375" style="3066" customWidth="1"/>
    <col min="8969" max="9216" width="9" style="3066"/>
    <col min="9217" max="9217" width="14.21875" style="3066" customWidth="1"/>
    <col min="9218" max="9218" width="18.77734375" style="3066" customWidth="1"/>
    <col min="9219" max="9221" width="14.21875" style="3066" customWidth="1"/>
    <col min="9222" max="9222" width="11" style="3066" customWidth="1"/>
    <col min="9223" max="9223" width="9" style="3066"/>
    <col min="9224" max="9224" width="13.77734375" style="3066" customWidth="1"/>
    <col min="9225" max="9472" width="9" style="3066"/>
    <col min="9473" max="9473" width="14.21875" style="3066" customWidth="1"/>
    <col min="9474" max="9474" width="18.77734375" style="3066" customWidth="1"/>
    <col min="9475" max="9477" width="14.21875" style="3066" customWidth="1"/>
    <col min="9478" max="9478" width="11" style="3066" customWidth="1"/>
    <col min="9479" max="9479" width="9" style="3066"/>
    <col min="9480" max="9480" width="13.77734375" style="3066" customWidth="1"/>
    <col min="9481" max="9728" width="9" style="3066"/>
    <col min="9729" max="9729" width="14.21875" style="3066" customWidth="1"/>
    <col min="9730" max="9730" width="18.77734375" style="3066" customWidth="1"/>
    <col min="9731" max="9733" width="14.21875" style="3066" customWidth="1"/>
    <col min="9734" max="9734" width="11" style="3066" customWidth="1"/>
    <col min="9735" max="9735" width="9" style="3066"/>
    <col min="9736" max="9736" width="13.77734375" style="3066" customWidth="1"/>
    <col min="9737" max="9984" width="9" style="3066"/>
    <col min="9985" max="9985" width="14.21875" style="3066" customWidth="1"/>
    <col min="9986" max="9986" width="18.77734375" style="3066" customWidth="1"/>
    <col min="9987" max="9989" width="14.21875" style="3066" customWidth="1"/>
    <col min="9990" max="9990" width="11" style="3066" customWidth="1"/>
    <col min="9991" max="9991" width="9" style="3066"/>
    <col min="9992" max="9992" width="13.77734375" style="3066" customWidth="1"/>
    <col min="9993" max="10240" width="9" style="3066"/>
    <col min="10241" max="10241" width="14.21875" style="3066" customWidth="1"/>
    <col min="10242" max="10242" width="18.77734375" style="3066" customWidth="1"/>
    <col min="10243" max="10245" width="14.21875" style="3066" customWidth="1"/>
    <col min="10246" max="10246" width="11" style="3066" customWidth="1"/>
    <col min="10247" max="10247" width="9" style="3066"/>
    <col min="10248" max="10248" width="13.77734375" style="3066" customWidth="1"/>
    <col min="10249" max="10496" width="9" style="3066"/>
    <col min="10497" max="10497" width="14.21875" style="3066" customWidth="1"/>
    <col min="10498" max="10498" width="18.77734375" style="3066" customWidth="1"/>
    <col min="10499" max="10501" width="14.21875" style="3066" customWidth="1"/>
    <col min="10502" max="10502" width="11" style="3066" customWidth="1"/>
    <col min="10503" max="10503" width="9" style="3066"/>
    <col min="10504" max="10504" width="13.77734375" style="3066" customWidth="1"/>
    <col min="10505" max="10752" width="9" style="3066"/>
    <col min="10753" max="10753" width="14.21875" style="3066" customWidth="1"/>
    <col min="10754" max="10754" width="18.77734375" style="3066" customWidth="1"/>
    <col min="10755" max="10757" width="14.21875" style="3066" customWidth="1"/>
    <col min="10758" max="10758" width="11" style="3066" customWidth="1"/>
    <col min="10759" max="10759" width="9" style="3066"/>
    <col min="10760" max="10760" width="13.77734375" style="3066" customWidth="1"/>
    <col min="10761" max="11008" width="9" style="3066"/>
    <col min="11009" max="11009" width="14.21875" style="3066" customWidth="1"/>
    <col min="11010" max="11010" width="18.77734375" style="3066" customWidth="1"/>
    <col min="11011" max="11013" width="14.21875" style="3066" customWidth="1"/>
    <col min="11014" max="11014" width="11" style="3066" customWidth="1"/>
    <col min="11015" max="11015" width="9" style="3066"/>
    <col min="11016" max="11016" width="13.77734375" style="3066" customWidth="1"/>
    <col min="11017" max="11264" width="9" style="3066"/>
    <col min="11265" max="11265" width="14.21875" style="3066" customWidth="1"/>
    <col min="11266" max="11266" width="18.77734375" style="3066" customWidth="1"/>
    <col min="11267" max="11269" width="14.21875" style="3066" customWidth="1"/>
    <col min="11270" max="11270" width="11" style="3066" customWidth="1"/>
    <col min="11271" max="11271" width="9" style="3066"/>
    <col min="11272" max="11272" width="13.77734375" style="3066" customWidth="1"/>
    <col min="11273" max="11520" width="9" style="3066"/>
    <col min="11521" max="11521" width="14.21875" style="3066" customWidth="1"/>
    <col min="11522" max="11522" width="18.77734375" style="3066" customWidth="1"/>
    <col min="11523" max="11525" width="14.21875" style="3066" customWidth="1"/>
    <col min="11526" max="11526" width="11" style="3066" customWidth="1"/>
    <col min="11527" max="11527" width="9" style="3066"/>
    <col min="11528" max="11528" width="13.77734375" style="3066" customWidth="1"/>
    <col min="11529" max="11776" width="9" style="3066"/>
    <col min="11777" max="11777" width="14.21875" style="3066" customWidth="1"/>
    <col min="11778" max="11778" width="18.77734375" style="3066" customWidth="1"/>
    <col min="11779" max="11781" width="14.21875" style="3066" customWidth="1"/>
    <col min="11782" max="11782" width="11" style="3066" customWidth="1"/>
    <col min="11783" max="11783" width="9" style="3066"/>
    <col min="11784" max="11784" width="13.77734375" style="3066" customWidth="1"/>
    <col min="11785" max="12032" width="9" style="3066"/>
    <col min="12033" max="12033" width="14.21875" style="3066" customWidth="1"/>
    <col min="12034" max="12034" width="18.77734375" style="3066" customWidth="1"/>
    <col min="12035" max="12037" width="14.21875" style="3066" customWidth="1"/>
    <col min="12038" max="12038" width="11" style="3066" customWidth="1"/>
    <col min="12039" max="12039" width="9" style="3066"/>
    <col min="12040" max="12040" width="13.77734375" style="3066" customWidth="1"/>
    <col min="12041" max="12288" width="9" style="3066"/>
    <col min="12289" max="12289" width="14.21875" style="3066" customWidth="1"/>
    <col min="12290" max="12290" width="18.77734375" style="3066" customWidth="1"/>
    <col min="12291" max="12293" width="14.21875" style="3066" customWidth="1"/>
    <col min="12294" max="12294" width="11" style="3066" customWidth="1"/>
    <col min="12295" max="12295" width="9" style="3066"/>
    <col min="12296" max="12296" width="13.77734375" style="3066" customWidth="1"/>
    <col min="12297" max="12544" width="9" style="3066"/>
    <col min="12545" max="12545" width="14.21875" style="3066" customWidth="1"/>
    <col min="12546" max="12546" width="18.77734375" style="3066" customWidth="1"/>
    <col min="12547" max="12549" width="14.21875" style="3066" customWidth="1"/>
    <col min="12550" max="12550" width="11" style="3066" customWidth="1"/>
    <col min="12551" max="12551" width="9" style="3066"/>
    <col min="12552" max="12552" width="13.77734375" style="3066" customWidth="1"/>
    <col min="12553" max="12800" width="9" style="3066"/>
    <col min="12801" max="12801" width="14.21875" style="3066" customWidth="1"/>
    <col min="12802" max="12802" width="18.77734375" style="3066" customWidth="1"/>
    <col min="12803" max="12805" width="14.21875" style="3066" customWidth="1"/>
    <col min="12806" max="12806" width="11" style="3066" customWidth="1"/>
    <col min="12807" max="12807" width="9" style="3066"/>
    <col min="12808" max="12808" width="13.77734375" style="3066" customWidth="1"/>
    <col min="12809" max="13056" width="9" style="3066"/>
    <col min="13057" max="13057" width="14.21875" style="3066" customWidth="1"/>
    <col min="13058" max="13058" width="18.77734375" style="3066" customWidth="1"/>
    <col min="13059" max="13061" width="14.21875" style="3066" customWidth="1"/>
    <col min="13062" max="13062" width="11" style="3066" customWidth="1"/>
    <col min="13063" max="13063" width="9" style="3066"/>
    <col min="13064" max="13064" width="13.77734375" style="3066" customWidth="1"/>
    <col min="13065" max="13312" width="9" style="3066"/>
    <col min="13313" max="13313" width="14.21875" style="3066" customWidth="1"/>
    <col min="13314" max="13314" width="18.77734375" style="3066" customWidth="1"/>
    <col min="13315" max="13317" width="14.21875" style="3066" customWidth="1"/>
    <col min="13318" max="13318" width="11" style="3066" customWidth="1"/>
    <col min="13319" max="13319" width="9" style="3066"/>
    <col min="13320" max="13320" width="13.77734375" style="3066" customWidth="1"/>
    <col min="13321" max="13568" width="9" style="3066"/>
    <col min="13569" max="13569" width="14.21875" style="3066" customWidth="1"/>
    <col min="13570" max="13570" width="18.77734375" style="3066" customWidth="1"/>
    <col min="13571" max="13573" width="14.21875" style="3066" customWidth="1"/>
    <col min="13574" max="13574" width="11" style="3066" customWidth="1"/>
    <col min="13575" max="13575" width="9" style="3066"/>
    <col min="13576" max="13576" width="13.77734375" style="3066" customWidth="1"/>
    <col min="13577" max="13824" width="9" style="3066"/>
    <col min="13825" max="13825" width="14.21875" style="3066" customWidth="1"/>
    <col min="13826" max="13826" width="18.77734375" style="3066" customWidth="1"/>
    <col min="13827" max="13829" width="14.21875" style="3066" customWidth="1"/>
    <col min="13830" max="13830" width="11" style="3066" customWidth="1"/>
    <col min="13831" max="13831" width="9" style="3066"/>
    <col min="13832" max="13832" width="13.77734375" style="3066" customWidth="1"/>
    <col min="13833" max="14080" width="9" style="3066"/>
    <col min="14081" max="14081" width="14.21875" style="3066" customWidth="1"/>
    <col min="14082" max="14082" width="18.77734375" style="3066" customWidth="1"/>
    <col min="14083" max="14085" width="14.21875" style="3066" customWidth="1"/>
    <col min="14086" max="14086" width="11" style="3066" customWidth="1"/>
    <col min="14087" max="14087" width="9" style="3066"/>
    <col min="14088" max="14088" width="13.77734375" style="3066" customWidth="1"/>
    <col min="14089" max="14336" width="9" style="3066"/>
    <col min="14337" max="14337" width="14.21875" style="3066" customWidth="1"/>
    <col min="14338" max="14338" width="18.77734375" style="3066" customWidth="1"/>
    <col min="14339" max="14341" width="14.21875" style="3066" customWidth="1"/>
    <col min="14342" max="14342" width="11" style="3066" customWidth="1"/>
    <col min="14343" max="14343" width="9" style="3066"/>
    <col min="14344" max="14344" width="13.77734375" style="3066" customWidth="1"/>
    <col min="14345" max="14592" width="9" style="3066"/>
    <col min="14593" max="14593" width="14.21875" style="3066" customWidth="1"/>
    <col min="14594" max="14594" width="18.77734375" style="3066" customWidth="1"/>
    <col min="14595" max="14597" width="14.21875" style="3066" customWidth="1"/>
    <col min="14598" max="14598" width="11" style="3066" customWidth="1"/>
    <col min="14599" max="14599" width="9" style="3066"/>
    <col min="14600" max="14600" width="13.77734375" style="3066" customWidth="1"/>
    <col min="14601" max="14848" width="9" style="3066"/>
    <col min="14849" max="14849" width="14.21875" style="3066" customWidth="1"/>
    <col min="14850" max="14850" width="18.77734375" style="3066" customWidth="1"/>
    <col min="14851" max="14853" width="14.21875" style="3066" customWidth="1"/>
    <col min="14854" max="14854" width="11" style="3066" customWidth="1"/>
    <col min="14855" max="14855" width="9" style="3066"/>
    <col min="14856" max="14856" width="13.77734375" style="3066" customWidth="1"/>
    <col min="14857" max="15104" width="9" style="3066"/>
    <col min="15105" max="15105" width="14.21875" style="3066" customWidth="1"/>
    <col min="15106" max="15106" width="18.77734375" style="3066" customWidth="1"/>
    <col min="15107" max="15109" width="14.21875" style="3066" customWidth="1"/>
    <col min="15110" max="15110" width="11" style="3066" customWidth="1"/>
    <col min="15111" max="15111" width="9" style="3066"/>
    <col min="15112" max="15112" width="13.77734375" style="3066" customWidth="1"/>
    <col min="15113" max="15360" width="9" style="3066"/>
    <col min="15361" max="15361" width="14.21875" style="3066" customWidth="1"/>
    <col min="15362" max="15362" width="18.77734375" style="3066" customWidth="1"/>
    <col min="15363" max="15365" width="14.21875" style="3066" customWidth="1"/>
    <col min="15366" max="15366" width="11" style="3066" customWidth="1"/>
    <col min="15367" max="15367" width="9" style="3066"/>
    <col min="15368" max="15368" width="13.77734375" style="3066" customWidth="1"/>
    <col min="15369" max="15616" width="9" style="3066"/>
    <col min="15617" max="15617" width="14.21875" style="3066" customWidth="1"/>
    <col min="15618" max="15618" width="18.77734375" style="3066" customWidth="1"/>
    <col min="15619" max="15621" width="14.21875" style="3066" customWidth="1"/>
    <col min="15622" max="15622" width="11" style="3066" customWidth="1"/>
    <col min="15623" max="15623" width="9" style="3066"/>
    <col min="15624" max="15624" width="13.77734375" style="3066" customWidth="1"/>
    <col min="15625" max="15872" width="9" style="3066"/>
    <col min="15873" max="15873" width="14.21875" style="3066" customWidth="1"/>
    <col min="15874" max="15874" width="18.77734375" style="3066" customWidth="1"/>
    <col min="15875" max="15877" width="14.21875" style="3066" customWidth="1"/>
    <col min="15878" max="15878" width="11" style="3066" customWidth="1"/>
    <col min="15879" max="15879" width="9" style="3066"/>
    <col min="15880" max="15880" width="13.77734375" style="3066" customWidth="1"/>
    <col min="15881" max="16128" width="9" style="3066"/>
    <col min="16129" max="16129" width="14.21875" style="3066" customWidth="1"/>
    <col min="16130" max="16130" width="18.77734375" style="3066" customWidth="1"/>
    <col min="16131" max="16133" width="14.21875" style="3066" customWidth="1"/>
    <col min="16134" max="16134" width="11" style="3066" customWidth="1"/>
    <col min="16135" max="16135" width="9" style="3066"/>
    <col min="16136" max="16136" width="13.77734375" style="3066" customWidth="1"/>
    <col min="16137" max="16384" width="9" style="3066"/>
  </cols>
  <sheetData>
    <row r="1" spans="1:7" ht="20.25" customHeight="1" thickBot="1">
      <c r="A1" s="3064" t="s">
        <v>4354</v>
      </c>
      <c r="B1" s="3065"/>
    </row>
    <row r="2" spans="1:7" ht="33" customHeight="1">
      <c r="A2" s="3067" t="s">
        <v>4355</v>
      </c>
      <c r="B2" s="3068" t="s">
        <v>4356</v>
      </c>
      <c r="C2" s="3069" t="s">
        <v>4357</v>
      </c>
      <c r="D2" s="3068" t="s">
        <v>4358</v>
      </c>
      <c r="E2" s="3070" t="s">
        <v>4359</v>
      </c>
    </row>
    <row r="3" spans="1:7" ht="20.25" customHeight="1">
      <c r="A3" s="3071">
        <v>40</v>
      </c>
      <c r="B3" s="3072"/>
      <c r="C3" s="3073">
        <f>ROUNDDOWN(MIN((B3-$B$1)/365,A3),2)</f>
        <v>0</v>
      </c>
      <c r="D3" s="3074">
        <f>IF(ISERROR(ROUND(POWER(1+E3,A3-C3)*(POWER(1+E3,C3)-1)/(POWER(1+E3,A3)-1),3)),0,ROUND(POWER(1+E3,A3-C3)*(POWER(1+E3,C3)-1)/(POWER(1+E3,A3)-1),3))</f>
        <v>0</v>
      </c>
      <c r="E3" s="3075"/>
    </row>
    <row r="4" spans="1:7" ht="20.25" customHeight="1">
      <c r="A4" s="3071">
        <v>50</v>
      </c>
      <c r="B4" s="3072"/>
      <c r="C4" s="3073">
        <f>ROUNDDOWN(MIN((B4-$B$1)/365,A4),2)</f>
        <v>0</v>
      </c>
      <c r="D4" s="3074">
        <f>IF(ISERROR(ROUND(POWER(1+E4,A4-C4)*(POWER(1+E4,C4)-1)/(POWER(1+E4,A4)-1),3)),0,ROUND(POWER(1+E4,A4-C4)*(POWER(1+E4,C4)-1)/(POWER(1+E4,A4)-1),3))</f>
        <v>0</v>
      </c>
      <c r="E4" s="3075"/>
    </row>
    <row r="5" spans="1:7" ht="20.25" customHeight="1" thickBot="1">
      <c r="A5" s="3076">
        <v>70</v>
      </c>
      <c r="B5" s="3077"/>
      <c r="C5" s="3078">
        <f>ROUNDDOWN(MIN((B5-$B$1)/365,A5),2)</f>
        <v>0</v>
      </c>
      <c r="D5" s="3079">
        <f>IF(ISERROR(ROUND(POWER(1+E5,A5-C5)*(POWER(1+E5,C5)-1)/(POWER(1+E5,A5)-1),3)),0,ROUND(POWER(1+E5,A5-C5)*(POWER(1+E5,C5)-1)/(POWER(1+E5,A5)-1),3))</f>
        <v>0</v>
      </c>
      <c r="E5" s="3080"/>
    </row>
    <row r="6" spans="1:7" ht="20.25" customHeight="1" thickBot="1"/>
    <row r="7" spans="1:7" s="3083" customFormat="1" ht="20.25" customHeight="1" thickBot="1">
      <c r="A7" s="3081" t="s">
        <v>4360</v>
      </c>
      <c r="B7" s="3082"/>
    </row>
    <row r="8" spans="1:7" ht="20.25" customHeight="1" thickBot="1">
      <c r="A8" s="3455" t="s">
        <v>4361</v>
      </c>
      <c r="B8" s="3456"/>
      <c r="C8" s="3084"/>
      <c r="D8" s="3085" t="s">
        <v>4359</v>
      </c>
      <c r="E8" s="3084"/>
      <c r="F8" s="3086" t="s">
        <v>4358</v>
      </c>
    </row>
    <row r="9" spans="1:7" ht="20.25" customHeight="1">
      <c r="A9" s="3087" t="s">
        <v>4362</v>
      </c>
      <c r="B9" s="3088">
        <v>50</v>
      </c>
      <c r="C9" s="3089" t="s">
        <v>4363</v>
      </c>
      <c r="D9" s="3090">
        <v>4.4999999999999998E-2</v>
      </c>
      <c r="E9" s="3089" t="s">
        <v>4364</v>
      </c>
      <c r="F9" s="3091">
        <f>1-(1/(POWER(1+D9,B9)))</f>
        <v>0.88929035003434787</v>
      </c>
      <c r="G9" s="3066">
        <f>ROUND(F9/F10,2)</f>
        <v>1.52</v>
      </c>
    </row>
    <row r="10" spans="1:7" ht="20.25" customHeight="1" thickBot="1">
      <c r="A10" s="3092" t="s">
        <v>4365</v>
      </c>
      <c r="B10" s="3093">
        <v>20</v>
      </c>
      <c r="C10" s="3094" t="s">
        <v>4366</v>
      </c>
      <c r="D10" s="3095">
        <v>4.4999999999999998E-2</v>
      </c>
      <c r="E10" s="3094" t="s">
        <v>4367</v>
      </c>
      <c r="F10" s="3096">
        <f>1-(1/(POWER(1+D10,B10)))</f>
        <v>0.58535714031541541</v>
      </c>
    </row>
    <row r="11" spans="1:7" ht="20.25" customHeight="1" thickBot="1">
      <c r="A11" s="3097" t="s">
        <v>4368</v>
      </c>
      <c r="B11" s="3098"/>
      <c r="C11" s="3098"/>
      <c r="D11" s="3098"/>
      <c r="E11" s="3098"/>
      <c r="F11" s="3098"/>
    </row>
    <row r="12" spans="1:7" ht="20.25" customHeight="1">
      <c r="A12" s="3087" t="s">
        <v>4369</v>
      </c>
      <c r="B12" s="3099">
        <v>5000</v>
      </c>
      <c r="E12" s="3100"/>
      <c r="F12" s="3100"/>
    </row>
    <row r="13" spans="1:7" ht="20.25" customHeight="1" thickBot="1">
      <c r="A13" s="3092" t="s">
        <v>4370</v>
      </c>
      <c r="B13" s="3101">
        <f>ROUND(B12*F10/F9,2)</f>
        <v>3291.15</v>
      </c>
      <c r="C13" s="3102">
        <f>ROUND(F10/F9,4)</f>
        <v>0.65820000000000001</v>
      </c>
      <c r="E13" s="3100"/>
      <c r="F13" s="3100"/>
    </row>
    <row r="14" spans="1:7" ht="20.25" customHeight="1" thickBot="1">
      <c r="A14" s="3097" t="s">
        <v>4371</v>
      </c>
      <c r="B14" s="3103"/>
      <c r="C14" s="3100"/>
    </row>
    <row r="15" spans="1:7" ht="20.25" customHeight="1">
      <c r="A15" s="3089" t="s">
        <v>4372</v>
      </c>
      <c r="B15" s="3104">
        <v>4810</v>
      </c>
      <c r="C15" s="3100"/>
    </row>
    <row r="16" spans="1:7" ht="20.25" customHeight="1" thickBot="1">
      <c r="A16" s="3094" t="s">
        <v>4373</v>
      </c>
      <c r="B16" s="3105">
        <f>ROUND(B15*F9/F10,2)</f>
        <v>7307.48</v>
      </c>
      <c r="C16" s="3102">
        <f>ROUND(F9/F10,4)</f>
        <v>1.5192000000000001</v>
      </c>
    </row>
    <row r="17" spans="3:3" ht="20.25" customHeight="1">
      <c r="C17" s="3100"/>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8" customWidth="1"/>
    <col min="2" max="9" width="12.109375" style="1668" customWidth="1"/>
    <col min="10" max="16384" width="9" style="1668"/>
  </cols>
  <sheetData>
    <row r="1" spans="1:9" ht="18" thickBot="1">
      <c r="A1" s="3128" t="str">
        <f>IF(项目基本情况!B9="房地产市场价值","估价结果一览表","结果表-2")</f>
        <v>结果表-2</v>
      </c>
      <c r="B1" s="3128"/>
      <c r="C1" s="3128"/>
      <c r="D1" s="3128"/>
      <c r="E1" s="3128"/>
      <c r="F1" s="3128"/>
      <c r="G1" s="3128"/>
      <c r="H1" s="3128"/>
      <c r="I1" s="3128"/>
    </row>
    <row r="2" spans="1:9" ht="30" customHeight="1" thickTop="1">
      <c r="A2" s="3129" t="s">
        <v>1606</v>
      </c>
      <c r="B2" s="3129" t="s">
        <v>1607</v>
      </c>
      <c r="C2" s="3129" t="s">
        <v>1608</v>
      </c>
      <c r="D2" s="3129" t="str">
        <f>结果表!D116</f>
        <v>出让国有建设用地使用权价值</v>
      </c>
      <c r="E2" s="3129"/>
      <c r="F2" s="3129" t="str">
        <f>结果表!F116</f>
        <v>在建建筑物价值</v>
      </c>
      <c r="G2" s="3129"/>
      <c r="H2" s="3129" t="str">
        <f>IF(项目基本情况!B9="房地产市场价值","房地产市场价值","房地产价值")</f>
        <v>房地产价值</v>
      </c>
      <c r="I2" s="3129"/>
    </row>
    <row r="3" spans="1:9" ht="15.6">
      <c r="A3" s="3130"/>
      <c r="B3" s="3130"/>
      <c r="C3" s="3130"/>
      <c r="D3" s="967" t="s">
        <v>1603</v>
      </c>
      <c r="E3" s="967" t="s">
        <v>1609</v>
      </c>
      <c r="F3" s="967" t="s">
        <v>1603</v>
      </c>
      <c r="G3" s="967" t="s">
        <v>1604</v>
      </c>
      <c r="H3" s="967" t="s">
        <v>1603</v>
      </c>
      <c r="I3" s="967" t="s">
        <v>1604</v>
      </c>
    </row>
    <row r="4" spans="1:9" ht="45">
      <c r="A4" s="1696" t="str">
        <f>项目基本情况!S2</f>
        <v>北京市北京经济技术开发区东环北路1号工业用房房地产</v>
      </c>
      <c r="B4" s="967">
        <f>项目基本情况!C17</f>
        <v>8640.14</v>
      </c>
      <c r="C4" s="967">
        <f>项目基本情况!C18</f>
        <v>15462.6</v>
      </c>
      <c r="D4" s="967">
        <f ca="1">结果表!D118</f>
        <v>6669</v>
      </c>
      <c r="E4" s="967">
        <f ca="1">结果表!E118</f>
        <v>7718</v>
      </c>
      <c r="F4" s="967">
        <f ca="1">结果表!F118</f>
        <v>5412</v>
      </c>
      <c r="G4" s="967">
        <f ca="1">结果表!G118</f>
        <v>6264</v>
      </c>
      <c r="H4" s="967">
        <f ca="1">结果表!H118</f>
        <v>12081</v>
      </c>
      <c r="I4" s="967">
        <f ca="1">结果表!I118</f>
        <v>13982</v>
      </c>
    </row>
    <row r="5" spans="1:9" ht="30" customHeight="1">
      <c r="A5" s="3130" t="s">
        <v>1605</v>
      </c>
      <c r="B5" s="3130"/>
      <c r="C5" s="3130"/>
      <c r="D5" s="3131" t="str">
        <f ca="1">结果表!D119</f>
        <v>陆仟陆佰陆拾玖万元整</v>
      </c>
      <c r="E5" s="3131"/>
      <c r="F5" s="3131" t="str">
        <f ca="1">结果表!F119</f>
        <v>伍仟肆佰壹拾贰万元整</v>
      </c>
      <c r="G5" s="3131"/>
      <c r="H5" s="3131" t="str">
        <f ca="1">结果表!H119</f>
        <v>壹亿贰仟零捌拾壹万元整</v>
      </c>
      <c r="I5" s="3131"/>
    </row>
    <row r="6" spans="1:9" ht="15.6">
      <c r="A6" s="3132" t="str">
        <f>结果表!A120</f>
        <v>估价师知悉的法定优先受偿款</v>
      </c>
      <c r="B6" s="3132"/>
      <c r="C6" s="3132"/>
      <c r="D6" s="3132">
        <f>结果表!D120</f>
        <v>0</v>
      </c>
      <c r="E6" s="3132"/>
      <c r="F6" s="3132"/>
      <c r="G6" s="3132"/>
      <c r="H6" s="3132"/>
      <c r="I6" s="3132"/>
    </row>
    <row r="7" spans="1:9" ht="15">
      <c r="A7" s="3130" t="s">
        <v>1605</v>
      </c>
      <c r="B7" s="3130"/>
      <c r="C7" s="3130"/>
      <c r="D7" s="3133" t="str">
        <f>结果表!D121</f>
        <v>零元整</v>
      </c>
      <c r="E7" s="3134"/>
      <c r="F7" s="3134"/>
      <c r="G7" s="3134"/>
      <c r="H7" s="3134"/>
      <c r="I7" s="3135"/>
    </row>
    <row r="8" spans="1:9" ht="15.6">
      <c r="A8" s="3132" t="str">
        <f>结果表!A122</f>
        <v/>
      </c>
      <c r="B8" s="3132"/>
      <c r="C8" s="3132"/>
      <c r="D8" s="3132" t="str">
        <f>结果表!D122</f>
        <v>——</v>
      </c>
      <c r="E8" s="3132"/>
      <c r="F8" s="3132"/>
      <c r="G8" s="3132"/>
      <c r="H8" s="3132"/>
      <c r="I8" s="3132"/>
    </row>
    <row r="9" spans="1:9" ht="15">
      <c r="A9" s="3130" t="s">
        <v>1605</v>
      </c>
      <c r="B9" s="3130"/>
      <c r="C9" s="3130"/>
      <c r="D9" s="3131" t="e">
        <f>结果表!D123</f>
        <v>#VALUE!</v>
      </c>
      <c r="E9" s="3131"/>
      <c r="F9" s="3131"/>
      <c r="G9" s="3131"/>
      <c r="H9" s="3131"/>
      <c r="I9" s="3131"/>
    </row>
    <row r="10" spans="1:9" ht="15.6">
      <c r="A10" s="3132" t="str">
        <f>结果表!A124</f>
        <v>抵押担保权已注销时的房地产抵押价值</v>
      </c>
      <c r="B10" s="3132"/>
      <c r="C10" s="3132"/>
      <c r="D10" s="3132">
        <f ca="1">结果表!D124</f>
        <v>12081</v>
      </c>
      <c r="E10" s="3132"/>
      <c r="F10" s="3132"/>
      <c r="G10" s="3132"/>
      <c r="H10" s="3132"/>
      <c r="I10" s="3132"/>
    </row>
    <row r="11" spans="1:9" ht="15">
      <c r="A11" s="3130" t="s">
        <v>1605</v>
      </c>
      <c r="B11" s="3130"/>
      <c r="C11" s="3130"/>
      <c r="D11" s="3131" t="str">
        <f ca="1">结果表!D125</f>
        <v>壹亿贰仟零捌拾壹万元整</v>
      </c>
      <c r="E11" s="3131"/>
      <c r="F11" s="3131"/>
      <c r="G11" s="3131"/>
      <c r="H11" s="3131"/>
      <c r="I11" s="3131"/>
    </row>
    <row r="12" spans="1:9" ht="15.6">
      <c r="A12" s="3132" t="str">
        <f>结果表!A126</f>
        <v/>
      </c>
      <c r="B12" s="3132"/>
      <c r="C12" s="3132"/>
      <c r="D12" s="3132" t="str">
        <f>结果表!D126</f>
        <v>——</v>
      </c>
      <c r="E12" s="3132"/>
      <c r="F12" s="3132"/>
      <c r="G12" s="3132"/>
      <c r="H12" s="3132"/>
      <c r="I12" s="3132"/>
    </row>
    <row r="13" spans="1:9" ht="15.6" thickBot="1">
      <c r="A13" s="3136" t="s">
        <v>1605</v>
      </c>
      <c r="B13" s="3136"/>
      <c r="C13" s="3136"/>
      <c r="D13" s="3137" t="e">
        <f>结果表!D127</f>
        <v>#VALUE!</v>
      </c>
      <c r="E13" s="3137"/>
      <c r="F13" s="3137"/>
      <c r="G13" s="3137"/>
      <c r="H13" s="3137"/>
      <c r="I13" s="3137"/>
    </row>
    <row r="14" spans="1:9" ht="14.4" thickTop="1">
      <c r="A14" s="3138" t="s">
        <v>1610</v>
      </c>
      <c r="B14" s="3138"/>
      <c r="C14" s="3138"/>
      <c r="D14" s="3138"/>
      <c r="E14" s="3138"/>
      <c r="F14" s="3138"/>
      <c r="G14" s="3138"/>
      <c r="H14" s="3138"/>
      <c r="I14" s="3138"/>
    </row>
    <row r="16" spans="1:9" ht="17.399999999999999">
      <c r="A16" s="1697" t="s">
        <v>1593</v>
      </c>
      <c r="B16" s="1680"/>
      <c r="C16" s="1680"/>
      <c r="D16" s="1680"/>
      <c r="E16" s="1680"/>
      <c r="F16" s="1680"/>
      <c r="G16" s="1680"/>
      <c r="H16" s="1680"/>
      <c r="I16" s="1680"/>
    </row>
    <row r="17" spans="1:9">
      <c r="A17" s="1680"/>
      <c r="B17" s="1680"/>
      <c r="C17" s="1680"/>
      <c r="D17" s="1680"/>
      <c r="E17" s="1680"/>
      <c r="F17" s="1680"/>
      <c r="G17" s="1680"/>
      <c r="H17" s="1680"/>
      <c r="I17" s="1680"/>
    </row>
    <row r="18" spans="1:9">
      <c r="A18" s="1680"/>
      <c r="B18" s="1680"/>
      <c r="C18" s="1680"/>
      <c r="D18" s="1680"/>
      <c r="E18" s="1680"/>
      <c r="F18" s="1680"/>
      <c r="G18" s="1680"/>
      <c r="H18" s="1680"/>
      <c r="I18" s="1680"/>
    </row>
    <row r="19" spans="1:9">
      <c r="A19" s="1680"/>
      <c r="B19" s="1680"/>
      <c r="C19" s="1680"/>
      <c r="D19" s="1680"/>
      <c r="E19" s="1680"/>
      <c r="F19" s="1680"/>
      <c r="G19" s="1680"/>
      <c r="H19" s="1680"/>
      <c r="I19" s="1680"/>
    </row>
    <row r="20" spans="1:9">
      <c r="A20" s="1680"/>
      <c r="B20" s="1680"/>
      <c r="C20" s="1680"/>
      <c r="D20" s="1680"/>
      <c r="E20" s="1680"/>
      <c r="F20" s="1680"/>
      <c r="G20" s="1680"/>
      <c r="H20" s="1680"/>
      <c r="I20" s="1680"/>
    </row>
    <row r="21" spans="1:9">
      <c r="A21" s="1680"/>
      <c r="B21" s="1680"/>
      <c r="C21" s="1680"/>
      <c r="D21" s="1680"/>
      <c r="E21" s="1680"/>
      <c r="F21" s="1680"/>
      <c r="G21" s="1680"/>
      <c r="H21" s="1680"/>
      <c r="I21" s="1680"/>
    </row>
    <row r="22" spans="1:9">
      <c r="A22" s="1680"/>
      <c r="B22" s="1680"/>
      <c r="C22" s="1680"/>
      <c r="D22" s="1680"/>
      <c r="E22" s="1680"/>
      <c r="F22" s="1680"/>
      <c r="G22" s="1680"/>
      <c r="H22" s="1680"/>
      <c r="I22" s="168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8" customWidth="1"/>
    <col min="2" max="3" width="22.33203125" style="1668" customWidth="1"/>
    <col min="4" max="4" width="23" style="1668" customWidth="1"/>
    <col min="5" max="16384" width="9" style="1668"/>
  </cols>
  <sheetData>
    <row r="1" spans="1:4" ht="17.399999999999999">
      <c r="A1" s="3139" t="s">
        <v>1627</v>
      </c>
      <c r="B1" s="3139"/>
      <c r="C1" s="3139"/>
      <c r="D1" s="3139"/>
    </row>
    <row r="2" spans="1:4" ht="17.399999999999999">
      <c r="A2" s="3140" t="s">
        <v>1611</v>
      </c>
      <c r="B2" s="3140"/>
      <c r="C2" s="3140"/>
      <c r="D2" s="3140"/>
    </row>
    <row r="3" spans="1:4" ht="17.399999999999999">
      <c r="A3" s="1700" t="s">
        <v>1612</v>
      </c>
      <c r="B3" s="1700" t="s">
        <v>1613</v>
      </c>
      <c r="C3" s="1700" t="s">
        <v>1614</v>
      </c>
      <c r="D3" s="1700" t="s">
        <v>1615</v>
      </c>
    </row>
    <row r="4" spans="1:4" ht="56.25" customHeight="1">
      <c r="A4" s="1701" t="str">
        <f>项目基本情况!B4</f>
        <v>崔锴</v>
      </c>
      <c r="B4" s="1702">
        <f ca="1">项目基本情况!C4</f>
        <v>1120100036</v>
      </c>
      <c r="C4" s="1703"/>
      <c r="D4" s="1704" t="s">
        <v>1616</v>
      </c>
    </row>
    <row r="5" spans="1:4" ht="56.25" customHeight="1">
      <c r="A5" s="1701" t="str">
        <f>项目基本情况!D4</f>
        <v>郑燚</v>
      </c>
      <c r="B5" s="1702">
        <f ca="1">项目基本情况!E4</f>
        <v>1120070131</v>
      </c>
      <c r="C5" s="1705"/>
      <c r="D5" s="1704" t="s">
        <v>1616</v>
      </c>
    </row>
    <row r="6" spans="1:4" ht="17.399999999999999">
      <c r="A6" s="3140" t="s">
        <v>1617</v>
      </c>
      <c r="B6" s="3140"/>
      <c r="C6" s="3140"/>
      <c r="D6" s="3140"/>
    </row>
    <row r="7" spans="1:4" ht="17.399999999999999">
      <c r="A7" s="1700" t="s">
        <v>1612</v>
      </c>
      <c r="B7" s="1702" t="s">
        <v>1618</v>
      </c>
      <c r="C7" s="1700" t="s">
        <v>1614</v>
      </c>
      <c r="D7" s="1700" t="s">
        <v>1615</v>
      </c>
    </row>
    <row r="8" spans="1:4" ht="56.25" customHeight="1">
      <c r="A8" s="1706" t="s">
        <v>837</v>
      </c>
      <c r="B8" s="1706" t="s">
        <v>1</v>
      </c>
      <c r="C8" s="1703"/>
      <c r="D8" s="1704" t="s">
        <v>1616</v>
      </c>
    </row>
    <row r="9" spans="1:4">
      <c r="A9" s="688"/>
      <c r="B9" s="688"/>
      <c r="C9" s="688"/>
      <c r="D9" s="688"/>
    </row>
    <row r="10" spans="1:4" ht="17.399999999999999">
      <c r="A10" s="1707" t="s">
        <v>1619</v>
      </c>
      <c r="B10" s="688"/>
      <c r="C10" s="688"/>
      <c r="D10" s="688"/>
    </row>
    <row r="11" spans="1:4" ht="30" customHeight="1">
      <c r="A11" s="3141" t="s">
        <v>1620</v>
      </c>
      <c r="B11" s="3142"/>
      <c r="C11" s="3142"/>
      <c r="D11" s="3142"/>
    </row>
    <row r="12" spans="1:4" ht="15.6">
      <c r="A12" s="31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3"/>
      <c r="C12" s="3143"/>
      <c r="D12" s="3143"/>
    </row>
    <row r="13" spans="1:4" ht="30" customHeight="1">
      <c r="A13" s="31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3"/>
      <c r="C13" s="3143"/>
      <c r="D13" s="3143"/>
    </row>
    <row r="14" spans="1:4" ht="15.75" customHeight="1">
      <c r="A14" s="3142" t="str">
        <f>IF(项目基本情况!B8="抵押","4.本次评估估价师所知悉的法定优先受偿款情况说明如下：","——")</f>
        <v>4.本次评估估价师所知悉的法定优先受偿款情况说明如下：</v>
      </c>
      <c r="B14" s="3143"/>
      <c r="C14" s="3143"/>
      <c r="D14" s="3143"/>
    </row>
    <row r="15" spans="1:4" ht="42" customHeight="1">
      <c r="A15" s="3142"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142"/>
      <c r="C15" s="3142"/>
      <c r="D15" s="3142"/>
    </row>
    <row r="16" spans="1:4" ht="30" customHeight="1">
      <c r="A16" s="3145" t="s">
        <v>1621</v>
      </c>
      <c r="B16" s="3145"/>
      <c r="C16" s="3145"/>
      <c r="D16" s="3145"/>
    </row>
    <row r="17" spans="1:4" ht="144" customHeight="1">
      <c r="A17" s="3145" t="s">
        <v>1622</v>
      </c>
      <c r="B17" s="3145"/>
      <c r="C17" s="3145"/>
      <c r="D17" s="3145"/>
    </row>
    <row r="18" spans="1:4" ht="15.75" customHeight="1">
      <c r="A18" s="3142" t="str">
        <f>IF(项目基本情况!B8="抵押",结果表!K120,"——")</f>
        <v>故，本次评估不存在估价师知悉的法定优先受偿款</v>
      </c>
      <c r="B18" s="3142"/>
      <c r="C18" s="3142"/>
      <c r="D18" s="3142"/>
    </row>
    <row r="19" spans="1:4" ht="46.5" customHeight="1">
      <c r="A19" s="31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2"/>
      <c r="C19" s="3142"/>
      <c r="D19" s="3142"/>
    </row>
    <row r="20" spans="1:4" ht="57.75" customHeight="1">
      <c r="A20" s="31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2"/>
      <c r="C20" s="3142"/>
      <c r="D20" s="3142"/>
    </row>
    <row r="21" spans="1:4" ht="57.75" customHeight="1">
      <c r="A21" s="31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6"/>
      <c r="C21" s="3146"/>
      <c r="D21" s="3146"/>
    </row>
    <row r="22" spans="1:4" ht="18.75" customHeight="1">
      <c r="A22" s="3147" t="s">
        <v>1623</v>
      </c>
      <c r="B22" s="3147"/>
      <c r="C22" s="3147"/>
      <c r="D22" s="3147"/>
    </row>
    <row r="23" spans="1:4">
      <c r="A23" s="1708"/>
      <c r="B23" s="1680"/>
      <c r="C23" s="1680"/>
      <c r="D23" s="1680"/>
    </row>
    <row r="24" spans="1:4">
      <c r="A24" s="1708"/>
      <c r="B24" s="1680"/>
      <c r="C24" s="1680"/>
      <c r="D24" s="1680"/>
    </row>
    <row r="25" spans="1:4" ht="17.399999999999999">
      <c r="A25" s="1709" t="s">
        <v>1624</v>
      </c>
    </row>
    <row r="26" spans="1:4" ht="17.399999999999999">
      <c r="A26" s="1678"/>
    </row>
    <row r="27" spans="1:4" ht="17.399999999999999">
      <c r="A27" s="1678" t="s">
        <v>1625</v>
      </c>
    </row>
    <row r="30" spans="1:4" ht="17.399999999999999">
      <c r="D30" s="1709" t="s">
        <v>1626</v>
      </c>
    </row>
    <row r="31" spans="1:4" ht="13.5" customHeight="1">
      <c r="C31" s="3144">
        <v>42551</v>
      </c>
      <c r="D31" s="314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66" customWidth="1"/>
    <col min="3" max="10" width="12.44140625" style="1666" customWidth="1"/>
    <col min="11" max="16384" width="9" style="1666"/>
  </cols>
  <sheetData>
    <row r="1" spans="1:10" ht="17.399999999999999">
      <c r="A1" s="1699" t="s">
        <v>838</v>
      </c>
      <c r="B1" s="1710"/>
      <c r="C1" s="1710"/>
      <c r="D1" s="1710"/>
      <c r="E1" s="1710"/>
      <c r="F1" s="1710"/>
      <c r="G1" s="1710"/>
      <c r="H1" s="1710"/>
      <c r="I1" s="1710"/>
      <c r="J1" s="1710"/>
    </row>
    <row r="2" spans="1:10" ht="17.399999999999999">
      <c r="A2" s="1711"/>
      <c r="B2" s="1710"/>
      <c r="C2" s="1710"/>
      <c r="D2" s="1710"/>
      <c r="E2" s="1710"/>
      <c r="F2" s="1710"/>
      <c r="G2" s="1710"/>
      <c r="H2" s="1710"/>
      <c r="I2" s="1710"/>
      <c r="J2" s="1710"/>
    </row>
    <row r="3" spans="1:10">
      <c r="A3" s="1710"/>
      <c r="B3" s="1710"/>
      <c r="C3" s="1710"/>
      <c r="D3" s="1710"/>
      <c r="E3" s="1710"/>
      <c r="F3" s="1710"/>
      <c r="G3" s="1710"/>
      <c r="H3" s="1710"/>
      <c r="I3" s="1710"/>
      <c r="J3" s="1710"/>
    </row>
    <row r="4" spans="1:10">
      <c r="A4" s="1710"/>
      <c r="B4" s="1710"/>
      <c r="C4" s="1710"/>
      <c r="D4" s="1710"/>
      <c r="E4" s="1710"/>
      <c r="F4" s="1710"/>
      <c r="G4" s="1710"/>
      <c r="H4" s="1710"/>
      <c r="I4" s="1710"/>
      <c r="J4" s="1710"/>
    </row>
    <row r="5" spans="1:10">
      <c r="A5" s="1710"/>
      <c r="B5" s="1710"/>
      <c r="C5" s="1710"/>
      <c r="D5" s="1710"/>
      <c r="E5" s="1710"/>
      <c r="F5" s="1710"/>
      <c r="G5" s="1710"/>
      <c r="H5" s="1710"/>
      <c r="I5" s="1710"/>
      <c r="J5" s="1710"/>
    </row>
    <row r="6" spans="1:10">
      <c r="A6" s="1710"/>
      <c r="B6" s="1710"/>
      <c r="C6" s="1710"/>
      <c r="D6" s="1710"/>
      <c r="E6" s="1710"/>
      <c r="F6" s="1710"/>
      <c r="G6" s="1710"/>
      <c r="H6" s="1710"/>
      <c r="I6" s="1710"/>
      <c r="J6" s="1710"/>
    </row>
    <row r="7" spans="1:10">
      <c r="A7" s="1710"/>
      <c r="B7" s="1710"/>
      <c r="C7" s="1710"/>
      <c r="D7" s="1710"/>
      <c r="E7" s="1710"/>
      <c r="F7" s="1710"/>
      <c r="G7" s="1710"/>
      <c r="H7" s="1710"/>
      <c r="I7" s="1710"/>
      <c r="J7" s="1710"/>
    </row>
    <row r="8" spans="1:10">
      <c r="A8" s="1710"/>
      <c r="B8" s="1710"/>
      <c r="C8" s="1710"/>
      <c r="D8" s="1710"/>
      <c r="E8" s="1710"/>
      <c r="F8" s="1710"/>
      <c r="G8" s="1710"/>
      <c r="H8" s="1710"/>
      <c r="I8" s="1710"/>
      <c r="J8" s="1710"/>
    </row>
    <row r="9" spans="1:10">
      <c r="A9" s="1710"/>
      <c r="B9" s="1710"/>
      <c r="C9" s="1710"/>
      <c r="D9" s="1710"/>
      <c r="E9" s="1710"/>
      <c r="F9" s="1710"/>
      <c r="G9" s="1710"/>
      <c r="H9" s="1710"/>
      <c r="I9" s="1710"/>
      <c r="J9" s="1710"/>
    </row>
    <row r="10" spans="1:10">
      <c r="A10" s="1710"/>
      <c r="B10" s="1710"/>
      <c r="C10" s="1710"/>
      <c r="D10" s="1710"/>
      <c r="E10" s="1710"/>
      <c r="F10" s="1710"/>
      <c r="G10" s="1710"/>
      <c r="H10" s="1710"/>
      <c r="I10" s="1710"/>
      <c r="J10" s="1710"/>
    </row>
    <row r="11" spans="1:10">
      <c r="A11" s="1710"/>
      <c r="B11" s="1710"/>
      <c r="C11" s="1710"/>
      <c r="D11" s="1710"/>
      <c r="E11" s="1710"/>
      <c r="F11" s="1710"/>
      <c r="G11" s="1710"/>
      <c r="H11" s="1710"/>
      <c r="I11" s="1710"/>
      <c r="J11" s="1710"/>
    </row>
    <row r="12" spans="1:10">
      <c r="A12" s="1710"/>
      <c r="B12" s="1710"/>
      <c r="C12" s="1710"/>
      <c r="D12" s="1710"/>
      <c r="E12" s="1710"/>
      <c r="F12" s="1710"/>
      <c r="G12" s="1710"/>
      <c r="H12" s="1710"/>
      <c r="I12" s="1710"/>
      <c r="J12" s="1710"/>
    </row>
    <row r="13" spans="1:10">
      <c r="A13" s="1710"/>
      <c r="B13" s="1710"/>
      <c r="C13" s="1710"/>
      <c r="D13" s="1710"/>
      <c r="E13" s="1710"/>
      <c r="F13" s="1710"/>
      <c r="G13" s="1710"/>
      <c r="H13" s="1710"/>
      <c r="I13" s="1710"/>
      <c r="J13" s="1710"/>
    </row>
    <row r="14" spans="1:10">
      <c r="A14" s="1710"/>
      <c r="B14" s="1710"/>
      <c r="C14" s="1710"/>
      <c r="D14" s="1710"/>
      <c r="E14" s="1710"/>
      <c r="F14" s="1710"/>
      <c r="G14" s="1710"/>
      <c r="H14" s="1710"/>
      <c r="I14" s="1710"/>
      <c r="J14" s="1710"/>
    </row>
    <row r="15" spans="1:10">
      <c r="A15" s="1710"/>
      <c r="B15" s="1710"/>
      <c r="C15" s="1710"/>
      <c r="D15" s="1710"/>
      <c r="E15" s="1710"/>
      <c r="F15" s="1710"/>
      <c r="G15" s="1710"/>
      <c r="H15" s="1710"/>
      <c r="I15" s="1710"/>
      <c r="J15" s="1710"/>
    </row>
    <row r="16" spans="1:10">
      <c r="A16" s="1710"/>
      <c r="B16" s="1710"/>
      <c r="C16" s="1710"/>
      <c r="D16" s="1710"/>
      <c r="E16" s="1710"/>
      <c r="F16" s="1710"/>
      <c r="G16" s="1710"/>
      <c r="H16" s="1710"/>
      <c r="I16" s="1710"/>
      <c r="J16" s="1710"/>
    </row>
    <row r="17" spans="1:10">
      <c r="A17" s="1710"/>
      <c r="B17" s="1710"/>
      <c r="C17" s="1710"/>
      <c r="D17" s="1710"/>
      <c r="E17" s="1710"/>
      <c r="F17" s="1710"/>
      <c r="G17" s="1710"/>
      <c r="H17" s="1710"/>
      <c r="I17" s="1710"/>
      <c r="J17" s="1710"/>
    </row>
    <row r="18" spans="1:10">
      <c r="A18" s="1710"/>
      <c r="B18" s="1710"/>
      <c r="C18" s="1710"/>
      <c r="D18" s="1710"/>
      <c r="E18" s="1710"/>
      <c r="F18" s="1710"/>
      <c r="G18" s="1710"/>
      <c r="H18" s="1710"/>
      <c r="I18" s="1710"/>
      <c r="J18" s="1710"/>
    </row>
    <row r="19" spans="1:10">
      <c r="A19" s="1710"/>
      <c r="B19" s="1710"/>
      <c r="C19" s="1710"/>
      <c r="D19" s="1710"/>
      <c r="E19" s="1710"/>
      <c r="F19" s="1710"/>
      <c r="G19" s="1710"/>
      <c r="H19" s="1710"/>
      <c r="I19" s="1710"/>
      <c r="J19" s="1710"/>
    </row>
    <row r="20" spans="1:10">
      <c r="A20" s="1710"/>
      <c r="B20" s="1710"/>
      <c r="C20" s="1710"/>
      <c r="D20" s="1710"/>
      <c r="E20" s="1710"/>
      <c r="F20" s="1710"/>
      <c r="G20" s="1710"/>
      <c r="H20" s="1710"/>
      <c r="I20" s="1710"/>
      <c r="J20" s="1710"/>
    </row>
    <row r="21" spans="1:10">
      <c r="A21" s="1710"/>
      <c r="B21" s="1710"/>
      <c r="C21" s="1710"/>
      <c r="D21" s="1710"/>
      <c r="E21" s="1710"/>
      <c r="F21" s="1710"/>
      <c r="G21" s="1710"/>
      <c r="H21" s="1710"/>
      <c r="I21" s="1710"/>
      <c r="J21" s="1710"/>
    </row>
    <row r="22" spans="1:10">
      <c r="A22" s="1710"/>
      <c r="B22" s="1710"/>
      <c r="C22" s="1710"/>
      <c r="D22" s="1710"/>
      <c r="E22" s="1710"/>
      <c r="F22" s="1710"/>
      <c r="G22" s="1710"/>
      <c r="H22" s="1710"/>
      <c r="I22" s="1710"/>
      <c r="J22" s="1710"/>
    </row>
    <row r="23" spans="1:10">
      <c r="A23" s="1710"/>
      <c r="B23" s="1710"/>
      <c r="C23" s="1710"/>
      <c r="D23" s="1710"/>
      <c r="E23" s="1710"/>
      <c r="F23" s="1710"/>
      <c r="G23" s="1710"/>
      <c r="H23" s="1710"/>
      <c r="I23" s="1710"/>
      <c r="J23" s="1710"/>
    </row>
    <row r="24" spans="1:10">
      <c r="A24" s="1710"/>
      <c r="B24" s="1710"/>
      <c r="C24" s="1710"/>
      <c r="D24" s="1710"/>
      <c r="E24" s="1710"/>
      <c r="F24" s="1710"/>
      <c r="G24" s="1710"/>
      <c r="H24" s="1710"/>
      <c r="I24" s="1710"/>
      <c r="J24" s="1710"/>
    </row>
    <row r="25" spans="1:10">
      <c r="A25" s="1710"/>
      <c r="B25" s="1710"/>
      <c r="C25" s="1710"/>
      <c r="D25" s="1710"/>
      <c r="E25" s="1710"/>
      <c r="F25" s="1710"/>
      <c r="G25" s="1710"/>
      <c r="H25" s="1710"/>
      <c r="I25" s="1710"/>
      <c r="J25" s="1710"/>
    </row>
    <row r="26" spans="1:10">
      <c r="A26" s="1710"/>
      <c r="B26" s="1710"/>
      <c r="C26" s="1710"/>
      <c r="D26" s="1710"/>
      <c r="E26" s="1710"/>
      <c r="F26" s="1710"/>
      <c r="G26" s="1710"/>
      <c r="H26" s="1710"/>
      <c r="I26" s="1710"/>
      <c r="J26" s="1710"/>
    </row>
    <row r="27" spans="1:10">
      <c r="A27" s="1710"/>
      <c r="B27" s="1710"/>
      <c r="C27" s="1710"/>
      <c r="D27" s="1710"/>
      <c r="E27" s="1710"/>
      <c r="F27" s="1710"/>
      <c r="G27" s="1710"/>
      <c r="H27" s="1710"/>
      <c r="I27" s="1710"/>
      <c r="J27" s="1710"/>
    </row>
    <row r="28" spans="1:10">
      <c r="A28" s="1710"/>
      <c r="B28" s="1710"/>
      <c r="C28" s="1710"/>
      <c r="D28" s="1710"/>
      <c r="E28" s="1710"/>
      <c r="F28" s="1710"/>
      <c r="G28" s="1710"/>
      <c r="H28" s="1710"/>
      <c r="I28" s="1710"/>
      <c r="J28" s="1710"/>
    </row>
    <row r="29" spans="1:10">
      <c r="A29" s="1710"/>
      <c r="B29" s="1710"/>
      <c r="C29" s="1710"/>
      <c r="D29" s="1710"/>
      <c r="E29" s="1710"/>
      <c r="F29" s="1710"/>
      <c r="G29" s="1710"/>
      <c r="H29" s="1710"/>
      <c r="I29" s="1710"/>
      <c r="J29" s="1710"/>
    </row>
    <row r="30" spans="1:10">
      <c r="A30" s="1710"/>
      <c r="B30" s="1710"/>
      <c r="C30" s="1710"/>
      <c r="D30" s="1710"/>
      <c r="E30" s="1710"/>
      <c r="F30" s="1710"/>
      <c r="G30" s="1710"/>
      <c r="H30" s="1710"/>
      <c r="I30" s="1710"/>
      <c r="J30" s="1710"/>
    </row>
    <row r="31" spans="1:10">
      <c r="A31" s="1710"/>
      <c r="B31" s="1710"/>
      <c r="C31" s="1710"/>
      <c r="D31" s="1710"/>
      <c r="E31" s="1710"/>
      <c r="F31" s="1710"/>
      <c r="G31" s="1710"/>
      <c r="H31" s="1710"/>
      <c r="I31" s="1710"/>
      <c r="J31" s="171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716" customWidth="1"/>
    <col min="2" max="16384" width="14.44140625" style="1698"/>
  </cols>
  <sheetData>
    <row r="1" spans="1:7" s="1713" customFormat="1" ht="17.399999999999999">
      <c r="A1" s="1712" t="s">
        <v>1628</v>
      </c>
    </row>
    <row r="3" spans="1:7">
      <c r="A3" s="1714" t="s">
        <v>82</v>
      </c>
      <c r="B3" s="1698" t="s">
        <v>1629</v>
      </c>
      <c r="G3" s="1715"/>
    </row>
    <row r="4" spans="1:7">
      <c r="G4" s="1715"/>
    </row>
    <row r="5" spans="1:7">
      <c r="A5" s="1717" t="s">
        <v>73</v>
      </c>
      <c r="B5" s="1698" t="s">
        <v>1630</v>
      </c>
      <c r="G5" s="1715"/>
    </row>
    <row r="6" spans="1:7">
      <c r="G6" s="1715"/>
    </row>
    <row r="7" spans="1:7">
      <c r="A7" s="1718" t="s">
        <v>135</v>
      </c>
      <c r="B7" s="1698" t="s">
        <v>1631</v>
      </c>
      <c r="G7" s="1715"/>
    </row>
    <row r="8" spans="1:7">
      <c r="G8" s="1715"/>
    </row>
    <row r="9" spans="1:7">
      <c r="A9" s="1719" t="s">
        <v>74</v>
      </c>
      <c r="B9" s="1698" t="s">
        <v>1632</v>
      </c>
    </row>
    <row r="11" spans="1:7">
      <c r="A11" s="1720" t="s">
        <v>75</v>
      </c>
      <c r="B11" s="1721" t="s">
        <v>72</v>
      </c>
    </row>
    <row r="13" spans="1:7">
      <c r="A13" s="1722" t="s">
        <v>1633</v>
      </c>
    </row>
    <row r="15" spans="1:7" ht="14.4">
      <c r="A15" s="3153" t="s">
        <v>1634</v>
      </c>
      <c r="B15" s="3148" t="s">
        <v>136</v>
      </c>
      <c r="C15" s="3149"/>
    </row>
    <row r="16" spans="1:7" ht="14.4">
      <c r="A16" s="3154"/>
      <c r="B16" s="3148" t="s">
        <v>69</v>
      </c>
      <c r="C16" s="3149"/>
    </row>
    <row r="17" spans="1:3" ht="14.4">
      <c r="A17" s="3154"/>
      <c r="B17" s="3151" t="s">
        <v>1635</v>
      </c>
      <c r="C17" s="1723" t="s">
        <v>1634</v>
      </c>
    </row>
    <row r="18" spans="1:3" ht="14.4">
      <c r="A18" s="3154"/>
      <c r="B18" s="3151"/>
      <c r="C18" s="1723" t="s">
        <v>1636</v>
      </c>
    </row>
    <row r="19" spans="1:3" ht="14.4">
      <c r="A19" s="3154"/>
      <c r="B19" s="3151"/>
      <c r="C19" s="1723" t="s">
        <v>1637</v>
      </c>
    </row>
    <row r="20" spans="1:3" ht="14.4">
      <c r="A20" s="3155"/>
      <c r="B20" s="3150" t="s">
        <v>1638</v>
      </c>
      <c r="C20" s="3149"/>
    </row>
    <row r="21" spans="1:3" ht="14.4">
      <c r="A21" s="1724" t="s">
        <v>1639</v>
      </c>
      <c r="B21" s="1725"/>
      <c r="C21" s="1726"/>
    </row>
    <row r="22" spans="1:3" ht="14.4">
      <c r="A22" s="3152" t="s">
        <v>1640</v>
      </c>
      <c r="B22" s="3150" t="s">
        <v>1641</v>
      </c>
      <c r="C22" s="3149"/>
    </row>
    <row r="23" spans="1:3" ht="14.4">
      <c r="A23" s="3152"/>
      <c r="B23" s="3150" t="s">
        <v>1642</v>
      </c>
      <c r="C23" s="3149"/>
    </row>
    <row r="24" spans="1:3" ht="14.4">
      <c r="A24" s="3152"/>
      <c r="B24" s="3150" t="s">
        <v>1643</v>
      </c>
      <c r="C24" s="3149"/>
    </row>
    <row r="25" spans="1:3" ht="14.4">
      <c r="A25" s="3152"/>
      <c r="B25" s="3151" t="s">
        <v>1644</v>
      </c>
      <c r="C25" s="1723" t="s">
        <v>1645</v>
      </c>
    </row>
    <row r="26" spans="1:3" ht="14.4">
      <c r="A26" s="3152"/>
      <c r="B26" s="3151"/>
      <c r="C26" s="1723" t="s">
        <v>1646</v>
      </c>
    </row>
    <row r="27" spans="1:3" ht="14.4">
      <c r="A27" s="3152"/>
      <c r="B27" s="3151"/>
      <c r="C27" s="1723" t="s">
        <v>1647</v>
      </c>
    </row>
    <row r="28" spans="1:3" ht="14.4">
      <c r="A28" s="3152"/>
      <c r="B28" s="3151"/>
      <c r="C28" s="1723" t="s">
        <v>1648</v>
      </c>
    </row>
    <row r="29" spans="1:3" ht="14.4">
      <c r="A29" s="3152"/>
      <c r="B29" s="3151"/>
      <c r="C29" s="1723" t="s">
        <v>1649</v>
      </c>
    </row>
    <row r="30" spans="1:3" ht="14.4">
      <c r="A30" s="3152"/>
      <c r="B30" s="3151"/>
      <c r="C30" s="1723" t="s">
        <v>1650</v>
      </c>
    </row>
    <row r="31" spans="1:3" ht="14.4">
      <c r="A31" s="3152"/>
      <c r="B31" s="3151"/>
      <c r="C31" s="1723" t="s">
        <v>1651</v>
      </c>
    </row>
    <row r="32" spans="1:3" ht="14.4">
      <c r="A32" s="3152"/>
      <c r="B32" s="3151"/>
      <c r="C32" s="1723" t="s">
        <v>1652</v>
      </c>
    </row>
    <row r="33" spans="1:3" ht="14.4">
      <c r="A33" s="3152"/>
      <c r="B33" s="3151"/>
      <c r="C33" s="1723" t="s">
        <v>1653</v>
      </c>
    </row>
    <row r="34" spans="1:3">
      <c r="A34" s="1727" t="s">
        <v>76</v>
      </c>
    </row>
    <row r="37" spans="1:3">
      <c r="A37" s="1727" t="s">
        <v>1654</v>
      </c>
    </row>
    <row r="38" spans="1:3" ht="14.4">
      <c r="A38" s="1728" t="s">
        <v>77</v>
      </c>
    </row>
    <row r="39" spans="1:3" ht="14.4">
      <c r="A39" s="1728" t="s">
        <v>78</v>
      </c>
    </row>
    <row r="40" spans="1:3" ht="14.4">
      <c r="A40" s="1728" t="s">
        <v>79</v>
      </c>
    </row>
    <row r="41" spans="1:3" ht="14.4">
      <c r="A41" s="1729" t="s">
        <v>80</v>
      </c>
    </row>
    <row r="42" spans="1:3" ht="14.4">
      <c r="A42" s="172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66" customWidth="1"/>
    <col min="2" max="2" width="38.6640625" style="2566" customWidth="1"/>
    <col min="3" max="3" width="26" style="2566" customWidth="1"/>
    <col min="4" max="4" width="35" style="2566" hidden="1" customWidth="1"/>
    <col min="5" max="5" width="30.109375" style="2566" customWidth="1"/>
    <col min="6" max="6" width="35.44140625" style="2566" customWidth="1"/>
    <col min="7" max="7" width="31" style="2566" customWidth="1"/>
    <col min="8" max="8" width="37.44140625" style="2566" hidden="1" customWidth="1"/>
    <col min="9" max="16384" width="22.6640625" style="2566"/>
  </cols>
  <sheetData>
    <row r="1" spans="1:8" ht="24" customHeight="1">
      <c r="A1" s="2565"/>
      <c r="B1" s="2565"/>
      <c r="C1" s="2565"/>
      <c r="D1" s="2565"/>
      <c r="E1" s="2565"/>
      <c r="F1" s="2565"/>
      <c r="G1" s="2565"/>
      <c r="H1" s="2565"/>
    </row>
    <row r="2" spans="1:8" ht="24" customHeight="1">
      <c r="A2" s="2567" t="s">
        <v>2892</v>
      </c>
      <c r="B2" s="2568">
        <f ca="1">TODAY()</f>
        <v>44064</v>
      </c>
      <c r="C2" s="2569" t="s">
        <v>2893</v>
      </c>
      <c r="D2" s="2569"/>
      <c r="E2" s="2569"/>
      <c r="F2" s="2565"/>
      <c r="G2" s="2565"/>
      <c r="H2" s="2565"/>
    </row>
    <row r="3" spans="1:8" ht="24" customHeight="1">
      <c r="A3" s="2570" t="s">
        <v>2894</v>
      </c>
      <c r="B3" s="2571" t="s">
        <v>2895</v>
      </c>
      <c r="C3" s="2571" t="s">
        <v>2896</v>
      </c>
      <c r="D3" s="2572" t="s">
        <v>2897</v>
      </c>
      <c r="E3" s="2573" t="s">
        <v>2898</v>
      </c>
      <c r="F3" s="1478" t="s">
        <v>2899</v>
      </c>
      <c r="G3" s="2571" t="s">
        <v>2896</v>
      </c>
      <c r="H3" s="2572" t="s">
        <v>2900</v>
      </c>
    </row>
    <row r="4" spans="1:8" ht="24" customHeight="1">
      <c r="A4" s="1478" t="s">
        <v>2901</v>
      </c>
      <c r="B4" s="1478">
        <f ca="1">IF(C4&lt;B2,"已过期",1119970066)</f>
        <v>1119970066</v>
      </c>
      <c r="C4" s="2574">
        <v>44876</v>
      </c>
      <c r="D4" s="2575" t="str">
        <f ca="1">A4&amp;"（注册号："&amp;B4&amp;"）"</f>
        <v>梁津（注册号：1119970066）</v>
      </c>
      <c r="E4" s="2576" t="s">
        <v>2901</v>
      </c>
      <c r="F4" s="1478">
        <f ca="1">IF(G4&lt;B2,"已过期",96010014)</f>
        <v>96010014</v>
      </c>
      <c r="G4" s="2577">
        <v>47118</v>
      </c>
      <c r="H4" s="2578" t="str">
        <f ca="1">E4&amp;"（注册号："&amp;F4&amp;"）"</f>
        <v>梁津（注册号：96010014）</v>
      </c>
    </row>
    <row r="5" spans="1:8" ht="24" customHeight="1">
      <c r="A5" s="1478" t="s">
        <v>2902</v>
      </c>
      <c r="B5" s="1478">
        <f ca="1">IF(C5&lt;B2,"已过期",1119970111)</f>
        <v>1119970111</v>
      </c>
      <c r="C5" s="2574">
        <v>44876</v>
      </c>
      <c r="D5" s="2575" t="str">
        <f t="shared" ref="D5:D15" ca="1" si="0">A5&amp;"（注册号："&amp;B5&amp;"）"</f>
        <v>叶凌（注册号：1119970111）</v>
      </c>
      <c r="E5" s="2576" t="s">
        <v>2902</v>
      </c>
      <c r="F5" s="1478">
        <f ca="1">IF(G5&lt;B2,"已过期",94010078)</f>
        <v>94010078</v>
      </c>
      <c r="G5" s="2577">
        <v>46387</v>
      </c>
      <c r="H5" s="2578" t="str">
        <f t="shared" ref="H5:H16" ca="1" si="1">E5&amp;"（注册号："&amp;F5&amp;"）"</f>
        <v>叶凌（注册号：94010078）</v>
      </c>
    </row>
    <row r="6" spans="1:8" ht="24" customHeight="1">
      <c r="A6" s="1478" t="s">
        <v>2903</v>
      </c>
      <c r="B6" s="1478">
        <f ca="1">IF(C6&lt;B2,"已过期",1120050019)</f>
        <v>1120050019</v>
      </c>
      <c r="C6" s="2574">
        <v>44395</v>
      </c>
      <c r="D6" s="2575" t="str">
        <f t="shared" ca="1" si="0"/>
        <v>王鹏（注册号：1120050019）</v>
      </c>
      <c r="E6" s="2576" t="s">
        <v>2903</v>
      </c>
      <c r="F6" s="1478">
        <f ca="1">IF(G6&lt;B2,"已过期",2002110030)</f>
        <v>2002110030</v>
      </c>
      <c r="G6" s="2577">
        <v>46387</v>
      </c>
      <c r="H6" s="2578" t="str">
        <f t="shared" ca="1" si="1"/>
        <v>王鹏（注册号：2002110030）</v>
      </c>
    </row>
    <row r="7" spans="1:8" ht="24" customHeight="1">
      <c r="A7" s="1478" t="s">
        <v>2904</v>
      </c>
      <c r="B7" s="1478">
        <f ca="1">IF(C7&lt;B2,"已过期",1120000080)</f>
        <v>1120000080</v>
      </c>
      <c r="C7" s="2574">
        <v>44876</v>
      </c>
      <c r="D7" s="2575" t="str">
        <f t="shared" ca="1" si="0"/>
        <v>欧红伟（注册号：1120000080）</v>
      </c>
      <c r="E7" s="2576" t="s">
        <v>2904</v>
      </c>
      <c r="F7" s="1478">
        <f ca="1">IF(G7&lt;B2,"已过期",2000110082)</f>
        <v>2000110082</v>
      </c>
      <c r="G7" s="2577">
        <v>46387</v>
      </c>
      <c r="H7" s="2578" t="str">
        <f t="shared" ca="1" si="1"/>
        <v>欧红伟（注册号：2000110082）</v>
      </c>
    </row>
    <row r="8" spans="1:8" ht="24" customHeight="1">
      <c r="A8" s="1478" t="s">
        <v>2905</v>
      </c>
      <c r="B8" s="1478">
        <f ca="1">IF(C8&lt;B2,"已过期",1419970001)</f>
        <v>1419970001</v>
      </c>
      <c r="C8" s="2574">
        <v>44899</v>
      </c>
      <c r="D8" s="2575" t="str">
        <f t="shared" ca="1" si="0"/>
        <v>吴薇（注册号：1419970001）</v>
      </c>
      <c r="E8" s="2576" t="s">
        <v>2905</v>
      </c>
      <c r="F8" s="1478">
        <f ca="1">IF(G8&lt;B2,"已过期",2002110125)</f>
        <v>2002110125</v>
      </c>
      <c r="G8" s="2577">
        <v>47118</v>
      </c>
      <c r="H8" s="2578" t="str">
        <f t="shared" ca="1" si="1"/>
        <v>吴薇（注册号：2002110125）</v>
      </c>
    </row>
    <row r="9" spans="1:8" ht="24" customHeight="1">
      <c r="A9" s="1478" t="s">
        <v>2906</v>
      </c>
      <c r="B9" s="1478">
        <f ca="1">IF(C9&lt;B2,"已过期",1120060040)</f>
        <v>1120060040</v>
      </c>
      <c r="C9" s="2579">
        <v>44554</v>
      </c>
      <c r="D9" s="2575" t="str">
        <f t="shared" ca="1" si="0"/>
        <v>陈颖（注册号：1120060040）</v>
      </c>
      <c r="E9" s="2576" t="s">
        <v>2906</v>
      </c>
      <c r="F9" s="1478">
        <f ca="1">IF(G9&lt;B2,"已过期",2004110096)</f>
        <v>2004110096</v>
      </c>
      <c r="G9" s="2577">
        <v>47118</v>
      </c>
      <c r="H9" s="2578" t="str">
        <f t="shared" ca="1" si="1"/>
        <v>陈颖（注册号：2004110096）</v>
      </c>
    </row>
    <row r="10" spans="1:8" ht="24" customHeight="1">
      <c r="A10" s="1478" t="s">
        <v>2907</v>
      </c>
      <c r="B10" s="1478">
        <f ca="1">IF(C10&lt;B2,"已过期",1120100036)</f>
        <v>1120100036</v>
      </c>
      <c r="C10" s="2579">
        <v>44675</v>
      </c>
      <c r="D10" s="2575" t="str">
        <f t="shared" ca="1" si="0"/>
        <v>崔锴（注册号：1120100036）</v>
      </c>
      <c r="E10" s="2576" t="s">
        <v>2907</v>
      </c>
      <c r="F10" s="1478">
        <f ca="1">IF(G10&lt;B2,"已过期",2010110070)</f>
        <v>2010110070</v>
      </c>
      <c r="G10" s="2577">
        <v>47907</v>
      </c>
      <c r="H10" s="2578" t="str">
        <f t="shared" ca="1" si="1"/>
        <v>崔锴（注册号：2010110070）</v>
      </c>
    </row>
    <row r="11" spans="1:8" ht="24" customHeight="1">
      <c r="A11" s="1478" t="s">
        <v>2908</v>
      </c>
      <c r="B11" s="1478">
        <f ca="1">IF(C11&lt;B2,"已过期",1120070131)</f>
        <v>1120070131</v>
      </c>
      <c r="C11" s="2574">
        <v>44849</v>
      </c>
      <c r="D11" s="2575" t="str">
        <f t="shared" ca="1" si="0"/>
        <v>郑燚（注册号：1120070131）</v>
      </c>
      <c r="E11" s="2576" t="s">
        <v>2908</v>
      </c>
      <c r="F11" s="1478">
        <f ca="1">IF(G11&lt;B2,"已过期",2014110011)</f>
        <v>2014110011</v>
      </c>
      <c r="G11" s="2577">
        <v>49302</v>
      </c>
      <c r="H11" s="2578" t="str">
        <f t="shared" ca="1" si="1"/>
        <v>郑燚（注册号：2014110011）</v>
      </c>
    </row>
    <row r="12" spans="1:8" ht="24" customHeight="1">
      <c r="A12" s="1478" t="s">
        <v>2909</v>
      </c>
      <c r="B12" s="1478">
        <f ca="1">IF(C12&lt;B2,"已过期",1120040230)</f>
        <v>1120040230</v>
      </c>
      <c r="C12" s="2579">
        <v>44864</v>
      </c>
      <c r="D12" s="2575" t="str">
        <f t="shared" ca="1" si="0"/>
        <v>苏海（注册号：1120040230）</v>
      </c>
      <c r="E12" s="2576" t="s">
        <v>2909</v>
      </c>
      <c r="F12" s="1478">
        <f ca="1">IF(G12&lt;B2,"已过期",98030020)</f>
        <v>98030020</v>
      </c>
      <c r="G12" s="2577">
        <v>47118</v>
      </c>
      <c r="H12" s="2578" t="str">
        <f t="shared" ca="1" si="1"/>
        <v>苏海（注册号：98030020）</v>
      </c>
    </row>
    <row r="13" spans="1:8" ht="24" customHeight="1">
      <c r="A13" s="1478" t="s">
        <v>2910</v>
      </c>
      <c r="B13" s="1478">
        <f ca="1">IF(C13&lt;B2,"已过期",1120020033)</f>
        <v>1120020033</v>
      </c>
      <c r="C13" s="2574">
        <v>44339</v>
      </c>
      <c r="D13" s="2575" t="str">
        <f t="shared" ca="1" si="0"/>
        <v>刘敬东（注册号：1120020033）</v>
      </c>
      <c r="E13" s="2576" t="s">
        <v>2910</v>
      </c>
      <c r="F13" s="1478">
        <f ca="1">IF(G13&lt;B2,"已过期",2000110137)</f>
        <v>2000110137</v>
      </c>
      <c r="G13" s="2577">
        <v>46387</v>
      </c>
      <c r="H13" s="2578" t="str">
        <f t="shared" ca="1" si="1"/>
        <v>刘敬东（注册号：2000110137）</v>
      </c>
    </row>
    <row r="14" spans="1:8" ht="24" customHeight="1">
      <c r="A14" s="1478" t="s">
        <v>2911</v>
      </c>
      <c r="B14" s="1478">
        <f ca="1">IF(C14&lt;B2,"已过期",1119980106)</f>
        <v>1119980106</v>
      </c>
      <c r="C14" s="2579">
        <v>44969</v>
      </c>
      <c r="D14" s="2575" t="str">
        <f t="shared" ca="1" si="0"/>
        <v>刘俊财（注册号：1119980106）</v>
      </c>
      <c r="E14" s="2576" t="s">
        <v>2911</v>
      </c>
      <c r="F14" s="1478">
        <f ca="1">IF(G14&lt;B2,"已过期",96010063)</f>
        <v>96010063</v>
      </c>
      <c r="G14" s="2577">
        <v>47483</v>
      </c>
      <c r="H14" s="2578" t="str">
        <f t="shared" ca="1" si="1"/>
        <v>刘俊财（注册号：96010063）</v>
      </c>
    </row>
    <row r="15" spans="1:8" ht="24" customHeight="1">
      <c r="A15" s="1478"/>
      <c r="B15" s="1478"/>
      <c r="C15" s="2579"/>
      <c r="D15" s="2575" t="str">
        <f t="shared" si="0"/>
        <v>（注册号：）</v>
      </c>
      <c r="E15" s="2576" t="s">
        <v>2912</v>
      </c>
      <c r="F15" s="1478">
        <f ca="1">IF(G15&lt;B2,"已过期",2011110090)</f>
        <v>2011110090</v>
      </c>
      <c r="G15" s="2577">
        <v>48302</v>
      </c>
      <c r="H15" s="2578" t="str">
        <f t="shared" ca="1" si="1"/>
        <v>赵雯（注册号：2011110090）</v>
      </c>
    </row>
    <row r="16" spans="1:8" s="2581" customFormat="1" ht="24" customHeight="1">
      <c r="A16" s="1478"/>
      <c r="B16" s="1478"/>
      <c r="C16" s="1478"/>
      <c r="D16" s="2575" t="str">
        <f>A16&amp;"（注册号："&amp;B16&amp;"）"</f>
        <v>（注册号：）</v>
      </c>
      <c r="E16" s="2576"/>
      <c r="F16" s="1478"/>
      <c r="G16" s="1478"/>
      <c r="H16" s="2580" t="str">
        <f t="shared" si="1"/>
        <v>（注册号：）</v>
      </c>
    </row>
    <row r="17" spans="1:8" ht="24" customHeight="1">
      <c r="A17" s="3156" t="s">
        <v>2913</v>
      </c>
      <c r="B17" s="3156"/>
      <c r="C17" s="3156"/>
      <c r="D17" s="3156"/>
      <c r="E17" s="3156"/>
      <c r="F17" s="3156"/>
      <c r="G17" s="3156"/>
      <c r="H17" s="3156"/>
    </row>
    <row r="18" spans="1:8" ht="24" customHeight="1">
      <c r="A18" s="3157" t="s">
        <v>2914</v>
      </c>
      <c r="B18" s="3157"/>
      <c r="C18" s="3157"/>
      <c r="D18" s="2572"/>
      <c r="E18" s="3158" t="s">
        <v>2915</v>
      </c>
      <c r="F18" s="3157"/>
      <c r="G18" s="3157"/>
    </row>
    <row r="19" spans="1:8" s="2583" customFormat="1" ht="24" customHeight="1">
      <c r="A19" s="2582" t="s">
        <v>2916</v>
      </c>
      <c r="B19" s="2571" t="s">
        <v>2917</v>
      </c>
      <c r="C19" s="2571" t="s">
        <v>2896</v>
      </c>
      <c r="D19" s="2572"/>
      <c r="E19" s="2576" t="s">
        <v>2916</v>
      </c>
      <c r="F19" s="2571" t="s">
        <v>2917</v>
      </c>
      <c r="G19" s="2571" t="s">
        <v>2896</v>
      </c>
    </row>
    <row r="20" spans="1:8" s="2583" customFormat="1" ht="24" customHeight="1">
      <c r="A20" s="2584" t="s">
        <v>2918</v>
      </c>
      <c r="B20" s="2584" t="s">
        <v>2919</v>
      </c>
      <c r="C20" s="2577">
        <v>44820</v>
      </c>
      <c r="D20" s="2585"/>
      <c r="E20" s="2586" t="s">
        <v>2920</v>
      </c>
      <c r="F20" s="2584" t="s">
        <v>2921</v>
      </c>
      <c r="G20" s="2587">
        <v>44377</v>
      </c>
    </row>
    <row r="21" spans="1:8" s="2583" customFormat="1" ht="24" customHeight="1">
      <c r="A21" s="2584"/>
      <c r="B21" s="2584"/>
      <c r="C21" s="2588"/>
      <c r="D21" s="2589"/>
      <c r="E21" s="2586" t="s">
        <v>2922</v>
      </c>
      <c r="F21" s="2590" t="s">
        <v>2923</v>
      </c>
      <c r="G21" s="2591">
        <v>44012</v>
      </c>
    </row>
    <row r="22" spans="1:8" ht="24" customHeight="1">
      <c r="C22" s="2592"/>
      <c r="D22" s="2592"/>
      <c r="E22" s="2593"/>
      <c r="F22" s="2594"/>
      <c r="G22" s="2595" t="s">
        <v>2924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21" priority="51">
      <formula>AND($C4-TODAY()&lt;30,TODAY()&lt;$C4)</formula>
    </cfRule>
  </conditionalFormatting>
  <conditionalFormatting sqref="C20:D20">
    <cfRule type="expression" dxfId="220" priority="50">
      <formula>AND($C20-TODAY()&lt;30,TODAY()&lt;$C20)</formula>
    </cfRule>
  </conditionalFormatting>
  <conditionalFormatting sqref="C20:D20 G4 C4:D5 C13:D13">
    <cfRule type="cellIs" dxfId="219" priority="52" stopIfTrue="1" operator="lessThan">
      <formula>$B$2</formula>
    </cfRule>
  </conditionalFormatting>
  <conditionalFormatting sqref="G5 G7 G9">
    <cfRule type="cellIs" dxfId="218" priority="49" stopIfTrue="1" operator="lessThan">
      <formula>$B$2</formula>
    </cfRule>
  </conditionalFormatting>
  <conditionalFormatting sqref="C6:D6 D14 D16">
    <cfRule type="expression" dxfId="217" priority="47">
      <formula>AND($C6-TODAY()&lt;30,TODAY()&lt;$C6)</formula>
    </cfRule>
  </conditionalFormatting>
  <conditionalFormatting sqref="G6 G8 G10 C6:D6 D7:D12 D14 D16">
    <cfRule type="cellIs" dxfId="216" priority="48" stopIfTrue="1" operator="lessThan">
      <formula>$B$2</formula>
    </cfRule>
  </conditionalFormatting>
  <conditionalFormatting sqref="D12">
    <cfRule type="expression" dxfId="215" priority="45">
      <formula>AND($C12-TODAY()&lt;30,TODAY()&lt;$C12)</formula>
    </cfRule>
  </conditionalFormatting>
  <conditionalFormatting sqref="D12">
    <cfRule type="cellIs" dxfId="214" priority="46" stopIfTrue="1" operator="lessThan">
      <formula>$B$2</formula>
    </cfRule>
  </conditionalFormatting>
  <conditionalFormatting sqref="C13:D13">
    <cfRule type="expression" dxfId="213" priority="43">
      <formula>AND($C13-TODAY()&lt;30,TODAY()&lt;$C13)</formula>
    </cfRule>
  </conditionalFormatting>
  <conditionalFormatting sqref="C13:D13">
    <cfRule type="cellIs" dxfId="212" priority="44" stopIfTrue="1" operator="lessThan">
      <formula>$B$2</formula>
    </cfRule>
  </conditionalFormatting>
  <conditionalFormatting sqref="D14">
    <cfRule type="expression" dxfId="211" priority="41">
      <formula>AND($C14-TODAY()&lt;30,TODAY()&lt;$C14)</formula>
    </cfRule>
  </conditionalFormatting>
  <conditionalFormatting sqref="D14">
    <cfRule type="cellIs" dxfId="210" priority="42" stopIfTrue="1" operator="lessThan">
      <formula>$B$2</formula>
    </cfRule>
  </conditionalFormatting>
  <conditionalFormatting sqref="G13">
    <cfRule type="cellIs" dxfId="209" priority="40" stopIfTrue="1" operator="lessThan">
      <formula>$B$2</formula>
    </cfRule>
  </conditionalFormatting>
  <conditionalFormatting sqref="B4:B11 F4:F11 B13 F13:F14">
    <cfRule type="cellIs" dxfId="208" priority="39" stopIfTrue="1" operator="equal">
      <formula>"已过期"</formula>
    </cfRule>
  </conditionalFormatting>
  <conditionalFormatting sqref="G20">
    <cfRule type="expression" dxfId="207" priority="37">
      <formula>AND($E20-TODAY()&lt;30,TODAY()&lt;$E20)</formula>
    </cfRule>
  </conditionalFormatting>
  <conditionalFormatting sqref="G20">
    <cfRule type="cellIs" dxfId="206" priority="38" stopIfTrue="1" operator="lessThan">
      <formula>$B$2</formula>
    </cfRule>
  </conditionalFormatting>
  <conditionalFormatting sqref="C7">
    <cfRule type="expression" dxfId="205" priority="35">
      <formula>AND($C7-TODAY()&lt;30,TODAY()&lt;$C7)</formula>
    </cfRule>
  </conditionalFormatting>
  <conditionalFormatting sqref="C7">
    <cfRule type="cellIs" dxfId="204" priority="36" stopIfTrue="1" operator="lessThan">
      <formula>$B$2</formula>
    </cfRule>
  </conditionalFormatting>
  <conditionalFormatting sqref="C8">
    <cfRule type="expression" dxfId="203" priority="33">
      <formula>AND($C8-TODAY()&lt;30,TODAY()&lt;$C8)</formula>
    </cfRule>
  </conditionalFormatting>
  <conditionalFormatting sqref="C8">
    <cfRule type="cellIs" dxfId="202" priority="34" stopIfTrue="1" operator="lessThan">
      <formula>$B$2</formula>
    </cfRule>
  </conditionalFormatting>
  <conditionalFormatting sqref="C11">
    <cfRule type="expression" dxfId="201" priority="31">
      <formula>AND($C11-TODAY()&lt;30,TODAY()&lt;$C11)</formula>
    </cfRule>
  </conditionalFormatting>
  <conditionalFormatting sqref="C11">
    <cfRule type="cellIs" dxfId="200" priority="32" stopIfTrue="1" operator="lessThan">
      <formula>$B$2</formula>
    </cfRule>
  </conditionalFormatting>
  <conditionalFormatting sqref="A16:C16">
    <cfRule type="cellIs" dxfId="199" priority="30" stopIfTrue="1" operator="equal">
      <formula>"已过期"</formula>
    </cfRule>
  </conditionalFormatting>
  <conditionalFormatting sqref="E16:G16">
    <cfRule type="cellIs" dxfId="198" priority="29" stopIfTrue="1" operator="equal">
      <formula>"已过期"</formula>
    </cfRule>
  </conditionalFormatting>
  <conditionalFormatting sqref="G11">
    <cfRule type="cellIs" dxfId="197" priority="28" stopIfTrue="1" operator="lessThan">
      <formula>$B$2</formula>
    </cfRule>
  </conditionalFormatting>
  <conditionalFormatting sqref="F12">
    <cfRule type="cellIs" dxfId="196" priority="27" stopIfTrue="1" operator="equal">
      <formula>"已过期"</formula>
    </cfRule>
  </conditionalFormatting>
  <conditionalFormatting sqref="G12">
    <cfRule type="cellIs" dxfId="195" priority="26" stopIfTrue="1" operator="lessThan">
      <formula>$B$2</formula>
    </cfRule>
  </conditionalFormatting>
  <conditionalFormatting sqref="C12">
    <cfRule type="cellIs" dxfId="194" priority="25" stopIfTrue="1" operator="lessThan">
      <formula>$B$2</formula>
    </cfRule>
  </conditionalFormatting>
  <conditionalFormatting sqref="C12">
    <cfRule type="expression" dxfId="193" priority="23">
      <formula>AND($C12-TODAY()&lt;30,TODAY()&lt;$C12)</formula>
    </cfRule>
  </conditionalFormatting>
  <conditionalFormatting sqref="C12">
    <cfRule type="cellIs" dxfId="192" priority="24" stopIfTrue="1" operator="lessThan">
      <formula>$B$2</formula>
    </cfRule>
  </conditionalFormatting>
  <conditionalFormatting sqref="B12">
    <cfRule type="cellIs" dxfId="191" priority="22" stopIfTrue="1" operator="equal">
      <formula>"已过期"</formula>
    </cfRule>
  </conditionalFormatting>
  <conditionalFormatting sqref="C9:C10">
    <cfRule type="expression" dxfId="190" priority="20">
      <formula>AND($C9-TODAY()&lt;30,TODAY()&lt;$C9)</formula>
    </cfRule>
  </conditionalFormatting>
  <conditionalFormatting sqref="C9:C10">
    <cfRule type="cellIs" dxfId="189" priority="21" stopIfTrue="1" operator="lessThan">
      <formula>$B$2</formula>
    </cfRule>
  </conditionalFormatting>
  <conditionalFormatting sqref="G21">
    <cfRule type="expression" dxfId="188" priority="18" stopIfTrue="1">
      <formula>AND(#REF!-TODAY()&lt;30,TODAY()&lt;#REF!)</formula>
    </cfRule>
  </conditionalFormatting>
  <conditionalFormatting sqref="G21">
    <cfRule type="cellIs" dxfId="187" priority="19" stopIfTrue="1" operator="lessThan">
      <formula>$B$2</formula>
    </cfRule>
  </conditionalFormatting>
  <conditionalFormatting sqref="C14">
    <cfRule type="expression" dxfId="186" priority="16">
      <formula>AND($C14-TODAY()&lt;30,TODAY()&lt;$C14)</formula>
    </cfRule>
  </conditionalFormatting>
  <conditionalFormatting sqref="C14">
    <cfRule type="cellIs" dxfId="185" priority="17" stopIfTrue="1" operator="lessThan">
      <formula>$B$2</formula>
    </cfRule>
  </conditionalFormatting>
  <conditionalFormatting sqref="C14">
    <cfRule type="expression" dxfId="184" priority="14">
      <formula>AND($C14-TODAY()&lt;30,TODAY()&lt;$C14)</formula>
    </cfRule>
  </conditionalFormatting>
  <conditionalFormatting sqref="C14">
    <cfRule type="cellIs" dxfId="183" priority="15" stopIfTrue="1" operator="lessThan">
      <formula>$B$2</formula>
    </cfRule>
  </conditionalFormatting>
  <conditionalFormatting sqref="B14">
    <cfRule type="cellIs" dxfId="182" priority="13" stopIfTrue="1" operator="equal">
      <formula>"已过期"</formula>
    </cfRule>
  </conditionalFormatting>
  <conditionalFormatting sqref="G14">
    <cfRule type="cellIs" dxfId="181" priority="12" stopIfTrue="1" operator="lessThan">
      <formula>$B$2</formula>
    </cfRule>
  </conditionalFormatting>
  <conditionalFormatting sqref="D15">
    <cfRule type="expression" dxfId="180" priority="10">
      <formula>AND($C15-TODAY()&lt;30,TODAY()&lt;$C15)</formula>
    </cfRule>
  </conditionalFormatting>
  <conditionalFormatting sqref="D15">
    <cfRule type="cellIs" dxfId="179" priority="11" stopIfTrue="1" operator="lessThan">
      <formula>$B$2</formula>
    </cfRule>
  </conditionalFormatting>
  <conditionalFormatting sqref="D15">
    <cfRule type="expression" dxfId="178" priority="8">
      <formula>AND($C15-TODAY()&lt;30,TODAY()&lt;$C15)</formula>
    </cfRule>
  </conditionalFormatting>
  <conditionalFormatting sqref="D15">
    <cfRule type="cellIs" dxfId="177" priority="9" stopIfTrue="1" operator="lessThan">
      <formula>$B$2</formula>
    </cfRule>
  </conditionalFormatting>
  <conditionalFormatting sqref="F15">
    <cfRule type="cellIs" dxfId="176" priority="7" stopIfTrue="1" operator="equal">
      <formula>"已过期"</formula>
    </cfRule>
  </conditionalFormatting>
  <conditionalFormatting sqref="C15">
    <cfRule type="expression" dxfId="175" priority="5">
      <formula>AND($C15-TODAY()&lt;30,TODAY()&lt;$C15)</formula>
    </cfRule>
  </conditionalFormatting>
  <conditionalFormatting sqref="C15">
    <cfRule type="cellIs" dxfId="174" priority="6" stopIfTrue="1" operator="lessThan">
      <formula>$B$2</formula>
    </cfRule>
  </conditionalFormatting>
  <conditionalFormatting sqref="C15">
    <cfRule type="expression" dxfId="173" priority="3">
      <formula>AND($C15-TODAY()&lt;30,TODAY()&lt;$C15)</formula>
    </cfRule>
  </conditionalFormatting>
  <conditionalFormatting sqref="C15">
    <cfRule type="cellIs" dxfId="172" priority="4" stopIfTrue="1" operator="lessThan">
      <formula>$B$2</formula>
    </cfRule>
  </conditionalFormatting>
  <conditionalFormatting sqref="B15">
    <cfRule type="cellIs" dxfId="171" priority="2" stopIfTrue="1" operator="equal">
      <formula>"已过期"</formula>
    </cfRule>
  </conditionalFormatting>
  <conditionalFormatting sqref="G15">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容积率修正 (2)</vt:lpstr>
      <vt:lpstr>入表前修正</vt:lpstr>
      <vt:lpstr>土地比较法-工业</vt:lpstr>
      <vt:lpstr>年期修正系数</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2020-08-21T02:17:00Z</dcterms:modified>
</cp:coreProperties>
</file>