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030" windowHeight="102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工业" sheetId="37" r:id="rId20"/>
    <sheet name="案例" sheetId="82" state="hidden" r:id="rId21"/>
    <sheet name="成本法 (主楼)" sheetId="83" state="hidden" r:id="rId22"/>
    <sheet name="收益法" sheetId="15" r:id="rId23"/>
    <sheet name="结果表 (地下)" sheetId="80" state="hidden" r:id="rId24"/>
    <sheet name="成本法 (地下车库)" sheetId="81" state="hidden" r:id="rId25"/>
    <sheet name="收益法 (车库)" sheetId="79" state="hidden"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3" hidden="1">'比较法-办公'!$A$1:$L$50</definedName>
    <definedName name="_xlnm._FilterDatabase" localSheetId="35" hidden="1">'比较法-仓储'!$A$1:$L$37</definedName>
    <definedName name="_xlnm._FilterDatabase" localSheetId="34" hidden="1">'比较法-车位'!$A$1:$L$39</definedName>
    <definedName name="_xlnm._FilterDatabase" localSheetId="19"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19">'比较法-工业'!$A$1:$K$48,'比较法-工业'!$A$51:$M$113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24">'成本法 (地下车库)'!$A$1:$G$57</definedName>
    <definedName name="_xlnm.Print_Area" localSheetId="26">'成本法 (元)'!$A$1:$G$57</definedName>
    <definedName name="_xlnm.Print_Area" localSheetId="21">'成本法 (主楼)'!$A$1:$G$57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7">假设开发法!$A$1:$K$32</definedName>
    <definedName name="_xlnm.Print_Area" localSheetId="17">结果表!$A$1:$I$127</definedName>
    <definedName name="_xlnm.Print_Area" localSheetId="23">'结果表 (地下)'!$A$1:$I$127</definedName>
    <definedName name="_xlnm.Print_Area" localSheetId="22">收益法!$A$1:$F$43,收益法!$H$3:$M$29,收益法!$A$46:$F$71,收益法!$I$46:$N$65</definedName>
    <definedName name="_xlnm.Print_Area" localSheetId="25">'收益法 (车库)'!$A$1:$F$43,'收益法 (车库)'!$H$3:$M$29,'收益法 (车库)'!$A$46:$F$71,'收益法 (车库)'!$I$46:$N$65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33" i="37" l="1"/>
  <c r="G33" i="37"/>
  <c r="N6" i="1" l="1"/>
  <c r="E92" i="37" l="1"/>
  <c r="F92" i="37" s="1"/>
  <c r="G92" i="37" s="1"/>
  <c r="C92" i="37"/>
  <c r="E41" i="37" l="1"/>
  <c r="G44" i="37"/>
  <c r="G41" i="37" s="1"/>
  <c r="G7" i="37"/>
  <c r="I7" i="37" s="1"/>
  <c r="B21" i="1"/>
  <c r="G19" i="6"/>
  <c r="K13" i="3"/>
  <c r="I13" i="3" s="1"/>
  <c r="I44" i="37" l="1"/>
  <c r="I41" i="37" s="1"/>
  <c r="C6" i="81" l="1"/>
  <c r="F38" i="83" l="1"/>
  <c r="E37" i="83"/>
  <c r="F36" i="83"/>
  <c r="F35" i="83"/>
  <c r="F21" i="83"/>
  <c r="C40" i="83" s="1"/>
  <c r="F20" i="83"/>
  <c r="F39" i="83" s="1"/>
  <c r="C19" i="83"/>
  <c r="E10" i="83"/>
  <c r="E9" i="83"/>
  <c r="F7" i="83"/>
  <c r="E2" i="83"/>
  <c r="F40" i="83" l="1"/>
  <c r="C21" i="83"/>
  <c r="G15" i="73" l="1"/>
  <c r="F15" i="73"/>
  <c r="E15" i="73"/>
  <c r="G14" i="73"/>
  <c r="F14" i="73"/>
  <c r="E14" i="73"/>
  <c r="G13" i="73"/>
  <c r="F13" i="73"/>
  <c r="E13" i="73"/>
  <c r="F38" i="11"/>
  <c r="E37" i="11"/>
  <c r="F36" i="11"/>
  <c r="F35" i="11"/>
  <c r="F21" i="11"/>
  <c r="C40" i="11" s="1"/>
  <c r="C21" i="1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I10" i="31"/>
  <c r="J10" i="31" s="1"/>
  <c r="K10" i="31" s="1"/>
  <c r="L10" i="31" s="1"/>
  <c r="M10" i="31" s="1"/>
  <c r="N10" i="31" s="1"/>
  <c r="O10" i="31" s="1"/>
  <c r="P10" i="31" s="1"/>
  <c r="Q10" i="31" s="1"/>
  <c r="R10" i="31" s="1"/>
  <c r="S10" i="31" s="1"/>
  <c r="F10" i="31"/>
  <c r="G10" i="31" s="1"/>
  <c r="H10" i="31" s="1"/>
  <c r="E10" i="31"/>
  <c r="D10" i="31"/>
  <c r="D8" i="31"/>
  <c r="E8" i="31" s="1"/>
  <c r="F8" i="31" s="1"/>
  <c r="G8" i="31" s="1"/>
  <c r="H8" i="31" s="1"/>
  <c r="I8" i="31" s="1"/>
  <c r="J8" i="31" s="1"/>
  <c r="K8" i="31" s="1"/>
  <c r="L8" i="31" s="1"/>
  <c r="M8" i="31" s="1"/>
  <c r="N8" i="31" s="1"/>
  <c r="O8" i="31" s="1"/>
  <c r="P8" i="31" s="1"/>
  <c r="Q8" i="31" s="1"/>
  <c r="R8" i="31" s="1"/>
  <c r="S8" i="31" s="1"/>
  <c r="H6" i="31"/>
  <c r="I6" i="31" s="1"/>
  <c r="J6" i="31" s="1"/>
  <c r="K6" i="31" s="1"/>
  <c r="L6" i="31" s="1"/>
  <c r="M6" i="31" s="1"/>
  <c r="N6" i="31" s="1"/>
  <c r="O6" i="31" s="1"/>
  <c r="P6" i="31" s="1"/>
  <c r="Q6" i="31" s="1"/>
  <c r="R6" i="31" s="1"/>
  <c r="S6" i="31" s="1"/>
  <c r="D6" i="31"/>
  <c r="E6" i="31" s="1"/>
  <c r="F6" i="31" s="1"/>
  <c r="G6" i="31" s="1"/>
  <c r="S2" i="31"/>
  <c r="R2" i="31"/>
  <c r="Q2" i="31"/>
  <c r="P2" i="31"/>
  <c r="O2" i="31"/>
  <c r="N2" i="31"/>
  <c r="M2" i="31"/>
  <c r="L2" i="31"/>
  <c r="K2" i="31"/>
  <c r="J2" i="31"/>
  <c r="I2" i="31"/>
  <c r="H2" i="31"/>
  <c r="G2" i="31"/>
  <c r="F2" i="31"/>
  <c r="E2" i="31"/>
  <c r="D2" i="31"/>
  <c r="C2" i="31"/>
  <c r="D86" i="71"/>
  <c r="F85" i="71"/>
  <c r="F84" i="71" s="1"/>
  <c r="F83" i="71" s="1"/>
  <c r="E85" i="71"/>
  <c r="C85" i="71"/>
  <c r="B85" i="71"/>
  <c r="B84" i="71" s="1"/>
  <c r="B83" i="71" s="1"/>
  <c r="E84" i="71"/>
  <c r="E83" i="71" s="1"/>
  <c r="D82" i="71"/>
  <c r="F81" i="71"/>
  <c r="E81" i="71"/>
  <c r="E80" i="71" s="1"/>
  <c r="E79" i="71" s="1"/>
  <c r="C81" i="71"/>
  <c r="B81" i="71"/>
  <c r="B80" i="71" s="1"/>
  <c r="B79" i="71" s="1"/>
  <c r="F80" i="71"/>
  <c r="F79" i="71" s="1"/>
  <c r="D78" i="71"/>
  <c r="U77" i="71"/>
  <c r="Q77" i="71"/>
  <c r="P77" i="71"/>
  <c r="O77" i="71"/>
  <c r="N77" i="71"/>
  <c r="F77" i="71"/>
  <c r="V77" i="71" s="1"/>
  <c r="E77" i="71"/>
  <c r="E76" i="71" s="1"/>
  <c r="C77" i="71"/>
  <c r="B77" i="71"/>
  <c r="S77" i="71" s="1"/>
  <c r="Q76" i="71"/>
  <c r="P76" i="71"/>
  <c r="O76" i="71"/>
  <c r="N76" i="71"/>
  <c r="F76" i="71"/>
  <c r="F75" i="71" s="1"/>
  <c r="C76" i="71"/>
  <c r="B76" i="71"/>
  <c r="Q75" i="71"/>
  <c r="P75" i="71"/>
  <c r="O75" i="71"/>
  <c r="N75" i="71"/>
  <c r="E75" i="71"/>
  <c r="B75" i="71"/>
  <c r="Q74" i="71"/>
  <c r="P74" i="71"/>
  <c r="O74" i="71"/>
  <c r="N74" i="71"/>
  <c r="D74" i="71"/>
  <c r="U73" i="71"/>
  <c r="Q73" i="71"/>
  <c r="P73" i="71"/>
  <c r="O73" i="71"/>
  <c r="N73" i="71"/>
  <c r="F73" i="71"/>
  <c r="V73" i="71" s="1"/>
  <c r="E73" i="71"/>
  <c r="E72" i="71" s="1"/>
  <c r="E71" i="71" s="1"/>
  <c r="C73" i="71"/>
  <c r="B73" i="71"/>
  <c r="S73" i="71" s="1"/>
  <c r="Q72" i="71"/>
  <c r="P72" i="71"/>
  <c r="O72" i="71"/>
  <c r="N72" i="71"/>
  <c r="F72" i="71"/>
  <c r="F71" i="71" s="1"/>
  <c r="D72" i="71"/>
  <c r="C72" i="71"/>
  <c r="B72" i="71"/>
  <c r="B71" i="71" s="1"/>
  <c r="Q71" i="71"/>
  <c r="P71" i="71"/>
  <c r="O71" i="71"/>
  <c r="N71" i="71"/>
  <c r="D71" i="71"/>
  <c r="C71" i="71"/>
  <c r="Q70" i="71"/>
  <c r="P70" i="71"/>
  <c r="O70" i="71"/>
  <c r="N70" i="71"/>
  <c r="D70" i="71"/>
  <c r="V69" i="71"/>
  <c r="U69" i="71"/>
  <c r="Q69" i="71"/>
  <c r="P69" i="71"/>
  <c r="O69" i="71"/>
  <c r="N69" i="71"/>
  <c r="F69" i="71"/>
  <c r="E69" i="71"/>
  <c r="E68" i="71" s="1"/>
  <c r="E67" i="71" s="1"/>
  <c r="C69" i="71"/>
  <c r="B69" i="71"/>
  <c r="B68" i="71" s="1"/>
  <c r="B67" i="71" s="1"/>
  <c r="Q68" i="71"/>
  <c r="P68" i="71"/>
  <c r="O68" i="71"/>
  <c r="N68" i="71"/>
  <c r="F68" i="71"/>
  <c r="F67" i="71" s="1"/>
  <c r="Q67" i="71"/>
  <c r="P67" i="71"/>
  <c r="O67" i="71"/>
  <c r="N67" i="71"/>
  <c r="Q66" i="71"/>
  <c r="P66" i="71"/>
  <c r="O66" i="71"/>
  <c r="N66" i="71"/>
  <c r="D66" i="71"/>
  <c r="V65" i="71"/>
  <c r="T65" i="71"/>
  <c r="Q65" i="71"/>
  <c r="F65" i="71"/>
  <c r="E65" i="71"/>
  <c r="P65" i="71" s="1"/>
  <c r="D65" i="71"/>
  <c r="C65" i="71"/>
  <c r="O65" i="71" s="1"/>
  <c r="B65" i="71"/>
  <c r="B64" i="71" s="1"/>
  <c r="Q64" i="71"/>
  <c r="F64" i="71"/>
  <c r="E64" i="71"/>
  <c r="P64" i="71" s="1"/>
  <c r="D64" i="71"/>
  <c r="C64" i="71"/>
  <c r="O64" i="71" s="1"/>
  <c r="P63" i="71"/>
  <c r="F63" i="71"/>
  <c r="Q63" i="71" s="1"/>
  <c r="E63" i="71"/>
  <c r="P62" i="71" s="1"/>
  <c r="D63" i="71"/>
  <c r="C63" i="71"/>
  <c r="Q62" i="71"/>
  <c r="D62" i="71"/>
  <c r="U61" i="71"/>
  <c r="Q61" i="71"/>
  <c r="P61" i="71"/>
  <c r="O61" i="71"/>
  <c r="N61" i="71"/>
  <c r="E61" i="71"/>
  <c r="B61" i="71"/>
  <c r="S61" i="71" s="1"/>
  <c r="Q60" i="71"/>
  <c r="P60" i="71"/>
  <c r="O60" i="71"/>
  <c r="N60" i="71"/>
  <c r="C60" i="71"/>
  <c r="Q59" i="71"/>
  <c r="P59" i="71"/>
  <c r="O59" i="71"/>
  <c r="N59" i="71"/>
  <c r="C59" i="71"/>
  <c r="D59" i="71" s="1"/>
  <c r="B59" i="71"/>
  <c r="B60" i="71" s="1"/>
  <c r="Q58" i="71"/>
  <c r="F59" i="71" s="1"/>
  <c r="P58" i="71"/>
  <c r="E59" i="71" s="1"/>
  <c r="E60" i="71" s="1"/>
  <c r="O58" i="71"/>
  <c r="N58" i="71"/>
  <c r="D58" i="71"/>
  <c r="Q57" i="71"/>
  <c r="P57" i="71"/>
  <c r="O57" i="71"/>
  <c r="N57" i="71"/>
  <c r="B57" i="71"/>
  <c r="S57" i="71" s="1"/>
  <c r="Q56" i="71"/>
  <c r="P56" i="71"/>
  <c r="O56" i="71"/>
  <c r="N56" i="71"/>
  <c r="C56" i="71"/>
  <c r="Q55" i="71"/>
  <c r="P55" i="71"/>
  <c r="O55" i="71"/>
  <c r="N55" i="71"/>
  <c r="E55" i="71"/>
  <c r="E56" i="71" s="1"/>
  <c r="E57" i="71" s="1"/>
  <c r="U57" i="71" s="1"/>
  <c r="D55" i="71"/>
  <c r="Q54" i="71"/>
  <c r="F55" i="71" s="1"/>
  <c r="F56" i="71" s="1"/>
  <c r="F57" i="71" s="1"/>
  <c r="V57" i="71" s="1"/>
  <c r="P54" i="71"/>
  <c r="O54" i="71"/>
  <c r="C55" i="71" s="1"/>
  <c r="N54" i="71"/>
  <c r="B55" i="71" s="1"/>
  <c r="B56" i="71" s="1"/>
  <c r="D54" i="71"/>
  <c r="U53" i="71"/>
  <c r="Q53" i="71"/>
  <c r="P53" i="71"/>
  <c r="O53" i="71"/>
  <c r="N53" i="71"/>
  <c r="Q52" i="71"/>
  <c r="P52" i="71"/>
  <c r="O52" i="71"/>
  <c r="N52" i="71"/>
  <c r="Q51" i="71"/>
  <c r="P51" i="71"/>
  <c r="O51" i="71"/>
  <c r="N51" i="71"/>
  <c r="E51" i="71"/>
  <c r="E52" i="71" s="1"/>
  <c r="E53" i="71" s="1"/>
  <c r="B51" i="71"/>
  <c r="Q50" i="71"/>
  <c r="F51" i="71" s="1"/>
  <c r="P50" i="71"/>
  <c r="O50" i="71"/>
  <c r="C51" i="71" s="1"/>
  <c r="N50" i="71"/>
  <c r="D50" i="71"/>
  <c r="Q49" i="71"/>
  <c r="P49" i="71"/>
  <c r="O49" i="71"/>
  <c r="N49" i="71"/>
  <c r="Q48" i="71"/>
  <c r="P48" i="71"/>
  <c r="O48" i="71"/>
  <c r="N48" i="71"/>
  <c r="Q47" i="71"/>
  <c r="P47" i="71"/>
  <c r="O47" i="71"/>
  <c r="N47" i="71"/>
  <c r="B48" i="71" s="1"/>
  <c r="B49" i="71" s="1"/>
  <c r="S49" i="71" s="1"/>
  <c r="E47" i="71"/>
  <c r="E48" i="71" s="1"/>
  <c r="E49" i="71" s="1"/>
  <c r="U49" i="71" s="1"/>
  <c r="C47" i="71"/>
  <c r="Q46" i="71"/>
  <c r="F47" i="71" s="1"/>
  <c r="F48" i="71" s="1"/>
  <c r="F49" i="71" s="1"/>
  <c r="V49" i="71" s="1"/>
  <c r="P46" i="71"/>
  <c r="O46" i="71"/>
  <c r="N46" i="71"/>
  <c r="B47" i="71" s="1"/>
  <c r="D46" i="71"/>
  <c r="T45" i="71"/>
  <c r="Q45" i="71"/>
  <c r="P45" i="71"/>
  <c r="O45" i="71"/>
  <c r="N45" i="71"/>
  <c r="D45" i="71"/>
  <c r="Q44" i="71"/>
  <c r="P44" i="71"/>
  <c r="O44" i="71"/>
  <c r="N44" i="71"/>
  <c r="C44" i="71"/>
  <c r="D44" i="71" s="1"/>
  <c r="B44" i="71"/>
  <c r="B45" i="71" s="1"/>
  <c r="S45" i="71" s="1"/>
  <c r="Q43" i="71"/>
  <c r="P43" i="71"/>
  <c r="O43" i="71"/>
  <c r="N43" i="71"/>
  <c r="B43" i="71"/>
  <c r="Q42" i="71"/>
  <c r="F43" i="71" s="1"/>
  <c r="F44" i="71" s="1"/>
  <c r="F45" i="71" s="1"/>
  <c r="V45" i="71" s="1"/>
  <c r="P42" i="71"/>
  <c r="E43" i="71" s="1"/>
  <c r="O42" i="71"/>
  <c r="C43" i="71" s="1"/>
  <c r="D43" i="71" s="1"/>
  <c r="N42" i="71"/>
  <c r="D42" i="71"/>
  <c r="Q41" i="71"/>
  <c r="P41" i="71"/>
  <c r="O41" i="71"/>
  <c r="N41" i="71"/>
  <c r="E41" i="71"/>
  <c r="U41" i="71" s="1"/>
  <c r="B41" i="71"/>
  <c r="S41" i="71" s="1"/>
  <c r="Q40" i="71"/>
  <c r="P40" i="71"/>
  <c r="O40" i="71"/>
  <c r="N40" i="71"/>
  <c r="F40" i="71"/>
  <c r="E40" i="71"/>
  <c r="B40" i="71"/>
  <c r="Q39" i="71"/>
  <c r="P39" i="71"/>
  <c r="O39" i="71"/>
  <c r="N39" i="71"/>
  <c r="F39" i="71"/>
  <c r="E39" i="71"/>
  <c r="C39" i="71"/>
  <c r="Q38" i="71"/>
  <c r="P38" i="71"/>
  <c r="O38" i="71"/>
  <c r="N38" i="71"/>
  <c r="B39" i="71" s="1"/>
  <c r="D38" i="71"/>
  <c r="AH37" i="71"/>
  <c r="AG37" i="71"/>
  <c r="AF37" i="71"/>
  <c r="AE37" i="71"/>
  <c r="AD37" i="71"/>
  <c r="Q37" i="71"/>
  <c r="P37" i="71"/>
  <c r="O37" i="71"/>
  <c r="N37" i="71"/>
  <c r="F37" i="71"/>
  <c r="V37" i="71" s="1"/>
  <c r="AH36" i="71"/>
  <c r="AG36" i="71"/>
  <c r="AE36" i="71"/>
  <c r="AF36" i="71" s="1"/>
  <c r="AD36" i="71"/>
  <c r="AA36" i="71"/>
  <c r="Q36" i="71"/>
  <c r="P36" i="71"/>
  <c r="O36" i="71"/>
  <c r="Y36" i="71" s="1"/>
  <c r="Z36" i="71" s="1"/>
  <c r="N36" i="71"/>
  <c r="X36" i="71" s="1"/>
  <c r="F36" i="71"/>
  <c r="AH35" i="71"/>
  <c r="AG35" i="71"/>
  <c r="AF35" i="71"/>
  <c r="AE35" i="71"/>
  <c r="AD35" i="71"/>
  <c r="Q35" i="71"/>
  <c r="P35" i="71"/>
  <c r="O35" i="71"/>
  <c r="Y35" i="71" s="1"/>
  <c r="Z35" i="71" s="1"/>
  <c r="N35" i="71"/>
  <c r="X35" i="71" s="1"/>
  <c r="E35" i="71"/>
  <c r="E36" i="71" s="1"/>
  <c r="E37" i="71" s="1"/>
  <c r="U37" i="71" s="1"/>
  <c r="AH34" i="71"/>
  <c r="AG34" i="71"/>
  <c r="AF34" i="71"/>
  <c r="AE34" i="71"/>
  <c r="AD34" i="71"/>
  <c r="AB34" i="71"/>
  <c r="Q34" i="71"/>
  <c r="F35" i="71" s="1"/>
  <c r="P34" i="71"/>
  <c r="O34" i="71"/>
  <c r="N34" i="71"/>
  <c r="D34" i="71"/>
  <c r="AH33" i="71"/>
  <c r="AG33" i="71"/>
  <c r="AF33" i="71"/>
  <c r="AE33" i="71"/>
  <c r="AD33" i="71"/>
  <c r="Q33" i="71"/>
  <c r="P33" i="71"/>
  <c r="O33" i="71"/>
  <c r="N33" i="71"/>
  <c r="AH32" i="71"/>
  <c r="AG32" i="71"/>
  <c r="AE32" i="71"/>
  <c r="AF32" i="71" s="1"/>
  <c r="AD32" i="71"/>
  <c r="AA32" i="71"/>
  <c r="Y32" i="71"/>
  <c r="Z32" i="71" s="1"/>
  <c r="Q32" i="71"/>
  <c r="P32" i="71"/>
  <c r="O32" i="71"/>
  <c r="N32" i="71"/>
  <c r="F32" i="71"/>
  <c r="F33" i="71" s="1"/>
  <c r="V33" i="71" s="1"/>
  <c r="AH31" i="71"/>
  <c r="AG31" i="71"/>
  <c r="AE31" i="71"/>
  <c r="AF31" i="71" s="1"/>
  <c r="AD31" i="71"/>
  <c r="AA31" i="71"/>
  <c r="Z31" i="71"/>
  <c r="Q31" i="71"/>
  <c r="P31" i="71"/>
  <c r="O31" i="71"/>
  <c r="Y31" i="71" s="1"/>
  <c r="N31" i="71"/>
  <c r="F31" i="71"/>
  <c r="E31" i="71"/>
  <c r="E32" i="71" s="1"/>
  <c r="E33" i="71" s="1"/>
  <c r="U33" i="71" s="1"/>
  <c r="AH30" i="71"/>
  <c r="AG30" i="71"/>
  <c r="AE30" i="71"/>
  <c r="AF30" i="71" s="1"/>
  <c r="AD30" i="71"/>
  <c r="Q30" i="71"/>
  <c r="P30" i="71"/>
  <c r="O30" i="71"/>
  <c r="N30" i="71"/>
  <c r="B31" i="71" s="1"/>
  <c r="B32" i="71" s="1"/>
  <c r="B33" i="71" s="1"/>
  <c r="S33" i="71" s="1"/>
  <c r="D30" i="71"/>
  <c r="AH29" i="71"/>
  <c r="AG29" i="71"/>
  <c r="AF29" i="71"/>
  <c r="AE29" i="71"/>
  <c r="AD29" i="71"/>
  <c r="AA29" i="71"/>
  <c r="U29" i="71"/>
  <c r="Q29" i="71"/>
  <c r="P29" i="71"/>
  <c r="O29" i="71"/>
  <c r="N29" i="71"/>
  <c r="E29" i="71"/>
  <c r="B29" i="71"/>
  <c r="S29" i="71" s="1"/>
  <c r="AH28" i="71"/>
  <c r="AG28" i="71"/>
  <c r="AF28" i="71"/>
  <c r="AE28" i="71"/>
  <c r="AD28" i="71"/>
  <c r="AA28" i="71"/>
  <c r="Y28" i="71"/>
  <c r="Z28" i="71" s="1"/>
  <c r="Q28" i="71"/>
  <c r="AB28" i="71" s="1"/>
  <c r="P28" i="71"/>
  <c r="O28" i="71"/>
  <c r="N28" i="71"/>
  <c r="E28" i="71"/>
  <c r="AH27" i="71"/>
  <c r="AG27" i="71"/>
  <c r="AE27" i="71"/>
  <c r="AF27" i="71" s="1"/>
  <c r="AD27" i="71"/>
  <c r="Q27" i="71"/>
  <c r="P27" i="71"/>
  <c r="O27" i="71"/>
  <c r="N27" i="71"/>
  <c r="E27" i="71"/>
  <c r="D27" i="71"/>
  <c r="C27" i="71"/>
  <c r="C28" i="71" s="1"/>
  <c r="C29" i="71" s="1"/>
  <c r="B27" i="71"/>
  <c r="B28" i="71" s="1"/>
  <c r="AH26" i="71"/>
  <c r="AG26" i="71"/>
  <c r="AF26" i="71"/>
  <c r="AE26" i="71"/>
  <c r="AD26" i="71"/>
  <c r="AB26" i="71"/>
  <c r="AA26" i="71"/>
  <c r="Q26" i="71"/>
  <c r="F27" i="71" s="1"/>
  <c r="F28" i="71" s="1"/>
  <c r="P26" i="71"/>
  <c r="O26" i="71"/>
  <c r="N26" i="71"/>
  <c r="D26" i="71"/>
  <c r="AH25" i="71"/>
  <c r="AG25" i="71"/>
  <c r="AE25" i="71"/>
  <c r="AF25" i="71" s="1"/>
  <c r="AD25" i="71"/>
  <c r="X25" i="71"/>
  <c r="Q25" i="71"/>
  <c r="P25" i="71"/>
  <c r="O25" i="71"/>
  <c r="N25" i="71"/>
  <c r="B25" i="71" s="1"/>
  <c r="S25" i="71" s="1"/>
  <c r="C25" i="71"/>
  <c r="AH24" i="71"/>
  <c r="AG24" i="71"/>
  <c r="AF24" i="71"/>
  <c r="AE24" i="71"/>
  <c r="AD24" i="71"/>
  <c r="Q24" i="71"/>
  <c r="P24" i="71"/>
  <c r="O24" i="71"/>
  <c r="N24" i="71"/>
  <c r="B24" i="71"/>
  <c r="AH23" i="71"/>
  <c r="AG23" i="71"/>
  <c r="AE23" i="71"/>
  <c r="AF23" i="71" s="1"/>
  <c r="AD23" i="71"/>
  <c r="Q23" i="71"/>
  <c r="P23" i="71"/>
  <c r="O23" i="71"/>
  <c r="N23" i="71"/>
  <c r="AH22" i="71"/>
  <c r="AG22" i="71"/>
  <c r="AE22" i="71"/>
  <c r="AF22" i="71" s="1"/>
  <c r="AD22" i="71"/>
  <c r="AA22" i="71"/>
  <c r="Y22" i="71"/>
  <c r="Z22" i="71" s="1"/>
  <c r="Q22" i="71"/>
  <c r="P22" i="71"/>
  <c r="O22" i="71"/>
  <c r="N22" i="71"/>
  <c r="D22" i="71"/>
  <c r="AH21" i="71"/>
  <c r="AG21" i="71"/>
  <c r="AF21" i="71"/>
  <c r="AE21" i="71"/>
  <c r="AD21" i="71"/>
  <c r="T21" i="71"/>
  <c r="Q21" i="71"/>
  <c r="P21" i="71"/>
  <c r="O21" i="71"/>
  <c r="Y21" i="71" s="1"/>
  <c r="Z21" i="71" s="1"/>
  <c r="N21" i="71"/>
  <c r="F21" i="71"/>
  <c r="E21" i="71"/>
  <c r="E20" i="71" s="1"/>
  <c r="E19" i="71" s="1"/>
  <c r="E18" i="71" s="1"/>
  <c r="D21" i="71"/>
  <c r="U21" i="71" s="1"/>
  <c r="C21" i="71"/>
  <c r="AH20" i="71"/>
  <c r="AG20" i="71"/>
  <c r="AF20" i="71"/>
  <c r="AE20" i="71"/>
  <c r="AD20" i="71"/>
  <c r="Q20" i="71"/>
  <c r="P20" i="71"/>
  <c r="O20" i="71"/>
  <c r="Y20" i="71" s="1"/>
  <c r="Z20" i="71" s="1"/>
  <c r="N20" i="71"/>
  <c r="F20" i="71"/>
  <c r="AH19" i="71"/>
  <c r="AG19" i="71"/>
  <c r="AF19" i="71"/>
  <c r="AE19" i="71"/>
  <c r="AD19" i="71"/>
  <c r="Q19" i="71"/>
  <c r="P19" i="71"/>
  <c r="O19" i="71"/>
  <c r="N19" i="71"/>
  <c r="AH18" i="71"/>
  <c r="AG18" i="71"/>
  <c r="AF18" i="71"/>
  <c r="AE18" i="71"/>
  <c r="AD18" i="71"/>
  <c r="Q18" i="71"/>
  <c r="AB18" i="71" s="1"/>
  <c r="P18" i="71"/>
  <c r="O18" i="71"/>
  <c r="N18" i="71"/>
  <c r="AH17" i="71"/>
  <c r="AG17" i="71"/>
  <c r="AF17" i="71"/>
  <c r="AE17" i="71"/>
  <c r="AD17" i="71"/>
  <c r="AA17" i="71"/>
  <c r="Q17" i="71"/>
  <c r="P17" i="71"/>
  <c r="O17" i="71"/>
  <c r="N17" i="71"/>
  <c r="E17" i="71"/>
  <c r="V17" i="71" s="1"/>
  <c r="AH16" i="71"/>
  <c r="AG16" i="71"/>
  <c r="AF16" i="71"/>
  <c r="AE16" i="71"/>
  <c r="AD16" i="71"/>
  <c r="Y16" i="71"/>
  <c r="Z16" i="71" s="1"/>
  <c r="Q16" i="71"/>
  <c r="P16" i="71"/>
  <c r="O16" i="71"/>
  <c r="N16" i="71"/>
  <c r="E16" i="71"/>
  <c r="E15" i="71" s="1"/>
  <c r="AH15" i="71"/>
  <c r="AG15" i="71"/>
  <c r="AE15" i="71"/>
  <c r="AF15" i="71" s="1"/>
  <c r="AD15" i="71"/>
  <c r="Q15" i="71"/>
  <c r="P15" i="71"/>
  <c r="O15" i="71"/>
  <c r="N15" i="71"/>
  <c r="AH14" i="71"/>
  <c r="AG14" i="71"/>
  <c r="AF14" i="71"/>
  <c r="AE14" i="71"/>
  <c r="AD14" i="71"/>
  <c r="AB14" i="71"/>
  <c r="Q14" i="71"/>
  <c r="AB12" i="71" s="1"/>
  <c r="P14" i="71"/>
  <c r="O14" i="71"/>
  <c r="N14" i="71"/>
  <c r="E14" i="71"/>
  <c r="E13" i="71" s="1"/>
  <c r="AH13" i="71"/>
  <c r="AG13" i="71"/>
  <c r="AF13" i="71"/>
  <c r="AE13" i="71"/>
  <c r="AD13" i="71"/>
  <c r="Q13" i="71"/>
  <c r="P13" i="71"/>
  <c r="O13" i="71"/>
  <c r="N13" i="71"/>
  <c r="AH12" i="71"/>
  <c r="AG12" i="71"/>
  <c r="AE12" i="71"/>
  <c r="AF12" i="71" s="1"/>
  <c r="AD12" i="71"/>
  <c r="Q12" i="71"/>
  <c r="P12" i="71"/>
  <c r="O12" i="71"/>
  <c r="Y12" i="71" s="1"/>
  <c r="Z12" i="71" s="1"/>
  <c r="N12" i="71"/>
  <c r="AH11" i="71"/>
  <c r="AG11" i="71"/>
  <c r="AF11" i="71"/>
  <c r="AE11" i="71"/>
  <c r="AD11" i="71"/>
  <c r="AB11" i="71"/>
  <c r="Q11" i="71"/>
  <c r="P11" i="71"/>
  <c r="O11" i="71"/>
  <c r="N11" i="71"/>
  <c r="X11" i="71" s="1"/>
  <c r="AH10" i="71"/>
  <c r="AG10" i="71"/>
  <c r="AF10" i="71"/>
  <c r="AE10" i="71"/>
  <c r="AD10" i="71"/>
  <c r="AB10" i="71"/>
  <c r="Y10" i="71"/>
  <c r="Z10" i="71" s="1"/>
  <c r="Q10" i="71"/>
  <c r="P10" i="71"/>
  <c r="O10" i="71"/>
  <c r="N10" i="71"/>
  <c r="AH9" i="71"/>
  <c r="AG9" i="71"/>
  <c r="AF9" i="71"/>
  <c r="AE9" i="71"/>
  <c r="AD9" i="71"/>
  <c r="Q9" i="71"/>
  <c r="P9" i="71"/>
  <c r="O9" i="71"/>
  <c r="N9" i="71"/>
  <c r="AH8" i="71"/>
  <c r="AG8" i="71"/>
  <c r="AE8" i="71"/>
  <c r="AF8" i="71" s="1"/>
  <c r="AD8" i="71"/>
  <c r="AA8" i="71"/>
  <c r="Q8" i="71"/>
  <c r="P8" i="71"/>
  <c r="O8" i="71"/>
  <c r="N8" i="71"/>
  <c r="AH7" i="71"/>
  <c r="AG7" i="71"/>
  <c r="AF7" i="71"/>
  <c r="AE7" i="71"/>
  <c r="AD7" i="71"/>
  <c r="Q7" i="71"/>
  <c r="AB7" i="71" s="1"/>
  <c r="P7" i="71"/>
  <c r="O7" i="71"/>
  <c r="N7" i="71"/>
  <c r="AH6" i="71"/>
  <c r="AG6" i="71"/>
  <c r="AF6" i="71"/>
  <c r="AE6" i="71"/>
  <c r="AD6" i="71"/>
  <c r="Q6" i="71"/>
  <c r="P6" i="71"/>
  <c r="O6" i="71"/>
  <c r="N6" i="71"/>
  <c r="AH5" i="71"/>
  <c r="AG5" i="71"/>
  <c r="AE5" i="71"/>
  <c r="AF5" i="71" s="1"/>
  <c r="AD5" i="71"/>
  <c r="Q5" i="71"/>
  <c r="P5" i="71"/>
  <c r="O5" i="71"/>
  <c r="N5" i="71"/>
  <c r="AG3" i="71"/>
  <c r="AE3" i="71"/>
  <c r="AF3" i="71" s="1"/>
  <c r="AD3" i="71"/>
  <c r="L3" i="71"/>
  <c r="AH3" i="71" s="1"/>
  <c r="K3" i="71"/>
  <c r="J3" i="71"/>
  <c r="I3" i="71"/>
  <c r="M17" i="45"/>
  <c r="L17" i="45"/>
  <c r="K17" i="45"/>
  <c r="J17" i="45"/>
  <c r="I17" i="45"/>
  <c r="H17" i="45"/>
  <c r="G17" i="45"/>
  <c r="F17" i="45"/>
  <c r="E17" i="45"/>
  <c r="D17" i="45"/>
  <c r="C17" i="45"/>
  <c r="B17" i="45"/>
  <c r="F113" i="43"/>
  <c r="L108" i="43"/>
  <c r="J108" i="43"/>
  <c r="E108" i="43"/>
  <c r="D108" i="43"/>
  <c r="L100" i="43"/>
  <c r="K100" i="43"/>
  <c r="J100" i="43"/>
  <c r="I100" i="43"/>
  <c r="D100" i="43"/>
  <c r="C100" i="43"/>
  <c r="N99" i="43"/>
  <c r="M99" i="43"/>
  <c r="L99" i="43"/>
  <c r="K99" i="43"/>
  <c r="K108" i="43" s="1"/>
  <c r="J99" i="43"/>
  <c r="I99" i="43"/>
  <c r="I108" i="43" s="1"/>
  <c r="H99" i="43"/>
  <c r="G99" i="43"/>
  <c r="G100" i="43" s="1"/>
  <c r="F99" i="43"/>
  <c r="E99" i="43"/>
  <c r="E100" i="43" s="1"/>
  <c r="D99" i="43"/>
  <c r="C99" i="43"/>
  <c r="C108" i="43" s="1"/>
  <c r="N88" i="43"/>
  <c r="M88" i="43"/>
  <c r="K88" i="43"/>
  <c r="J88" i="43" s="1"/>
  <c r="D88" i="43"/>
  <c r="N87" i="43"/>
  <c r="M87" i="43"/>
  <c r="K87" i="43"/>
  <c r="J87" i="43"/>
  <c r="D87" i="43"/>
  <c r="N86" i="43"/>
  <c r="M86" i="43"/>
  <c r="K86" i="43"/>
  <c r="J86" i="43"/>
  <c r="D86" i="43"/>
  <c r="N85" i="43"/>
  <c r="M85" i="43"/>
  <c r="K85" i="43"/>
  <c r="J85" i="43"/>
  <c r="D85" i="43"/>
  <c r="N84" i="43"/>
  <c r="M84" i="43"/>
  <c r="K84" i="43"/>
  <c r="J84" i="43" s="1"/>
  <c r="D84" i="43"/>
  <c r="B84" i="43"/>
  <c r="N83" i="43"/>
  <c r="M83" i="43"/>
  <c r="K83" i="43"/>
  <c r="J83" i="43" s="1"/>
  <c r="D83" i="43"/>
  <c r="B83" i="43"/>
  <c r="N82" i="43"/>
  <c r="M82" i="43"/>
  <c r="K82" i="43"/>
  <c r="J82" i="43"/>
  <c r="D82" i="43"/>
  <c r="M81" i="43"/>
  <c r="N81" i="43" s="1"/>
  <c r="K81" i="43"/>
  <c r="J81" i="43"/>
  <c r="F81" i="43"/>
  <c r="H88" i="43" s="1"/>
  <c r="D81" i="43"/>
  <c r="M78" i="43"/>
  <c r="N78" i="43" s="1"/>
  <c r="K78" i="43"/>
  <c r="J78" i="43"/>
  <c r="D78" i="43"/>
  <c r="N77" i="43"/>
  <c r="M77" i="43"/>
  <c r="K77" i="43"/>
  <c r="J77" i="43" s="1"/>
  <c r="D77" i="43"/>
  <c r="M76" i="43"/>
  <c r="N76" i="43" s="1"/>
  <c r="K76" i="43"/>
  <c r="J76" i="43" s="1"/>
  <c r="D76" i="43"/>
  <c r="M75" i="43"/>
  <c r="N75" i="43" s="1"/>
  <c r="K75" i="43"/>
  <c r="J75" i="43"/>
  <c r="D75" i="43"/>
  <c r="N74" i="43"/>
  <c r="M74" i="43"/>
  <c r="K74" i="43"/>
  <c r="J74" i="43"/>
  <c r="D74" i="43"/>
  <c r="M73" i="43"/>
  <c r="N73" i="43" s="1"/>
  <c r="K73" i="43"/>
  <c r="J73" i="43" s="1"/>
  <c r="D73" i="43"/>
  <c r="M72" i="43"/>
  <c r="N72" i="43" s="1"/>
  <c r="K72" i="43"/>
  <c r="J72" i="43" s="1"/>
  <c r="D72" i="43"/>
  <c r="B72" i="43"/>
  <c r="M71" i="43"/>
  <c r="N71" i="43" s="1"/>
  <c r="K71" i="43"/>
  <c r="J71" i="43"/>
  <c r="D71" i="43"/>
  <c r="M70" i="43"/>
  <c r="N70" i="43" s="1"/>
  <c r="K70" i="43"/>
  <c r="J70" i="43"/>
  <c r="F70" i="43"/>
  <c r="H78" i="43" s="1"/>
  <c r="D70" i="43"/>
  <c r="N67" i="43"/>
  <c r="M67" i="43"/>
  <c r="K67" i="43"/>
  <c r="J67" i="43" s="1"/>
  <c r="D67" i="43"/>
  <c r="M66" i="43"/>
  <c r="N66" i="43" s="1"/>
  <c r="K66" i="43"/>
  <c r="J66" i="43" s="1"/>
  <c r="D66" i="43"/>
  <c r="N65" i="43"/>
  <c r="M65" i="43"/>
  <c r="K65" i="43"/>
  <c r="J65" i="43"/>
  <c r="D65" i="43"/>
  <c r="M64" i="43"/>
  <c r="N64" i="43" s="1"/>
  <c r="K64" i="43"/>
  <c r="J64" i="43" s="1"/>
  <c r="D64" i="43"/>
  <c r="M63" i="43"/>
  <c r="N63" i="43" s="1"/>
  <c r="K63" i="43"/>
  <c r="J63" i="43"/>
  <c r="D63" i="43"/>
  <c r="N62" i="43"/>
  <c r="M62" i="43"/>
  <c r="K62" i="43"/>
  <c r="J62" i="43"/>
  <c r="D62" i="43"/>
  <c r="M61" i="43"/>
  <c r="N61" i="43" s="1"/>
  <c r="K61" i="43"/>
  <c r="J61" i="43" s="1"/>
  <c r="D61" i="43"/>
  <c r="B61" i="43"/>
  <c r="N60" i="43"/>
  <c r="M60" i="43"/>
  <c r="K60" i="43"/>
  <c r="J60" i="43"/>
  <c r="D60" i="43"/>
  <c r="N59" i="43"/>
  <c r="M59" i="43"/>
  <c r="K59" i="43"/>
  <c r="J59" i="43" s="1"/>
  <c r="F59" i="43"/>
  <c r="H67" i="43" s="1"/>
  <c r="D59" i="43"/>
  <c r="N56" i="43"/>
  <c r="M56" i="43"/>
  <c r="K56" i="43"/>
  <c r="J56" i="43"/>
  <c r="D56" i="43"/>
  <c r="N55" i="43"/>
  <c r="M55" i="43"/>
  <c r="K55" i="43"/>
  <c r="J55" i="43" s="1"/>
  <c r="D55" i="43"/>
  <c r="M54" i="43"/>
  <c r="N54" i="43" s="1"/>
  <c r="K54" i="43"/>
  <c r="J54" i="43" s="1"/>
  <c r="D54" i="43"/>
  <c r="M53" i="43"/>
  <c r="N53" i="43" s="1"/>
  <c r="K53" i="43"/>
  <c r="J53" i="43" s="1"/>
  <c r="D53" i="43"/>
  <c r="N52" i="43"/>
  <c r="M52" i="43"/>
  <c r="K52" i="43"/>
  <c r="J52" i="43" s="1"/>
  <c r="D52" i="43"/>
  <c r="N51" i="43"/>
  <c r="M51" i="43"/>
  <c r="K51" i="43"/>
  <c r="J51" i="43" s="1"/>
  <c r="D51" i="43"/>
  <c r="M50" i="43"/>
  <c r="N50" i="43" s="1"/>
  <c r="K50" i="43"/>
  <c r="J50" i="43"/>
  <c r="D50" i="43"/>
  <c r="B50" i="43"/>
  <c r="N49" i="43"/>
  <c r="M49" i="43"/>
  <c r="K49" i="43"/>
  <c r="J49" i="43"/>
  <c r="D49" i="43"/>
  <c r="N48" i="43"/>
  <c r="M48" i="43"/>
  <c r="K48" i="43"/>
  <c r="J48" i="43"/>
  <c r="F48" i="43"/>
  <c r="H56" i="43" s="1"/>
  <c r="D48" i="43"/>
  <c r="B48" i="43"/>
  <c r="H39" i="43"/>
  <c r="H38" i="43"/>
  <c r="H37" i="43"/>
  <c r="H36" i="43"/>
  <c r="H35" i="43"/>
  <c r="H34" i="43"/>
  <c r="H33" i="43"/>
  <c r="P28" i="43"/>
  <c r="O28" i="43"/>
  <c r="C24" i="43"/>
  <c r="J20" i="43"/>
  <c r="I20" i="43"/>
  <c r="G20" i="43"/>
  <c r="E41" i="43" s="1"/>
  <c r="C41" i="43" s="1"/>
  <c r="E20" i="43"/>
  <c r="N28" i="43" s="1"/>
  <c r="M19" i="43"/>
  <c r="I19" i="43"/>
  <c r="C18" i="43"/>
  <c r="F15" i="43"/>
  <c r="E15" i="43"/>
  <c r="D15" i="43"/>
  <c r="C15" i="43"/>
  <c r="C12" i="43" s="1"/>
  <c r="AI12" i="43"/>
  <c r="AG12" i="43"/>
  <c r="AE12" i="43"/>
  <c r="AA12" i="43"/>
  <c r="Y12" i="43"/>
  <c r="AI10" i="43"/>
  <c r="AH10" i="43"/>
  <c r="AE10" i="43"/>
  <c r="AD10" i="43"/>
  <c r="Z10" i="43"/>
  <c r="Y10" i="43"/>
  <c r="C10" i="43"/>
  <c r="C11" i="43" s="1"/>
  <c r="AJ9" i="43"/>
  <c r="AI9" i="43"/>
  <c r="AH9" i="43"/>
  <c r="AH12" i="43" s="1"/>
  <c r="AG9" i="43"/>
  <c r="AG10" i="43" s="1"/>
  <c r="AF9" i="43"/>
  <c r="AE9" i="43"/>
  <c r="AD9" i="43"/>
  <c r="AD12" i="43" s="1"/>
  <c r="AC9" i="43"/>
  <c r="AB9" i="43"/>
  <c r="AB10" i="43" s="1"/>
  <c r="AA9" i="43"/>
  <c r="AA10" i="43" s="1"/>
  <c r="Z9" i="43"/>
  <c r="Z12" i="43" s="1"/>
  <c r="C9" i="43"/>
  <c r="A7" i="43"/>
  <c r="M6" i="43"/>
  <c r="M5" i="43"/>
  <c r="N4" i="43"/>
  <c r="M3" i="43"/>
  <c r="M2" i="43"/>
  <c r="I2" i="43"/>
  <c r="M12" i="43" s="1"/>
  <c r="G2" i="43"/>
  <c r="H113" i="43" s="1"/>
  <c r="N1" i="43"/>
  <c r="M1" i="43"/>
  <c r="D1" i="43"/>
  <c r="B120" i="40"/>
  <c r="F40" i="40" s="1"/>
  <c r="S40" i="40" s="1"/>
  <c r="B118" i="40"/>
  <c r="J39" i="40" s="1"/>
  <c r="AC39" i="40" s="1"/>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J111" i="40"/>
  <c r="K111" i="40" s="1"/>
  <c r="L111" i="40" s="1"/>
  <c r="M111" i="40" s="1"/>
  <c r="D111" i="40"/>
  <c r="E111" i="40" s="1"/>
  <c r="F111" i="40" s="1"/>
  <c r="G111" i="40" s="1"/>
  <c r="H111" i="40" s="1"/>
  <c r="I111" i="40" s="1"/>
  <c r="M107" i="40"/>
  <c r="L107" i="40"/>
  <c r="K107" i="40"/>
  <c r="J107" i="40"/>
  <c r="I107" i="40"/>
  <c r="H107" i="40"/>
  <c r="G107" i="40"/>
  <c r="F107" i="40"/>
  <c r="E107" i="40"/>
  <c r="D107" i="40"/>
  <c r="C107" i="40"/>
  <c r="B105" i="40"/>
  <c r="H33" i="40" s="1"/>
  <c r="U33" i="40" s="1"/>
  <c r="B103" i="40"/>
  <c r="F32" i="40" s="1"/>
  <c r="S32" i="40" s="1"/>
  <c r="B101" i="40"/>
  <c r="J31" i="40" s="1"/>
  <c r="AC31" i="40" s="1"/>
  <c r="H100" i="40"/>
  <c r="I100" i="40" s="1"/>
  <c r="J100" i="40" s="1"/>
  <c r="K100" i="40" s="1"/>
  <c r="L100" i="40" s="1"/>
  <c r="M100" i="40" s="1"/>
  <c r="G100" i="40"/>
  <c r="D100" i="40"/>
  <c r="E100" i="40" s="1"/>
  <c r="F100" i="40" s="1"/>
  <c r="M98" i="40"/>
  <c r="D98" i="40"/>
  <c r="E98" i="40" s="1"/>
  <c r="F98" i="40" s="1"/>
  <c r="G98" i="40" s="1"/>
  <c r="H98" i="40" s="1"/>
  <c r="I98" i="40" s="1"/>
  <c r="J98" i="40" s="1"/>
  <c r="K98" i="40" s="1"/>
  <c r="L98" i="40" s="1"/>
  <c r="I96" i="40"/>
  <c r="J96" i="40" s="1"/>
  <c r="K96" i="40" s="1"/>
  <c r="L96" i="40" s="1"/>
  <c r="M96" i="40" s="1"/>
  <c r="F96" i="40"/>
  <c r="G96" i="40" s="1"/>
  <c r="H96" i="40" s="1"/>
  <c r="D96" i="40"/>
  <c r="E96" i="40" s="1"/>
  <c r="B95" i="40"/>
  <c r="H27" i="40" s="1"/>
  <c r="U27" i="40" s="1"/>
  <c r="F94" i="40"/>
  <c r="G94" i="40" s="1"/>
  <c r="E94" i="40"/>
  <c r="D94" i="40"/>
  <c r="E92" i="40"/>
  <c r="F92" i="40" s="1"/>
  <c r="G92" i="40" s="1"/>
  <c r="D92" i="40"/>
  <c r="E90" i="40"/>
  <c r="F90" i="40" s="1"/>
  <c r="G90" i="40" s="1"/>
  <c r="D90" i="40"/>
  <c r="D88" i="40"/>
  <c r="E88" i="40" s="1"/>
  <c r="F88" i="40" s="1"/>
  <c r="G88" i="40" s="1"/>
  <c r="D86" i="40"/>
  <c r="E86" i="40" s="1"/>
  <c r="F86" i="40" s="1"/>
  <c r="G86" i="40" s="1"/>
  <c r="G84" i="40"/>
  <c r="E84" i="40"/>
  <c r="F84" i="40" s="1"/>
  <c r="D84" i="40"/>
  <c r="B81" i="40"/>
  <c r="J14" i="40" s="1"/>
  <c r="B79" i="40"/>
  <c r="F13" i="40" s="1"/>
  <c r="B77" i="40"/>
  <c r="L76" i="40"/>
  <c r="M76" i="40" s="1"/>
  <c r="F76" i="40"/>
  <c r="G76" i="40" s="1"/>
  <c r="H76" i="40" s="1"/>
  <c r="I76" i="40" s="1"/>
  <c r="J76" i="40" s="1"/>
  <c r="K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I56" i="40"/>
  <c r="H56" i="40"/>
  <c r="C56" i="40"/>
  <c r="I54" i="40"/>
  <c r="C54" i="40" s="1"/>
  <c r="H54" i="40"/>
  <c r="H53" i="40"/>
  <c r="I53" i="40" s="1"/>
  <c r="C53" i="40" s="1"/>
  <c r="I52" i="40"/>
  <c r="H52" i="40"/>
  <c r="C52" i="40"/>
  <c r="I48" i="40"/>
  <c r="J48" i="40" s="1"/>
  <c r="G48" i="40"/>
  <c r="H48" i="40" s="1"/>
  <c r="E48" i="40"/>
  <c r="F48" i="40" s="1"/>
  <c r="P43" i="40"/>
  <c r="P42" i="40"/>
  <c r="K42" i="40"/>
  <c r="V41" i="40"/>
  <c r="T41" i="40"/>
  <c r="R41" i="40"/>
  <c r="P41" i="40"/>
  <c r="AA40" i="40"/>
  <c r="U40" i="40"/>
  <c r="Q40" i="40"/>
  <c r="Z40" i="40" s="1"/>
  <c r="J40" i="40"/>
  <c r="H40" i="40"/>
  <c r="AB40" i="40" s="1"/>
  <c r="AA39" i="40"/>
  <c r="Z39" i="40"/>
  <c r="W39" i="40"/>
  <c r="S39" i="40"/>
  <c r="Q39" i="40"/>
  <c r="F39" i="40"/>
  <c r="AC38" i="40"/>
  <c r="AA38" i="40"/>
  <c r="Z38" i="40"/>
  <c r="W38" i="40"/>
  <c r="Q38" i="40"/>
  <c r="J38" i="40"/>
  <c r="H38" i="40"/>
  <c r="F38" i="40"/>
  <c r="S38" i="40" s="1"/>
  <c r="AC37" i="40"/>
  <c r="Z37" i="40"/>
  <c r="S37" i="40"/>
  <c r="Q37" i="40"/>
  <c r="J37" i="40"/>
  <c r="W37" i="40" s="1"/>
  <c r="H37" i="40"/>
  <c r="U37" i="40" s="1"/>
  <c r="F37" i="40"/>
  <c r="AA37" i="40" s="1"/>
  <c r="AC36" i="40"/>
  <c r="Z36" i="40"/>
  <c r="W36" i="40"/>
  <c r="S36" i="40"/>
  <c r="Q36" i="40"/>
  <c r="J36" i="40"/>
  <c r="H36" i="40"/>
  <c r="F36" i="40"/>
  <c r="AA36" i="40" s="1"/>
  <c r="AC35" i="40"/>
  <c r="AB35" i="40"/>
  <c r="Z35" i="40"/>
  <c r="U35" i="40"/>
  <c r="Q35" i="40"/>
  <c r="J35" i="40"/>
  <c r="W35" i="40" s="1"/>
  <c r="H35" i="40"/>
  <c r="F35" i="40"/>
  <c r="AA35" i="40" s="1"/>
  <c r="AA34" i="40"/>
  <c r="Z34" i="40"/>
  <c r="W34" i="40"/>
  <c r="U34" i="40"/>
  <c r="Q34" i="40"/>
  <c r="J34" i="40"/>
  <c r="AC34" i="40" s="1"/>
  <c r="H34" i="40"/>
  <c r="AB34" i="40" s="1"/>
  <c r="F34" i="40"/>
  <c r="S34" i="40" s="1"/>
  <c r="AC33" i="40"/>
  <c r="AB33" i="40"/>
  <c r="Q33" i="40"/>
  <c r="Z33" i="40" s="1"/>
  <c r="J33" i="40"/>
  <c r="W33" i="40" s="1"/>
  <c r="F33" i="40"/>
  <c r="S33" i="40" s="1"/>
  <c r="AC32" i="40"/>
  <c r="AA32" i="40"/>
  <c r="W32" i="40"/>
  <c r="Q32" i="40"/>
  <c r="Z32" i="40" s="1"/>
  <c r="J32" i="40"/>
  <c r="H32" i="40"/>
  <c r="AB31" i="40"/>
  <c r="Z31" i="40"/>
  <c r="W31" i="40"/>
  <c r="U31" i="40"/>
  <c r="Q31" i="40"/>
  <c r="H31" i="40"/>
  <c r="F31" i="40"/>
  <c r="AC30" i="40"/>
  <c r="AB30" i="40"/>
  <c r="Z30" i="40"/>
  <c r="W30" i="40"/>
  <c r="Q30" i="40"/>
  <c r="J30" i="40"/>
  <c r="H30" i="40"/>
  <c r="U30" i="40" s="1"/>
  <c r="F30" i="40"/>
  <c r="C30" i="40"/>
  <c r="AA28" i="40"/>
  <c r="U28" i="40"/>
  <c r="S28" i="40"/>
  <c r="Q28" i="40"/>
  <c r="Z28" i="40" s="1"/>
  <c r="J28" i="40"/>
  <c r="H28" i="40"/>
  <c r="AB28" i="40" s="1"/>
  <c r="F28" i="40"/>
  <c r="C28" i="40"/>
  <c r="Z27" i="40"/>
  <c r="W27" i="40"/>
  <c r="Q27" i="40"/>
  <c r="J27" i="40"/>
  <c r="AC27" i="40" s="1"/>
  <c r="F27" i="40"/>
  <c r="AB25" i="40"/>
  <c r="Z25" i="40"/>
  <c r="W25" i="40"/>
  <c r="U25" i="40"/>
  <c r="S25" i="40"/>
  <c r="Q25" i="40"/>
  <c r="J25" i="40"/>
  <c r="AC25" i="40" s="1"/>
  <c r="H25" i="40"/>
  <c r="F25" i="40"/>
  <c r="AA25" i="40" s="1"/>
  <c r="AC23" i="40"/>
  <c r="Q23" i="40"/>
  <c r="Z23" i="40" s="1"/>
  <c r="J23" i="40"/>
  <c r="W23" i="40" s="1"/>
  <c r="H23" i="40"/>
  <c r="F23" i="40"/>
  <c r="AA21" i="40"/>
  <c r="S21" i="40"/>
  <c r="Q21" i="40"/>
  <c r="Z21" i="40" s="1"/>
  <c r="J21" i="40"/>
  <c r="W21" i="40" s="1"/>
  <c r="H21" i="40"/>
  <c r="F21" i="40"/>
  <c r="Z19" i="40"/>
  <c r="W19" i="40"/>
  <c r="U19" i="40"/>
  <c r="Q19" i="40"/>
  <c r="J19" i="40"/>
  <c r="AC19" i="40" s="1"/>
  <c r="H19" i="40"/>
  <c r="AB19" i="40" s="1"/>
  <c r="F19" i="40"/>
  <c r="S19" i="40" s="1"/>
  <c r="C19" i="40"/>
  <c r="AB17" i="40"/>
  <c r="U17" i="40"/>
  <c r="Q17" i="40"/>
  <c r="Z17" i="40" s="1"/>
  <c r="J17" i="40"/>
  <c r="W17" i="40" s="1"/>
  <c r="H17" i="40"/>
  <c r="F17" i="40"/>
  <c r="W15" i="40"/>
  <c r="S15" i="40"/>
  <c r="Q15" i="40"/>
  <c r="Z15" i="40" s="1"/>
  <c r="J15" i="40"/>
  <c r="AC15" i="40" s="1"/>
  <c r="H15" i="40"/>
  <c r="U15" i="40" s="1"/>
  <c r="F15" i="40"/>
  <c r="AA15" i="40" s="1"/>
  <c r="AC14" i="40"/>
  <c r="W14" i="40"/>
  <c r="Q14" i="40"/>
  <c r="Z14" i="40" s="1"/>
  <c r="H14" i="40"/>
  <c r="F14" i="40"/>
  <c r="AC13" i="40"/>
  <c r="W13" i="40"/>
  <c r="Q13" i="40"/>
  <c r="Z13" i="40" s="1"/>
  <c r="J13" i="40"/>
  <c r="H13" i="40"/>
  <c r="Z12" i="40"/>
  <c r="S12" i="40"/>
  <c r="Q12" i="40"/>
  <c r="J12" i="40"/>
  <c r="H12" i="40"/>
  <c r="F12" i="40"/>
  <c r="AA12" i="40" s="1"/>
  <c r="AA11" i="40"/>
  <c r="U11" i="40"/>
  <c r="S11" i="40"/>
  <c r="Q11" i="40"/>
  <c r="Z11" i="40" s="1"/>
  <c r="J11" i="40"/>
  <c r="H11" i="40"/>
  <c r="AB11" i="40" s="1"/>
  <c r="F11" i="40"/>
  <c r="Z10" i="40"/>
  <c r="Q10" i="40"/>
  <c r="AC9" i="40"/>
  <c r="AB9" i="40"/>
  <c r="AA9" i="40"/>
  <c r="Z9" i="40"/>
  <c r="W9" i="40"/>
  <c r="Q9" i="40"/>
  <c r="J9" i="40"/>
  <c r="H9" i="40"/>
  <c r="U9" i="40" s="1"/>
  <c r="F9" i="40"/>
  <c r="S9" i="40" s="1"/>
  <c r="AC8" i="40"/>
  <c r="AB8" i="40"/>
  <c r="J8" i="40"/>
  <c r="W8" i="40" s="1"/>
  <c r="H8" i="40"/>
  <c r="U8" i="40" s="1"/>
  <c r="F8" i="40"/>
  <c r="B130" i="39"/>
  <c r="B128" i="39"/>
  <c r="B126" i="39"/>
  <c r="J125" i="39"/>
  <c r="K125" i="39" s="1"/>
  <c r="L125" i="39" s="1"/>
  <c r="M125" i="39" s="1"/>
  <c r="F125" i="39"/>
  <c r="G125" i="39" s="1"/>
  <c r="H125" i="39" s="1"/>
  <c r="I125" i="39" s="1"/>
  <c r="D125" i="39"/>
  <c r="E125" i="39" s="1"/>
  <c r="F123" i="39"/>
  <c r="G123" i="39" s="1"/>
  <c r="H123" i="39" s="1"/>
  <c r="I123" i="39" s="1"/>
  <c r="J123" i="39" s="1"/>
  <c r="K123" i="39" s="1"/>
  <c r="L123" i="39" s="1"/>
  <c r="M123" i="39" s="1"/>
  <c r="D123" i="39"/>
  <c r="E123" i="39" s="1"/>
  <c r="H121" i="39"/>
  <c r="I121" i="39" s="1"/>
  <c r="J121" i="39" s="1"/>
  <c r="K121" i="39" s="1"/>
  <c r="L121" i="39" s="1"/>
  <c r="M121" i="39" s="1"/>
  <c r="G121" i="39"/>
  <c r="E121" i="39"/>
  <c r="F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F35" i="39" s="1"/>
  <c r="AA35" i="39" s="1"/>
  <c r="L108" i="39"/>
  <c r="M108" i="39" s="1"/>
  <c r="H108" i="39"/>
  <c r="I108" i="39" s="1"/>
  <c r="J108" i="39" s="1"/>
  <c r="K108" i="39" s="1"/>
  <c r="E108" i="39"/>
  <c r="F108" i="39" s="1"/>
  <c r="G108" i="39" s="1"/>
  <c r="D108" i="39"/>
  <c r="K106" i="39"/>
  <c r="L106" i="39" s="1"/>
  <c r="M106" i="39" s="1"/>
  <c r="H106" i="39"/>
  <c r="I106" i="39" s="1"/>
  <c r="J106" i="39" s="1"/>
  <c r="D106" i="39"/>
  <c r="E106" i="39" s="1"/>
  <c r="F106" i="39" s="1"/>
  <c r="G106" i="39" s="1"/>
  <c r="M104" i="39"/>
  <c r="D104" i="39"/>
  <c r="E104" i="39" s="1"/>
  <c r="F104" i="39" s="1"/>
  <c r="G104" i="39" s="1"/>
  <c r="H104" i="39" s="1"/>
  <c r="I104" i="39" s="1"/>
  <c r="J104" i="39" s="1"/>
  <c r="K104" i="39" s="1"/>
  <c r="L104" i="39" s="1"/>
  <c r="B103" i="39"/>
  <c r="G102" i="39"/>
  <c r="F102" i="39"/>
  <c r="E102" i="39"/>
  <c r="D102" i="39"/>
  <c r="D100" i="39"/>
  <c r="E100" i="39" s="1"/>
  <c r="F100" i="39" s="1"/>
  <c r="G100" i="39" s="1"/>
  <c r="G98" i="39"/>
  <c r="F98" i="39"/>
  <c r="E98" i="39"/>
  <c r="D98" i="39"/>
  <c r="G96" i="39"/>
  <c r="E96" i="39"/>
  <c r="F96" i="39" s="1"/>
  <c r="D96" i="39"/>
  <c r="F94" i="39"/>
  <c r="G94" i="39" s="1"/>
  <c r="E94" i="39"/>
  <c r="D94" i="39"/>
  <c r="G92" i="39"/>
  <c r="E92" i="39"/>
  <c r="F92" i="39" s="1"/>
  <c r="D92" i="39"/>
  <c r="F90" i="39"/>
  <c r="G90" i="39" s="1"/>
  <c r="E90" i="39"/>
  <c r="D90" i="39"/>
  <c r="E88" i="39"/>
  <c r="F88" i="39" s="1"/>
  <c r="G88" i="39" s="1"/>
  <c r="D88" i="39"/>
  <c r="B85" i="39"/>
  <c r="B83" i="39"/>
  <c r="J13" i="39" s="1"/>
  <c r="AC13" i="39" s="1"/>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c r="H62" i="39"/>
  <c r="I62" i="39" s="1"/>
  <c r="C62" i="39" s="1"/>
  <c r="H61" i="39"/>
  <c r="I61" i="39" s="1"/>
  <c r="C61" i="39" s="1"/>
  <c r="I60" i="39"/>
  <c r="H60" i="39"/>
  <c r="C60" i="39"/>
  <c r="H59" i="39"/>
  <c r="I59" i="39" s="1"/>
  <c r="C59" i="39" s="1"/>
  <c r="I58" i="39"/>
  <c r="C58" i="39" s="1"/>
  <c r="H58" i="39"/>
  <c r="I57" i="39"/>
  <c r="C57" i="39" s="1"/>
  <c r="H57" i="39"/>
  <c r="J53" i="39"/>
  <c r="I53" i="39"/>
  <c r="H53" i="39"/>
  <c r="G53" i="39"/>
  <c r="E53" i="39"/>
  <c r="F53" i="39" s="1"/>
  <c r="P48" i="39"/>
  <c r="P47" i="39"/>
  <c r="K47" i="39"/>
  <c r="V46" i="39"/>
  <c r="T46" i="39"/>
  <c r="R46" i="39"/>
  <c r="P46" i="39"/>
  <c r="Z45" i="39"/>
  <c r="S45" i="39"/>
  <c r="Q45" i="39"/>
  <c r="F45" i="39"/>
  <c r="AA45" i="39" s="1"/>
  <c r="Z44" i="39"/>
  <c r="Q44" i="39"/>
  <c r="H44" i="39"/>
  <c r="U44" i="39" s="1"/>
  <c r="AC43" i="39"/>
  <c r="AB43" i="39"/>
  <c r="AA43" i="39"/>
  <c r="U43" i="39"/>
  <c r="Q43" i="39"/>
  <c r="Z43" i="39" s="1"/>
  <c r="J43" i="39"/>
  <c r="W43" i="39" s="1"/>
  <c r="H43" i="39"/>
  <c r="F43" i="39"/>
  <c r="S43" i="39" s="1"/>
  <c r="AB42" i="39"/>
  <c r="Z42" i="39"/>
  <c r="W42" i="39"/>
  <c r="S42" i="39"/>
  <c r="Q42" i="39"/>
  <c r="J42" i="39"/>
  <c r="AC42" i="39" s="1"/>
  <c r="H42" i="39"/>
  <c r="U42" i="39" s="1"/>
  <c r="F42" i="39"/>
  <c r="AA42" i="39" s="1"/>
  <c r="AC41" i="39"/>
  <c r="AB41" i="39"/>
  <c r="W41" i="39"/>
  <c r="Q41" i="39"/>
  <c r="Z41" i="39" s="1"/>
  <c r="J41" i="39"/>
  <c r="H41" i="39"/>
  <c r="U41" i="39" s="1"/>
  <c r="F41" i="39"/>
  <c r="U40" i="39"/>
  <c r="S40" i="39"/>
  <c r="Q40" i="39"/>
  <c r="Z40" i="39" s="1"/>
  <c r="J40" i="39"/>
  <c r="H40" i="39"/>
  <c r="AB40" i="39" s="1"/>
  <c r="F40" i="39"/>
  <c r="AA40" i="39" s="1"/>
  <c r="AC39" i="39"/>
  <c r="AA39" i="39"/>
  <c r="Z39" i="39"/>
  <c r="W39" i="39"/>
  <c r="U39" i="39"/>
  <c r="Q39" i="39"/>
  <c r="J39" i="39"/>
  <c r="H39" i="39"/>
  <c r="AB39" i="39" s="1"/>
  <c r="F39" i="39"/>
  <c r="S39" i="39" s="1"/>
  <c r="AB38" i="39"/>
  <c r="AA38" i="39"/>
  <c r="Z38" i="39"/>
  <c r="U38" i="39"/>
  <c r="Q38" i="39"/>
  <c r="J38" i="39"/>
  <c r="H38" i="39"/>
  <c r="F38" i="39"/>
  <c r="S38" i="39" s="1"/>
  <c r="AC37" i="39"/>
  <c r="AA37" i="39"/>
  <c r="Z37" i="39"/>
  <c r="U37" i="39"/>
  <c r="Q37" i="39"/>
  <c r="J37" i="39"/>
  <c r="W37" i="39" s="1"/>
  <c r="F37" i="39"/>
  <c r="S37" i="39" s="1"/>
  <c r="AC36" i="39"/>
  <c r="Z36" i="39"/>
  <c r="Q36" i="39"/>
  <c r="J36" i="39"/>
  <c r="W36" i="39" s="1"/>
  <c r="H36" i="39"/>
  <c r="F36" i="39"/>
  <c r="Q35" i="39"/>
  <c r="Z35" i="39" s="1"/>
  <c r="J35" i="39"/>
  <c r="H35" i="39"/>
  <c r="Z34" i="39"/>
  <c r="W34" i="39"/>
  <c r="U34" i="39"/>
  <c r="S34" i="39"/>
  <c r="Q34" i="39"/>
  <c r="J34" i="39"/>
  <c r="AC34" i="39" s="1"/>
  <c r="H34" i="39"/>
  <c r="AB34" i="39" s="1"/>
  <c r="F34" i="39"/>
  <c r="AA34" i="39" s="1"/>
  <c r="AC32" i="39"/>
  <c r="AA32" i="39"/>
  <c r="Z32" i="39"/>
  <c r="W32" i="39"/>
  <c r="S32" i="39"/>
  <c r="Q32" i="39"/>
  <c r="J32" i="39"/>
  <c r="H32" i="39"/>
  <c r="F32" i="39"/>
  <c r="Q31" i="39"/>
  <c r="Z31" i="39" s="1"/>
  <c r="H31" i="39"/>
  <c r="S29" i="39"/>
  <c r="Q29" i="39"/>
  <c r="Z29" i="39" s="1"/>
  <c r="J29" i="39"/>
  <c r="W29" i="39" s="1"/>
  <c r="H29" i="39"/>
  <c r="U29" i="39" s="1"/>
  <c r="F29" i="39"/>
  <c r="AA29" i="39" s="1"/>
  <c r="Z27" i="39"/>
  <c r="W27" i="39"/>
  <c r="S27" i="39"/>
  <c r="Q27" i="39"/>
  <c r="J27" i="39"/>
  <c r="AC27" i="39" s="1"/>
  <c r="H27" i="39"/>
  <c r="U27" i="39" s="1"/>
  <c r="F27" i="39"/>
  <c r="AA27" i="39" s="1"/>
  <c r="U25" i="39"/>
  <c r="Q25" i="39"/>
  <c r="Z25" i="39" s="1"/>
  <c r="J25" i="39"/>
  <c r="W25" i="39" s="1"/>
  <c r="H25" i="39"/>
  <c r="AB25" i="39" s="1"/>
  <c r="F25" i="39"/>
  <c r="Z23" i="39"/>
  <c r="W23" i="39"/>
  <c r="S23" i="39"/>
  <c r="Q23" i="39"/>
  <c r="J23" i="39"/>
  <c r="AC23" i="39" s="1"/>
  <c r="H23" i="39"/>
  <c r="F23" i="39"/>
  <c r="AA23" i="39" s="1"/>
  <c r="C23" i="39"/>
  <c r="AB21" i="39"/>
  <c r="AA21" i="39"/>
  <c r="U21" i="39"/>
  <c r="Q21" i="39"/>
  <c r="Z21" i="39" s="1"/>
  <c r="J21" i="39"/>
  <c r="H21" i="39"/>
  <c r="F21" i="39"/>
  <c r="S21" i="39" s="1"/>
  <c r="Z19" i="39"/>
  <c r="W19" i="39"/>
  <c r="U19" i="39"/>
  <c r="S19" i="39"/>
  <c r="Q19" i="39"/>
  <c r="J19" i="39"/>
  <c r="AC19" i="39" s="1"/>
  <c r="H19" i="39"/>
  <c r="AB19" i="39" s="1"/>
  <c r="F19" i="39"/>
  <c r="AA19" i="39" s="1"/>
  <c r="AC17" i="39"/>
  <c r="AB17" i="39"/>
  <c r="U17" i="39"/>
  <c r="Q17" i="39"/>
  <c r="Z17" i="39" s="1"/>
  <c r="J17" i="39"/>
  <c r="W17" i="39" s="1"/>
  <c r="H17" i="39"/>
  <c r="F17" i="39"/>
  <c r="Z15" i="39"/>
  <c r="W15" i="39"/>
  <c r="Q15" i="39"/>
  <c r="J15" i="39"/>
  <c r="AC15" i="39" s="1"/>
  <c r="H15" i="39"/>
  <c r="U15" i="39" s="1"/>
  <c r="F15" i="39"/>
  <c r="S15" i="39" s="1"/>
  <c r="S14" i="39"/>
  <c r="Q14" i="39"/>
  <c r="Z14" i="39" s="1"/>
  <c r="J14" i="39"/>
  <c r="W14" i="39" s="1"/>
  <c r="H14" i="39"/>
  <c r="F14" i="39"/>
  <c r="AA14" i="39" s="1"/>
  <c r="AA13" i="39"/>
  <c r="W13" i="39"/>
  <c r="U13" i="39"/>
  <c r="S13" i="39"/>
  <c r="Q13" i="39"/>
  <c r="Z13" i="39" s="1"/>
  <c r="H13" i="39"/>
  <c r="AB13" i="39" s="1"/>
  <c r="F13" i="39"/>
  <c r="AC12" i="39"/>
  <c r="AA12" i="39"/>
  <c r="Z12" i="39"/>
  <c r="W12" i="39"/>
  <c r="S12" i="39"/>
  <c r="Q12" i="39"/>
  <c r="J12" i="39"/>
  <c r="H12" i="39"/>
  <c r="U12" i="39" s="1"/>
  <c r="F12" i="39"/>
  <c r="AC11" i="39"/>
  <c r="AB11" i="39"/>
  <c r="Z11" i="39"/>
  <c r="W11" i="39"/>
  <c r="U11" i="39"/>
  <c r="S11" i="39"/>
  <c r="Q11" i="39"/>
  <c r="J11" i="39"/>
  <c r="H11" i="39"/>
  <c r="F11" i="39"/>
  <c r="AA11" i="39" s="1"/>
  <c r="Z10" i="39"/>
  <c r="Q10" i="39"/>
  <c r="AC9" i="39"/>
  <c r="AA9" i="39"/>
  <c r="S9" i="39"/>
  <c r="Q9" i="39"/>
  <c r="Z9" i="39" s="1"/>
  <c r="J9" i="39"/>
  <c r="W9" i="39" s="1"/>
  <c r="H9" i="39"/>
  <c r="F9" i="39"/>
  <c r="U8" i="39"/>
  <c r="S8" i="39"/>
  <c r="J8" i="39"/>
  <c r="AC8" i="39" s="1"/>
  <c r="H8" i="39"/>
  <c r="AB8" i="39" s="1"/>
  <c r="F8" i="39"/>
  <c r="AA8" i="39" s="1"/>
  <c r="B95" i="36"/>
  <c r="B93" i="36"/>
  <c r="B91" i="36"/>
  <c r="J32" i="36" s="1"/>
  <c r="M86" i="36"/>
  <c r="L86" i="36"/>
  <c r="K86" i="36"/>
  <c r="J86" i="36"/>
  <c r="I86" i="36"/>
  <c r="H86" i="36"/>
  <c r="G86" i="36"/>
  <c r="F86" i="36"/>
  <c r="E86" i="36"/>
  <c r="D86" i="36"/>
  <c r="C86" i="36"/>
  <c r="G85" i="36"/>
  <c r="H85" i="36" s="1"/>
  <c r="I85" i="36" s="1"/>
  <c r="J85" i="36" s="1"/>
  <c r="K85" i="36" s="1"/>
  <c r="L85" i="36" s="1"/>
  <c r="M85" i="36" s="1"/>
  <c r="D85" i="36"/>
  <c r="E85" i="36" s="1"/>
  <c r="F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G78" i="36"/>
  <c r="H78" i="36" s="1"/>
  <c r="I78" i="36" s="1"/>
  <c r="J78" i="36" s="1"/>
  <c r="K78" i="36" s="1"/>
  <c r="L78" i="36" s="1"/>
  <c r="M78" i="36" s="1"/>
  <c r="F78" i="36"/>
  <c r="D78" i="36"/>
  <c r="E78" i="36" s="1"/>
  <c r="B75" i="36"/>
  <c r="B73" i="36"/>
  <c r="H24" i="36" s="1"/>
  <c r="B71" i="36"/>
  <c r="D70" i="36"/>
  <c r="F68" i="36"/>
  <c r="G68" i="36" s="1"/>
  <c r="D68" i="36"/>
  <c r="E68" i="36" s="1"/>
  <c r="D66" i="36"/>
  <c r="E66" i="36" s="1"/>
  <c r="F66" i="36" s="1"/>
  <c r="G66" i="36" s="1"/>
  <c r="D64" i="36"/>
  <c r="E64" i="36" s="1"/>
  <c r="F64" i="36" s="1"/>
  <c r="G64" i="36" s="1"/>
  <c r="E62" i="36"/>
  <c r="F62" i="36" s="1"/>
  <c r="G62" i="36" s="1"/>
  <c r="D62" i="36"/>
  <c r="B59" i="36"/>
  <c r="B57" i="36"/>
  <c r="B55" i="36"/>
  <c r="F54" i="36"/>
  <c r="G54" i="36" s="1"/>
  <c r="H54" i="36" s="1"/>
  <c r="I54" i="36" s="1"/>
  <c r="C51" i="36"/>
  <c r="J42" i="36"/>
  <c r="I42" i="36"/>
  <c r="G42" i="36"/>
  <c r="H42" i="36" s="1"/>
  <c r="F42" i="36"/>
  <c r="E42" i="36"/>
  <c r="P37" i="36"/>
  <c r="P36" i="36"/>
  <c r="K36" i="36"/>
  <c r="V35" i="36"/>
  <c r="T35" i="36"/>
  <c r="R35" i="36"/>
  <c r="P35" i="36"/>
  <c r="AA34" i="36"/>
  <c r="Q34" i="36"/>
  <c r="Z34" i="36" s="1"/>
  <c r="J34" i="36"/>
  <c r="H34" i="36"/>
  <c r="U34" i="36" s="1"/>
  <c r="F34" i="36"/>
  <c r="S34" i="36" s="1"/>
  <c r="AC33" i="36"/>
  <c r="S33" i="36"/>
  <c r="Q33" i="36"/>
  <c r="Z33" i="36" s="1"/>
  <c r="J33" i="36"/>
  <c r="W33" i="36" s="1"/>
  <c r="H33" i="36"/>
  <c r="F33" i="36"/>
  <c r="AA33" i="36" s="1"/>
  <c r="Z32" i="36"/>
  <c r="S32" i="36"/>
  <c r="Q32" i="36"/>
  <c r="F32" i="36"/>
  <c r="AA32" i="36" s="1"/>
  <c r="AC31" i="36"/>
  <c r="Z31" i="36"/>
  <c r="Q31" i="36"/>
  <c r="J31" i="36"/>
  <c r="W31" i="36" s="1"/>
  <c r="H31" i="36"/>
  <c r="F31" i="36"/>
  <c r="S31" i="36" s="1"/>
  <c r="U30" i="36"/>
  <c r="Q30" i="36"/>
  <c r="Z30" i="36" s="1"/>
  <c r="J30" i="36"/>
  <c r="W30" i="36" s="1"/>
  <c r="H30" i="36"/>
  <c r="AB30" i="36" s="1"/>
  <c r="F30" i="36"/>
  <c r="AB29" i="36"/>
  <c r="W29" i="36"/>
  <c r="U29" i="36"/>
  <c r="Q29" i="36"/>
  <c r="Z29" i="36" s="1"/>
  <c r="J29" i="36"/>
  <c r="AC29" i="36" s="1"/>
  <c r="H29" i="36"/>
  <c r="F29" i="36"/>
  <c r="S29" i="36" s="1"/>
  <c r="AB28" i="36"/>
  <c r="AA28" i="36"/>
  <c r="W28" i="36"/>
  <c r="U28" i="36"/>
  <c r="S28" i="36"/>
  <c r="Q28" i="36"/>
  <c r="Z28" i="36" s="1"/>
  <c r="J28" i="36"/>
  <c r="AC28" i="36" s="1"/>
  <c r="H28" i="36"/>
  <c r="F28" i="36"/>
  <c r="Z27" i="36"/>
  <c r="W27" i="36"/>
  <c r="Q27" i="36"/>
  <c r="J27" i="36"/>
  <c r="AC27" i="36" s="1"/>
  <c r="H27" i="36"/>
  <c r="U27" i="36" s="1"/>
  <c r="F27" i="36"/>
  <c r="S27" i="36" s="1"/>
  <c r="AB26" i="36"/>
  <c r="Q26" i="36"/>
  <c r="Z26" i="36" s="1"/>
  <c r="J26" i="36"/>
  <c r="W26" i="36" s="1"/>
  <c r="H26" i="36"/>
  <c r="U26" i="36" s="1"/>
  <c r="F26" i="36"/>
  <c r="Q25" i="36"/>
  <c r="Z25" i="36" s="1"/>
  <c r="J25" i="36"/>
  <c r="Z24" i="36"/>
  <c r="W24" i="36"/>
  <c r="S24" i="36"/>
  <c r="Q24" i="36"/>
  <c r="J24" i="36"/>
  <c r="AC24" i="36" s="1"/>
  <c r="F24" i="36"/>
  <c r="AA24" i="36" s="1"/>
  <c r="AC23" i="36"/>
  <c r="Z23" i="36"/>
  <c r="Q23" i="36"/>
  <c r="J23" i="36"/>
  <c r="W23" i="36" s="1"/>
  <c r="H23" i="36"/>
  <c r="F23" i="36"/>
  <c r="S23" i="36" s="1"/>
  <c r="AA22" i="36"/>
  <c r="U22" i="36"/>
  <c r="Q22" i="36"/>
  <c r="Z22" i="36" s="1"/>
  <c r="J22" i="36"/>
  <c r="W22" i="36" s="1"/>
  <c r="H22" i="36"/>
  <c r="AB22" i="36" s="1"/>
  <c r="F22" i="36"/>
  <c r="S22" i="36" s="1"/>
  <c r="W20" i="36"/>
  <c r="U20" i="36"/>
  <c r="Q20" i="36"/>
  <c r="Z20" i="36" s="1"/>
  <c r="J20" i="36"/>
  <c r="AC20" i="36" s="1"/>
  <c r="H20" i="36"/>
  <c r="AB20" i="36" s="1"/>
  <c r="F20" i="36"/>
  <c r="S20" i="36" s="1"/>
  <c r="C20" i="36"/>
  <c r="AC18" i="36"/>
  <c r="AB18" i="36"/>
  <c r="Z18" i="36"/>
  <c r="W18" i="36"/>
  <c r="U18" i="36"/>
  <c r="S18" i="36"/>
  <c r="Q18" i="36"/>
  <c r="J18" i="36"/>
  <c r="H18" i="36"/>
  <c r="F18" i="36"/>
  <c r="AA18" i="36" s="1"/>
  <c r="C18" i="36"/>
  <c r="AB16" i="36"/>
  <c r="Q16" i="36"/>
  <c r="Z16" i="36" s="1"/>
  <c r="J16" i="36"/>
  <c r="W16" i="36" s="1"/>
  <c r="H16" i="36"/>
  <c r="U16" i="36" s="1"/>
  <c r="F16" i="36"/>
  <c r="C16" i="36"/>
  <c r="W14" i="36"/>
  <c r="U14" i="36"/>
  <c r="S14" i="36"/>
  <c r="Q14" i="36"/>
  <c r="Z14" i="36" s="1"/>
  <c r="J14" i="36"/>
  <c r="AC14" i="36" s="1"/>
  <c r="H14" i="36"/>
  <c r="AB14" i="36" s="1"/>
  <c r="F14" i="36"/>
  <c r="AA14" i="36" s="1"/>
  <c r="C14" i="36"/>
  <c r="AC13" i="36"/>
  <c r="AB13" i="36"/>
  <c r="Z13" i="36"/>
  <c r="Q13" i="36"/>
  <c r="J13" i="36"/>
  <c r="W13" i="36" s="1"/>
  <c r="H13" i="36"/>
  <c r="U13" i="36" s="1"/>
  <c r="F13" i="36"/>
  <c r="S13" i="36" s="1"/>
  <c r="U12" i="36"/>
  <c r="S12" i="36"/>
  <c r="Q12" i="36"/>
  <c r="Z12" i="36" s="1"/>
  <c r="J12" i="36"/>
  <c r="W12" i="36" s="1"/>
  <c r="H12" i="36"/>
  <c r="AB12" i="36" s="1"/>
  <c r="F12" i="36"/>
  <c r="AA12" i="36" s="1"/>
  <c r="AA11" i="36"/>
  <c r="Z11" i="36"/>
  <c r="W11" i="36"/>
  <c r="U11" i="36"/>
  <c r="Q11" i="36"/>
  <c r="J11" i="36"/>
  <c r="AC11" i="36" s="1"/>
  <c r="H11" i="36"/>
  <c r="AB11" i="36" s="1"/>
  <c r="F11" i="36"/>
  <c r="S11" i="36" s="1"/>
  <c r="Q10" i="36"/>
  <c r="Z10" i="36" s="1"/>
  <c r="J10" i="36"/>
  <c r="H10" i="36"/>
  <c r="U10" i="36" s="1"/>
  <c r="F10" i="36"/>
  <c r="S10" i="36" s="1"/>
  <c r="W9" i="36"/>
  <c r="U9" i="36"/>
  <c r="S9" i="36"/>
  <c r="Q9" i="36"/>
  <c r="Z9" i="36" s="1"/>
  <c r="J9" i="36"/>
  <c r="AC9" i="36" s="1"/>
  <c r="H9" i="36"/>
  <c r="AB9" i="36" s="1"/>
  <c r="F9" i="36"/>
  <c r="AA9" i="36" s="1"/>
  <c r="AC8" i="36"/>
  <c r="AB8" i="36"/>
  <c r="AA8" i="36"/>
  <c r="W8" i="36"/>
  <c r="U8" i="36"/>
  <c r="J8" i="36"/>
  <c r="H8" i="36"/>
  <c r="F8" i="36"/>
  <c r="S8" i="36" s="1"/>
  <c r="D3" i="36"/>
  <c r="B101" i="35"/>
  <c r="F36" i="35" s="1"/>
  <c r="B99" i="35"/>
  <c r="H35" i="35" s="1"/>
  <c r="AB35" i="35" s="1"/>
  <c r="B97" i="35"/>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E89" i="35"/>
  <c r="F89" i="35" s="1"/>
  <c r="G89" i="35" s="1"/>
  <c r="H89" i="35" s="1"/>
  <c r="I89" i="35" s="1"/>
  <c r="J89" i="35" s="1"/>
  <c r="K89" i="35" s="1"/>
  <c r="L89" i="35" s="1"/>
  <c r="M89" i="35" s="1"/>
  <c r="D89" i="35"/>
  <c r="K87" i="35"/>
  <c r="L87" i="35" s="1"/>
  <c r="M87" i="35" s="1"/>
  <c r="D87" i="35"/>
  <c r="E87" i="35" s="1"/>
  <c r="F87" i="35" s="1"/>
  <c r="G87" i="35" s="1"/>
  <c r="H87" i="35" s="1"/>
  <c r="I87" i="35" s="1"/>
  <c r="J87" i="35" s="1"/>
  <c r="G85" i="35"/>
  <c r="F85" i="35"/>
  <c r="E85" i="35"/>
  <c r="D85" i="35"/>
  <c r="C85" i="35"/>
  <c r="K84" i="35"/>
  <c r="L84" i="35" s="1"/>
  <c r="M84" i="35" s="1"/>
  <c r="H84" i="35"/>
  <c r="I84" i="35" s="1"/>
  <c r="J84" i="35" s="1"/>
  <c r="D84" i="35"/>
  <c r="E84" i="35" s="1"/>
  <c r="F84" i="35" s="1"/>
  <c r="G84" i="35" s="1"/>
  <c r="D80" i="35"/>
  <c r="E80" i="35" s="1"/>
  <c r="F80" i="35" s="1"/>
  <c r="G80" i="35" s="1"/>
  <c r="H80" i="35" s="1"/>
  <c r="I80" i="35" s="1"/>
  <c r="J80" i="35" s="1"/>
  <c r="K80" i="35" s="1"/>
  <c r="L80" i="35" s="1"/>
  <c r="M80" i="35" s="1"/>
  <c r="B77" i="35"/>
  <c r="B75" i="35"/>
  <c r="H24" i="35" s="1"/>
  <c r="B73" i="35"/>
  <c r="D72" i="35"/>
  <c r="E72" i="35" s="1"/>
  <c r="F72" i="35" s="1"/>
  <c r="G72" i="35" s="1"/>
  <c r="D70" i="35"/>
  <c r="E70" i="35" s="1"/>
  <c r="F70" i="35" s="1"/>
  <c r="G70" i="35" s="1"/>
  <c r="E68" i="35"/>
  <c r="F68" i="35" s="1"/>
  <c r="G68" i="35" s="1"/>
  <c r="D68" i="35"/>
  <c r="F66" i="35"/>
  <c r="G66" i="35" s="1"/>
  <c r="D66" i="35"/>
  <c r="E66" i="35" s="1"/>
  <c r="D64" i="35"/>
  <c r="E64" i="35" s="1"/>
  <c r="F64" i="35" s="1"/>
  <c r="G64" i="35" s="1"/>
  <c r="B61" i="35"/>
  <c r="J13" i="35" s="1"/>
  <c r="AC13" i="35" s="1"/>
  <c r="B59" i="35"/>
  <c r="J12" i="35" s="1"/>
  <c r="B57" i="35"/>
  <c r="F56" i="35"/>
  <c r="G56" i="35" s="1"/>
  <c r="H56" i="35" s="1"/>
  <c r="I56" i="35" s="1"/>
  <c r="C53" i="35"/>
  <c r="I44" i="35"/>
  <c r="J44" i="35" s="1"/>
  <c r="G44" i="35"/>
  <c r="H44" i="35" s="1"/>
  <c r="E44" i="35"/>
  <c r="F44" i="35" s="1"/>
  <c r="P39" i="35"/>
  <c r="P38" i="35"/>
  <c r="K38" i="35"/>
  <c r="B38" i="35"/>
  <c r="V37" i="35"/>
  <c r="T37" i="35"/>
  <c r="R37" i="35"/>
  <c r="P37" i="35"/>
  <c r="Z36" i="35"/>
  <c r="Q36" i="35"/>
  <c r="J36" i="35"/>
  <c r="H36" i="35"/>
  <c r="U35" i="35"/>
  <c r="Q35" i="35"/>
  <c r="Z35" i="35" s="1"/>
  <c r="J35" i="35"/>
  <c r="Z34" i="35"/>
  <c r="Q34" i="35"/>
  <c r="Q33" i="35"/>
  <c r="Z33" i="35" s="1"/>
  <c r="J33" i="35"/>
  <c r="W33" i="35" s="1"/>
  <c r="H33" i="35"/>
  <c r="U33" i="35" s="1"/>
  <c r="F33" i="35"/>
  <c r="W32" i="35"/>
  <c r="U32" i="35"/>
  <c r="S32" i="35"/>
  <c r="Q32" i="35"/>
  <c r="Z32" i="35" s="1"/>
  <c r="J32" i="35"/>
  <c r="AC32" i="35" s="1"/>
  <c r="H32" i="35"/>
  <c r="AB32" i="35" s="1"/>
  <c r="F32" i="35"/>
  <c r="AA32" i="35" s="1"/>
  <c r="AB31" i="35"/>
  <c r="Z31" i="35"/>
  <c r="W31" i="35"/>
  <c r="Q31" i="35"/>
  <c r="J31" i="35"/>
  <c r="AC31" i="35" s="1"/>
  <c r="H31" i="35"/>
  <c r="U31" i="35" s="1"/>
  <c r="F31" i="35"/>
  <c r="AB30" i="35"/>
  <c r="S30" i="35"/>
  <c r="Q30" i="35"/>
  <c r="Z30" i="35" s="1"/>
  <c r="J30" i="35"/>
  <c r="W30" i="35" s="1"/>
  <c r="H30" i="35"/>
  <c r="U30" i="35" s="1"/>
  <c r="F30" i="35"/>
  <c r="AA30" i="35" s="1"/>
  <c r="Z29" i="35"/>
  <c r="W29" i="35"/>
  <c r="U29" i="35"/>
  <c r="S29" i="35"/>
  <c r="Q29" i="35"/>
  <c r="J29" i="35"/>
  <c r="AC29" i="35" s="1"/>
  <c r="H29" i="35"/>
  <c r="AB29" i="35" s="1"/>
  <c r="F29" i="35"/>
  <c r="AA29" i="35" s="1"/>
  <c r="AB28" i="35"/>
  <c r="Z28" i="35"/>
  <c r="Q28" i="35"/>
  <c r="J28" i="35"/>
  <c r="W28" i="35" s="1"/>
  <c r="H28" i="35"/>
  <c r="U28" i="35" s="1"/>
  <c r="F28" i="35"/>
  <c r="S28" i="35" s="1"/>
  <c r="AC27" i="35"/>
  <c r="U27" i="35"/>
  <c r="S27" i="35"/>
  <c r="Q27" i="35"/>
  <c r="Z27" i="35" s="1"/>
  <c r="J27" i="35"/>
  <c r="W27" i="35" s="1"/>
  <c r="H27" i="35"/>
  <c r="AB27" i="35" s="1"/>
  <c r="F27" i="35"/>
  <c r="AA27" i="35" s="1"/>
  <c r="Z26" i="35"/>
  <c r="Q26" i="35"/>
  <c r="C26" i="35"/>
  <c r="Q25" i="35"/>
  <c r="Z25" i="35" s="1"/>
  <c r="H25" i="35"/>
  <c r="Z24" i="35"/>
  <c r="W24" i="35"/>
  <c r="S24" i="35"/>
  <c r="Q24" i="35"/>
  <c r="J24" i="35"/>
  <c r="AC24" i="35" s="1"/>
  <c r="F24" i="35"/>
  <c r="AA24" i="35" s="1"/>
  <c r="AB23" i="35"/>
  <c r="Z23" i="35"/>
  <c r="Q23" i="35"/>
  <c r="J23" i="35"/>
  <c r="H23" i="35"/>
  <c r="U23" i="35" s="1"/>
  <c r="F23" i="35"/>
  <c r="S23" i="35" s="1"/>
  <c r="U22" i="35"/>
  <c r="S22" i="35"/>
  <c r="Q22" i="35"/>
  <c r="Z22" i="35" s="1"/>
  <c r="J22" i="35"/>
  <c r="H22" i="35"/>
  <c r="AB22" i="35" s="1"/>
  <c r="F22" i="35"/>
  <c r="AA22" i="35" s="1"/>
  <c r="Z20" i="35"/>
  <c r="W20" i="35"/>
  <c r="U20" i="35"/>
  <c r="Q20" i="35"/>
  <c r="J20" i="35"/>
  <c r="AC20" i="35" s="1"/>
  <c r="H20" i="35"/>
  <c r="AB20" i="35" s="1"/>
  <c r="F20" i="35"/>
  <c r="S20" i="35" s="1"/>
  <c r="C20" i="35"/>
  <c r="S18" i="35"/>
  <c r="Q18" i="35"/>
  <c r="Z18" i="35" s="1"/>
  <c r="J18" i="35"/>
  <c r="W18" i="35" s="1"/>
  <c r="H18" i="35"/>
  <c r="F18" i="35"/>
  <c r="AA18" i="35" s="1"/>
  <c r="C18" i="35"/>
  <c r="Z16" i="35"/>
  <c r="W16" i="35"/>
  <c r="U16" i="35"/>
  <c r="Q16" i="35"/>
  <c r="J16" i="35"/>
  <c r="AC16" i="35" s="1"/>
  <c r="H16" i="35"/>
  <c r="AB16" i="35" s="1"/>
  <c r="F16" i="35"/>
  <c r="S16" i="35" s="1"/>
  <c r="C16" i="35"/>
  <c r="S14" i="35"/>
  <c r="Q14" i="35"/>
  <c r="Z14" i="35" s="1"/>
  <c r="J14" i="35"/>
  <c r="H14" i="35"/>
  <c r="F14" i="35"/>
  <c r="AA14" i="35" s="1"/>
  <c r="C14" i="35"/>
  <c r="Z13" i="35"/>
  <c r="W13" i="35"/>
  <c r="U13" i="35"/>
  <c r="Q13" i="35"/>
  <c r="H13" i="35"/>
  <c r="AB13" i="35" s="1"/>
  <c r="F13" i="35"/>
  <c r="S13" i="35" s="1"/>
  <c r="Q12" i="35"/>
  <c r="Z12" i="35" s="1"/>
  <c r="H12" i="35"/>
  <c r="F12" i="35"/>
  <c r="W11" i="35"/>
  <c r="U11" i="35"/>
  <c r="S11" i="35"/>
  <c r="Q11" i="35"/>
  <c r="Z11" i="35" s="1"/>
  <c r="J11" i="35"/>
  <c r="AC11" i="35" s="1"/>
  <c r="H11" i="35"/>
  <c r="AB11" i="35" s="1"/>
  <c r="F11" i="35"/>
  <c r="AA11" i="35" s="1"/>
  <c r="AB10" i="35"/>
  <c r="Z10" i="35"/>
  <c r="W10" i="35"/>
  <c r="Q10" i="35"/>
  <c r="J10" i="35"/>
  <c r="AC10" i="35" s="1"/>
  <c r="H10" i="35"/>
  <c r="U10" i="35" s="1"/>
  <c r="F10" i="35"/>
  <c r="Q9" i="35"/>
  <c r="Z9" i="35" s="1"/>
  <c r="H9" i="35"/>
  <c r="AA8" i="35"/>
  <c r="W8" i="35"/>
  <c r="U8" i="35"/>
  <c r="S8" i="35"/>
  <c r="J8" i="35"/>
  <c r="AC8" i="35" s="1"/>
  <c r="H8" i="35"/>
  <c r="AB8" i="35" s="1"/>
  <c r="F8" i="35"/>
  <c r="D3" i="35"/>
  <c r="B131" i="34"/>
  <c r="J47" i="34" s="1"/>
  <c r="AC47" i="34" s="1"/>
  <c r="B129" i="34"/>
  <c r="B127" i="34"/>
  <c r="G126" i="34"/>
  <c r="F126" i="34"/>
  <c r="E126" i="34"/>
  <c r="D126" i="34"/>
  <c r="I124" i="34"/>
  <c r="J124" i="34" s="1"/>
  <c r="K124" i="34" s="1"/>
  <c r="L124" i="34" s="1"/>
  <c r="M124" i="34" s="1"/>
  <c r="H124" i="34"/>
  <c r="D124" i="34"/>
  <c r="E124" i="34" s="1"/>
  <c r="F124" i="34" s="1"/>
  <c r="G124" i="34" s="1"/>
  <c r="D120" i="34"/>
  <c r="E120" i="34" s="1"/>
  <c r="F120" i="34" s="1"/>
  <c r="G120" i="34" s="1"/>
  <c r="H120" i="34" s="1"/>
  <c r="I120" i="34" s="1"/>
  <c r="J120" i="34" s="1"/>
  <c r="K120" i="34" s="1"/>
  <c r="L120" i="34" s="1"/>
  <c r="M120" i="34" s="1"/>
  <c r="G118" i="34"/>
  <c r="F118" i="34"/>
  <c r="E118" i="34"/>
  <c r="D118" i="34"/>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M107" i="34"/>
  <c r="E107" i="34"/>
  <c r="F107" i="34" s="1"/>
  <c r="G107" i="34" s="1"/>
  <c r="H107" i="34" s="1"/>
  <c r="I107" i="34" s="1"/>
  <c r="J107" i="34" s="1"/>
  <c r="K107" i="34" s="1"/>
  <c r="L107" i="34" s="1"/>
  <c r="D107" i="34"/>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U27" i="34" s="1"/>
  <c r="F88" i="34"/>
  <c r="G88" i="34" s="1"/>
  <c r="H88" i="34" s="1"/>
  <c r="I88" i="34" s="1"/>
  <c r="J88" i="34" s="1"/>
  <c r="K88" i="34" s="1"/>
  <c r="L88" i="34" s="1"/>
  <c r="M88" i="34" s="1"/>
  <c r="E88" i="34"/>
  <c r="D88" i="34"/>
  <c r="F86" i="34"/>
  <c r="G86" i="34" s="1"/>
  <c r="E86" i="34"/>
  <c r="D86" i="34"/>
  <c r="G84" i="34"/>
  <c r="F84" i="34"/>
  <c r="E84" i="34"/>
  <c r="D84" i="34"/>
  <c r="E82" i="34"/>
  <c r="F82" i="34" s="1"/>
  <c r="G82" i="34" s="1"/>
  <c r="D82" i="34"/>
  <c r="G80" i="34"/>
  <c r="F80" i="34"/>
  <c r="E80" i="34"/>
  <c r="D80" i="34"/>
  <c r="D78" i="34"/>
  <c r="E78" i="34" s="1"/>
  <c r="F78" i="34" s="1"/>
  <c r="G78" i="34" s="1"/>
  <c r="B75" i="34"/>
  <c r="H14" i="34" s="1"/>
  <c r="B73" i="34"/>
  <c r="B71" i="34"/>
  <c r="I70" i="34"/>
  <c r="J70" i="34" s="1"/>
  <c r="K70" i="34" s="1"/>
  <c r="L70" i="34" s="1"/>
  <c r="M70" i="34" s="1"/>
  <c r="G70" i="34"/>
  <c r="H70" i="34" s="1"/>
  <c r="F70" i="34"/>
  <c r="E70" i="34"/>
  <c r="D70" i="34"/>
  <c r="M68" i="34"/>
  <c r="L68" i="34"/>
  <c r="K68" i="34"/>
  <c r="J68" i="34"/>
  <c r="I68" i="34"/>
  <c r="H68" i="34"/>
  <c r="G68" i="34"/>
  <c r="F68" i="34"/>
  <c r="E68" i="34"/>
  <c r="D68" i="34"/>
  <c r="C68" i="34"/>
  <c r="H67" i="34"/>
  <c r="I67" i="34" s="1"/>
  <c r="G67" i="34"/>
  <c r="F67" i="34"/>
  <c r="C64" i="34"/>
  <c r="I55" i="34"/>
  <c r="J55" i="34" s="1"/>
  <c r="H55" i="34"/>
  <c r="G55" i="34"/>
  <c r="F55" i="34"/>
  <c r="E55" i="34"/>
  <c r="P50" i="34"/>
  <c r="P49" i="34"/>
  <c r="K49" i="34"/>
  <c r="V48" i="34"/>
  <c r="T48" i="34"/>
  <c r="R48" i="34"/>
  <c r="P48" i="34"/>
  <c r="Z47" i="34"/>
  <c r="W47" i="34"/>
  <c r="Q47" i="34"/>
  <c r="AA46" i="34"/>
  <c r="Z46" i="34"/>
  <c r="Q46" i="34"/>
  <c r="F46" i="34"/>
  <c r="S46" i="34" s="1"/>
  <c r="Q45" i="34"/>
  <c r="Z45" i="34" s="1"/>
  <c r="AA44" i="34"/>
  <c r="Z44" i="34"/>
  <c r="W44" i="34"/>
  <c r="U44" i="34"/>
  <c r="Q44" i="34"/>
  <c r="J44" i="34"/>
  <c r="AC44" i="34" s="1"/>
  <c r="H44" i="34"/>
  <c r="AB44" i="34" s="1"/>
  <c r="F44" i="34"/>
  <c r="S44" i="34" s="1"/>
  <c r="AC43" i="34"/>
  <c r="AB43" i="34"/>
  <c r="AA43" i="34"/>
  <c r="Z43" i="34"/>
  <c r="Q43" i="34"/>
  <c r="J43" i="34"/>
  <c r="W43" i="34" s="1"/>
  <c r="H43" i="34"/>
  <c r="U43" i="34" s="1"/>
  <c r="F43" i="34"/>
  <c r="S43" i="34" s="1"/>
  <c r="AC42" i="34"/>
  <c r="W42" i="34"/>
  <c r="U42" i="34"/>
  <c r="S42" i="34"/>
  <c r="Q42" i="34"/>
  <c r="Z42" i="34" s="1"/>
  <c r="J42" i="34"/>
  <c r="H42" i="34"/>
  <c r="AB42" i="34" s="1"/>
  <c r="F42" i="34"/>
  <c r="AA42" i="34" s="1"/>
  <c r="AA41" i="34"/>
  <c r="Z41" i="34"/>
  <c r="W41" i="34"/>
  <c r="Q41" i="34"/>
  <c r="J41" i="34"/>
  <c r="AC41" i="34" s="1"/>
  <c r="H41" i="34"/>
  <c r="F41" i="34"/>
  <c r="S41" i="34" s="1"/>
  <c r="AC40" i="34"/>
  <c r="AB40" i="34"/>
  <c r="AA40" i="34"/>
  <c r="S40" i="34"/>
  <c r="Q40" i="34"/>
  <c r="Z40" i="34" s="1"/>
  <c r="J40" i="34"/>
  <c r="W40" i="34" s="1"/>
  <c r="H40" i="34"/>
  <c r="U40" i="34" s="1"/>
  <c r="F40" i="34"/>
  <c r="Z39" i="34"/>
  <c r="W39" i="34"/>
  <c r="U39" i="34"/>
  <c r="S39" i="34"/>
  <c r="Q39" i="34"/>
  <c r="J39" i="34"/>
  <c r="AC39" i="34" s="1"/>
  <c r="H39" i="34"/>
  <c r="AB39" i="34" s="1"/>
  <c r="F39" i="34"/>
  <c r="AA39" i="34" s="1"/>
  <c r="AC38" i="34"/>
  <c r="AB38" i="34"/>
  <c r="Z38" i="34"/>
  <c r="Q38" i="34"/>
  <c r="J38" i="34"/>
  <c r="W38" i="34" s="1"/>
  <c r="H38" i="34"/>
  <c r="U38" i="34" s="1"/>
  <c r="F38" i="34"/>
  <c r="AB37" i="34"/>
  <c r="U37" i="34"/>
  <c r="S37" i="34"/>
  <c r="Q37" i="34"/>
  <c r="Z37" i="34" s="1"/>
  <c r="J37" i="34"/>
  <c r="W37" i="34" s="1"/>
  <c r="H37" i="34"/>
  <c r="F37" i="34"/>
  <c r="AA37" i="34" s="1"/>
  <c r="W36" i="34"/>
  <c r="U36" i="34"/>
  <c r="Q36" i="34"/>
  <c r="Z36" i="34" s="1"/>
  <c r="J36" i="34"/>
  <c r="AC36" i="34" s="1"/>
  <c r="H36" i="34"/>
  <c r="AB36" i="34" s="1"/>
  <c r="F36" i="34"/>
  <c r="S36" i="34" s="1"/>
  <c r="W35" i="34"/>
  <c r="Q35" i="34"/>
  <c r="Z35" i="34" s="1"/>
  <c r="J35" i="34"/>
  <c r="AC35" i="34" s="1"/>
  <c r="H35" i="34"/>
  <c r="F35" i="34"/>
  <c r="S35" i="34" s="1"/>
  <c r="U34" i="34"/>
  <c r="S34" i="34"/>
  <c r="Q34" i="34"/>
  <c r="Z34" i="34" s="1"/>
  <c r="J34" i="34"/>
  <c r="H34" i="34"/>
  <c r="AB34" i="34" s="1"/>
  <c r="F34" i="34"/>
  <c r="AA34" i="34" s="1"/>
  <c r="Z33" i="34"/>
  <c r="W33" i="34"/>
  <c r="U33" i="34"/>
  <c r="S33" i="34"/>
  <c r="Q33" i="34"/>
  <c r="J33" i="34"/>
  <c r="AC33" i="34" s="1"/>
  <c r="H33" i="34"/>
  <c r="AB33" i="34" s="1"/>
  <c r="F33" i="34"/>
  <c r="AA33" i="34" s="1"/>
  <c r="Z32" i="34"/>
  <c r="Q32" i="34"/>
  <c r="Z31" i="34"/>
  <c r="Q31" i="34"/>
  <c r="AC30" i="34"/>
  <c r="AA30" i="34"/>
  <c r="Z30" i="34"/>
  <c r="W30" i="34"/>
  <c r="Q30" i="34"/>
  <c r="J30" i="34"/>
  <c r="H30" i="34"/>
  <c r="F30" i="34"/>
  <c r="S30" i="34" s="1"/>
  <c r="AC29" i="34"/>
  <c r="AB29" i="34"/>
  <c r="U29" i="34"/>
  <c r="Q29" i="34"/>
  <c r="Z29" i="34" s="1"/>
  <c r="J29" i="34"/>
  <c r="W29" i="34" s="1"/>
  <c r="H29" i="34"/>
  <c r="F29" i="34"/>
  <c r="Q28" i="34"/>
  <c r="Z28" i="34" s="1"/>
  <c r="AC27" i="34"/>
  <c r="AB27" i="34"/>
  <c r="Z27" i="34"/>
  <c r="Q27" i="34"/>
  <c r="J27" i="34"/>
  <c r="W27" i="34" s="1"/>
  <c r="F27" i="34"/>
  <c r="AC25" i="34"/>
  <c r="W25" i="34"/>
  <c r="S25" i="34"/>
  <c r="Q25" i="34"/>
  <c r="Z25" i="34" s="1"/>
  <c r="J25" i="34"/>
  <c r="H25" i="34"/>
  <c r="F25" i="34"/>
  <c r="AA25" i="34" s="1"/>
  <c r="Z23" i="34"/>
  <c r="W23" i="34"/>
  <c r="U23" i="34"/>
  <c r="Q23" i="34"/>
  <c r="J23" i="34"/>
  <c r="AC23" i="34" s="1"/>
  <c r="H23" i="34"/>
  <c r="AB23" i="34" s="1"/>
  <c r="F23" i="34"/>
  <c r="AA23" i="34" s="1"/>
  <c r="C23" i="34"/>
  <c r="Z21" i="34"/>
  <c r="W21" i="34"/>
  <c r="S21" i="34"/>
  <c r="Q21" i="34"/>
  <c r="J21" i="34"/>
  <c r="AC21" i="34" s="1"/>
  <c r="H21" i="34"/>
  <c r="U21" i="34" s="1"/>
  <c r="F21" i="34"/>
  <c r="AA21" i="34" s="1"/>
  <c r="C21" i="34"/>
  <c r="U19" i="34"/>
  <c r="Q19" i="34"/>
  <c r="Z19" i="34" s="1"/>
  <c r="J19" i="34"/>
  <c r="H19" i="34"/>
  <c r="AB19" i="34" s="1"/>
  <c r="F19" i="34"/>
  <c r="AA19" i="34" s="1"/>
  <c r="C19" i="34"/>
  <c r="Z17" i="34"/>
  <c r="W17" i="34"/>
  <c r="S17" i="34"/>
  <c r="Q17" i="34"/>
  <c r="J17" i="34"/>
  <c r="AC17" i="34" s="1"/>
  <c r="H17" i="34"/>
  <c r="U17" i="34" s="1"/>
  <c r="F17" i="34"/>
  <c r="AA17" i="34" s="1"/>
  <c r="C17" i="34"/>
  <c r="U15" i="34"/>
  <c r="Q15" i="34"/>
  <c r="Z15" i="34" s="1"/>
  <c r="J15" i="34"/>
  <c r="H15" i="34"/>
  <c r="AB15" i="34" s="1"/>
  <c r="F15" i="34"/>
  <c r="AA15" i="34" s="1"/>
  <c r="C15" i="34"/>
  <c r="Z14" i="34"/>
  <c r="Q14" i="34"/>
  <c r="Z13" i="34"/>
  <c r="S13" i="34"/>
  <c r="Q13" i="34"/>
  <c r="J13" i="34"/>
  <c r="W13" i="34" s="1"/>
  <c r="H13" i="34"/>
  <c r="F13" i="34"/>
  <c r="AA13" i="34" s="1"/>
  <c r="Z12" i="34"/>
  <c r="U12" i="34"/>
  <c r="S12" i="34"/>
  <c r="Q12" i="34"/>
  <c r="J12" i="34"/>
  <c r="AC12" i="34" s="1"/>
  <c r="H12" i="34"/>
  <c r="AB12" i="34" s="1"/>
  <c r="F12" i="34"/>
  <c r="AA12" i="34" s="1"/>
  <c r="AC11" i="34"/>
  <c r="Z11" i="34"/>
  <c r="U11" i="34"/>
  <c r="Q11" i="34"/>
  <c r="J11" i="34"/>
  <c r="W11" i="34" s="1"/>
  <c r="H11" i="34"/>
  <c r="AB11" i="34" s="1"/>
  <c r="F11" i="34"/>
  <c r="AC10" i="34"/>
  <c r="U10" i="34"/>
  <c r="Q10" i="34"/>
  <c r="Z10" i="34" s="1"/>
  <c r="J10" i="34"/>
  <c r="W10" i="34" s="1"/>
  <c r="H10" i="34"/>
  <c r="AB10" i="34" s="1"/>
  <c r="F10" i="34"/>
  <c r="AA10" i="34" s="1"/>
  <c r="AA9" i="34"/>
  <c r="W9" i="34"/>
  <c r="U9" i="34"/>
  <c r="Q9" i="34"/>
  <c r="Z9" i="34" s="1"/>
  <c r="J9" i="34"/>
  <c r="AC9" i="34" s="1"/>
  <c r="H9" i="34"/>
  <c r="AB9" i="34" s="1"/>
  <c r="F9" i="34"/>
  <c r="S9" i="34" s="1"/>
  <c r="AB8" i="34"/>
  <c r="AA8" i="34"/>
  <c r="W8" i="34"/>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E121" i="33"/>
  <c r="F121" i="33" s="1"/>
  <c r="G121" i="33" s="1"/>
  <c r="H121" i="33" s="1"/>
  <c r="I121" i="33" s="1"/>
  <c r="J121" i="33" s="1"/>
  <c r="K121" i="33" s="1"/>
  <c r="L121" i="33" s="1"/>
  <c r="M121" i="33" s="1"/>
  <c r="D121" i="33"/>
  <c r="D117" i="33"/>
  <c r="E117" i="33" s="1"/>
  <c r="F117" i="33" s="1"/>
  <c r="G117" i="33" s="1"/>
  <c r="F115" i="33"/>
  <c r="G115" i="33" s="1"/>
  <c r="H115" i="33" s="1"/>
  <c r="I115" i="33" s="1"/>
  <c r="J115" i="33" s="1"/>
  <c r="K115" i="33" s="1"/>
  <c r="L115" i="33" s="1"/>
  <c r="M115" i="33" s="1"/>
  <c r="D115" i="33"/>
  <c r="E115" i="33" s="1"/>
  <c r="F113" i="33"/>
  <c r="G113" i="33" s="1"/>
  <c r="H113" i="33" s="1"/>
  <c r="I113" i="33" s="1"/>
  <c r="J113" i="33" s="1"/>
  <c r="K113" i="33" s="1"/>
  <c r="L113" i="33" s="1"/>
  <c r="M113" i="33" s="1"/>
  <c r="E113" i="33"/>
  <c r="D113" i="33"/>
  <c r="H111" i="33"/>
  <c r="I111" i="33" s="1"/>
  <c r="J111" i="33" s="1"/>
  <c r="K111" i="33" s="1"/>
  <c r="L111" i="33" s="1"/>
  <c r="M111" i="33" s="1"/>
  <c r="G111" i="33"/>
  <c r="F111" i="33"/>
  <c r="E111" i="33"/>
  <c r="D111" i="33"/>
  <c r="G109" i="33"/>
  <c r="F109" i="33"/>
  <c r="E109" i="33"/>
  <c r="D109" i="33"/>
  <c r="C109" i="33"/>
  <c r="F108" i="33"/>
  <c r="G108" i="33" s="1"/>
  <c r="H108" i="33" s="1"/>
  <c r="I108" i="33" s="1"/>
  <c r="J108" i="33" s="1"/>
  <c r="K108" i="33" s="1"/>
  <c r="L108" i="33" s="1"/>
  <c r="M108" i="33" s="1"/>
  <c r="E108" i="33"/>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F101" i="33"/>
  <c r="G101" i="33" s="1"/>
  <c r="H101" i="33" s="1"/>
  <c r="I101" i="33" s="1"/>
  <c r="J101" i="33" s="1"/>
  <c r="K101" i="33" s="1"/>
  <c r="L101" i="33" s="1"/>
  <c r="M101" i="33" s="1"/>
  <c r="E101" i="33"/>
  <c r="D101" i="33"/>
  <c r="B98" i="33"/>
  <c r="J31" i="33" s="1"/>
  <c r="B96" i="33"/>
  <c r="B94" i="33"/>
  <c r="B92" i="33"/>
  <c r="F28" i="33" s="1"/>
  <c r="AA28" i="33" s="1"/>
  <c r="D91" i="33"/>
  <c r="E91" i="33" s="1"/>
  <c r="F91" i="33" s="1"/>
  <c r="G91" i="33" s="1"/>
  <c r="H91" i="33" s="1"/>
  <c r="I91" i="33" s="1"/>
  <c r="J91" i="33" s="1"/>
  <c r="K91" i="33" s="1"/>
  <c r="L91" i="33" s="1"/>
  <c r="M91" i="33" s="1"/>
  <c r="B90" i="33"/>
  <c r="B88" i="33"/>
  <c r="H26" i="33" s="1"/>
  <c r="J87" i="33"/>
  <c r="K87" i="33" s="1"/>
  <c r="L87" i="33" s="1"/>
  <c r="M87" i="33" s="1"/>
  <c r="G87" i="33"/>
  <c r="H87" i="33" s="1"/>
  <c r="I87" i="33" s="1"/>
  <c r="F87" i="33"/>
  <c r="E87" i="33"/>
  <c r="D87" i="33"/>
  <c r="D85" i="33"/>
  <c r="E85" i="33" s="1"/>
  <c r="F85" i="33" s="1"/>
  <c r="G85" i="33" s="1"/>
  <c r="G83" i="33"/>
  <c r="F83" i="33"/>
  <c r="E83" i="33"/>
  <c r="D83" i="33"/>
  <c r="D81" i="33"/>
  <c r="E81" i="33" s="1"/>
  <c r="F81" i="33" s="1"/>
  <c r="G81" i="33" s="1"/>
  <c r="G79" i="33"/>
  <c r="F79" i="33"/>
  <c r="E79" i="33"/>
  <c r="D79" i="33"/>
  <c r="D77" i="33"/>
  <c r="E77" i="33" s="1"/>
  <c r="F77" i="33" s="1"/>
  <c r="G77" i="33" s="1"/>
  <c r="B74" i="33"/>
  <c r="F14" i="33" s="1"/>
  <c r="AA14" i="33" s="1"/>
  <c r="B72" i="33"/>
  <c r="H13" i="33" s="1"/>
  <c r="AB13" i="33" s="1"/>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H66" i="33"/>
  <c r="G66" i="33"/>
  <c r="C63" i="33"/>
  <c r="I54" i="33"/>
  <c r="J54" i="33" s="1"/>
  <c r="G54" i="33"/>
  <c r="H54" i="33" s="1"/>
  <c r="F54" i="33"/>
  <c r="E54" i="33"/>
  <c r="P49" i="33"/>
  <c r="P48" i="33"/>
  <c r="K48" i="33"/>
  <c r="V47" i="33"/>
  <c r="T47" i="33"/>
  <c r="R47" i="33"/>
  <c r="P47" i="33"/>
  <c r="Q46" i="33"/>
  <c r="Z46" i="33" s="1"/>
  <c r="AB45" i="33"/>
  <c r="Z45" i="33"/>
  <c r="Q45" i="33"/>
  <c r="H45" i="33"/>
  <c r="U45" i="33" s="1"/>
  <c r="Z44" i="33"/>
  <c r="S44" i="33"/>
  <c r="Q44" i="33"/>
  <c r="J44" i="33"/>
  <c r="W44" i="33" s="1"/>
  <c r="H44" i="33"/>
  <c r="U44" i="33" s="1"/>
  <c r="F44" i="33"/>
  <c r="AA44" i="33" s="1"/>
  <c r="Z43" i="33"/>
  <c r="U43" i="33"/>
  <c r="S43" i="33"/>
  <c r="Q43" i="33"/>
  <c r="J43" i="33"/>
  <c r="AC43" i="33" s="1"/>
  <c r="H43" i="33"/>
  <c r="AB43" i="33" s="1"/>
  <c r="F43" i="33"/>
  <c r="AA43" i="33" s="1"/>
  <c r="Z42" i="33"/>
  <c r="U42" i="33"/>
  <c r="Q42" i="33"/>
  <c r="J42" i="33"/>
  <c r="W42" i="33" s="1"/>
  <c r="H42" i="33"/>
  <c r="AB42" i="33" s="1"/>
  <c r="F42" i="33"/>
  <c r="S42" i="33" s="1"/>
  <c r="U41" i="33"/>
  <c r="Q41" i="33"/>
  <c r="Z41" i="33" s="1"/>
  <c r="J41" i="33"/>
  <c r="H41" i="33"/>
  <c r="AB41" i="33" s="1"/>
  <c r="F41" i="33"/>
  <c r="AA41" i="33" s="1"/>
  <c r="W40" i="33"/>
  <c r="U40" i="33"/>
  <c r="Q40" i="33"/>
  <c r="Z40" i="33" s="1"/>
  <c r="J40" i="33"/>
  <c r="AC40" i="33" s="1"/>
  <c r="H40" i="33"/>
  <c r="AB40" i="33" s="1"/>
  <c r="F40" i="33"/>
  <c r="W39" i="33"/>
  <c r="Q39" i="33"/>
  <c r="Z39" i="33" s="1"/>
  <c r="J39" i="33"/>
  <c r="AC39" i="33" s="1"/>
  <c r="H39" i="33"/>
  <c r="U39" i="33" s="1"/>
  <c r="F39" i="33"/>
  <c r="W38" i="33"/>
  <c r="S38" i="33"/>
  <c r="Q38" i="33"/>
  <c r="Z38" i="33" s="1"/>
  <c r="J38" i="33"/>
  <c r="AC38" i="33" s="1"/>
  <c r="H38" i="33"/>
  <c r="AB38" i="33" s="1"/>
  <c r="F38" i="33"/>
  <c r="AA38" i="33" s="1"/>
  <c r="AB37" i="33"/>
  <c r="Z37" i="33"/>
  <c r="W37" i="33"/>
  <c r="S37" i="33"/>
  <c r="Q37" i="33"/>
  <c r="J37" i="33"/>
  <c r="AC37" i="33" s="1"/>
  <c r="H37" i="33"/>
  <c r="U37" i="33" s="1"/>
  <c r="F37" i="33"/>
  <c r="AA37" i="33" s="1"/>
  <c r="AB36" i="33"/>
  <c r="Z36" i="33"/>
  <c r="S36" i="33"/>
  <c r="Q36" i="33"/>
  <c r="J36" i="33"/>
  <c r="W36" i="33" s="1"/>
  <c r="H36" i="33"/>
  <c r="U36" i="33" s="1"/>
  <c r="F36" i="33"/>
  <c r="AA36" i="33" s="1"/>
  <c r="Z35" i="33"/>
  <c r="U35" i="33"/>
  <c r="S35" i="33"/>
  <c r="Q35" i="33"/>
  <c r="J35" i="33"/>
  <c r="AC35" i="33" s="1"/>
  <c r="H35" i="33"/>
  <c r="AB35" i="33" s="1"/>
  <c r="F35" i="33"/>
  <c r="AA35" i="33" s="1"/>
  <c r="AA34" i="33"/>
  <c r="Z34" i="33"/>
  <c r="U34" i="33"/>
  <c r="Q34" i="33"/>
  <c r="J34" i="33"/>
  <c r="W34" i="33" s="1"/>
  <c r="H34" i="33"/>
  <c r="AB34" i="33" s="1"/>
  <c r="F34" i="33"/>
  <c r="S34" i="33" s="1"/>
  <c r="U33" i="33"/>
  <c r="Q33" i="33"/>
  <c r="Z33" i="33" s="1"/>
  <c r="J33" i="33"/>
  <c r="H33" i="33"/>
  <c r="AB33" i="33" s="1"/>
  <c r="F33" i="33"/>
  <c r="AA33" i="33" s="1"/>
  <c r="AA32" i="33"/>
  <c r="W32" i="33"/>
  <c r="U32" i="33"/>
  <c r="Q32" i="33"/>
  <c r="Z32" i="33" s="1"/>
  <c r="J32" i="33"/>
  <c r="AC32" i="33" s="1"/>
  <c r="H32" i="33"/>
  <c r="AB32" i="33" s="1"/>
  <c r="F32" i="33"/>
  <c r="S32" i="33" s="1"/>
  <c r="AB31" i="33"/>
  <c r="AA31" i="33"/>
  <c r="Q31" i="33"/>
  <c r="Z31" i="33" s="1"/>
  <c r="H31" i="33"/>
  <c r="U31" i="33" s="1"/>
  <c r="F31" i="33"/>
  <c r="S31" i="33" s="1"/>
  <c r="W30" i="33"/>
  <c r="S30" i="33"/>
  <c r="Q30" i="33"/>
  <c r="Z30" i="33" s="1"/>
  <c r="J30" i="33"/>
  <c r="AC30" i="33" s="1"/>
  <c r="H30" i="33"/>
  <c r="AB30" i="33" s="1"/>
  <c r="F30" i="33"/>
  <c r="AA30" i="33" s="1"/>
  <c r="Z29" i="33"/>
  <c r="W29" i="33"/>
  <c r="S29" i="33"/>
  <c r="Q29" i="33"/>
  <c r="J29" i="33"/>
  <c r="AC29" i="33" s="1"/>
  <c r="H29" i="33"/>
  <c r="U29" i="33" s="1"/>
  <c r="F29" i="33"/>
  <c r="AA29" i="33" s="1"/>
  <c r="Z28" i="33"/>
  <c r="S28" i="33"/>
  <c r="Q28" i="33"/>
  <c r="J28" i="33"/>
  <c r="W28" i="33" s="1"/>
  <c r="H28" i="33"/>
  <c r="U28" i="33" s="1"/>
  <c r="Z27" i="33"/>
  <c r="Q27" i="33"/>
  <c r="AC26" i="33"/>
  <c r="Z26" i="33"/>
  <c r="Q26" i="33"/>
  <c r="J26" i="33"/>
  <c r="W26" i="33" s="1"/>
  <c r="F26" i="33"/>
  <c r="S26" i="33" s="1"/>
  <c r="AC25" i="33"/>
  <c r="U25" i="33"/>
  <c r="Q25" i="33"/>
  <c r="Z25" i="33" s="1"/>
  <c r="J25" i="33"/>
  <c r="W25" i="33" s="1"/>
  <c r="H25" i="33"/>
  <c r="AB25" i="33" s="1"/>
  <c r="F25" i="33"/>
  <c r="AA25" i="33" s="1"/>
  <c r="W23" i="33"/>
  <c r="U23" i="33"/>
  <c r="Q23" i="33"/>
  <c r="Z23" i="33" s="1"/>
  <c r="J23" i="33"/>
  <c r="AC23" i="33" s="1"/>
  <c r="H23" i="33"/>
  <c r="AB23" i="33" s="1"/>
  <c r="F23" i="33"/>
  <c r="S23" i="33" s="1"/>
  <c r="C23" i="33"/>
  <c r="Z21" i="33"/>
  <c r="S21" i="33"/>
  <c r="Q21" i="33"/>
  <c r="J21" i="33"/>
  <c r="W21" i="33" s="1"/>
  <c r="H21" i="33"/>
  <c r="U21" i="33" s="1"/>
  <c r="F21" i="33"/>
  <c r="AA21" i="33" s="1"/>
  <c r="C21" i="33"/>
  <c r="W19" i="33"/>
  <c r="U19" i="33"/>
  <c r="Q19" i="33"/>
  <c r="Z19" i="33" s="1"/>
  <c r="J19" i="33"/>
  <c r="AC19" i="33" s="1"/>
  <c r="H19" i="33"/>
  <c r="AB19" i="33" s="1"/>
  <c r="F19" i="33"/>
  <c r="S19" i="33" s="1"/>
  <c r="C19" i="33"/>
  <c r="Z17" i="33"/>
  <c r="S17" i="33"/>
  <c r="Q17" i="33"/>
  <c r="J17" i="33"/>
  <c r="W17" i="33" s="1"/>
  <c r="H17" i="33"/>
  <c r="U17" i="33" s="1"/>
  <c r="F17" i="33"/>
  <c r="AA17" i="33" s="1"/>
  <c r="C17" i="33"/>
  <c r="AA15" i="33"/>
  <c r="W15" i="33"/>
  <c r="U15" i="33"/>
  <c r="Q15" i="33"/>
  <c r="Z15" i="33" s="1"/>
  <c r="J15" i="33"/>
  <c r="AC15" i="33" s="1"/>
  <c r="H15" i="33"/>
  <c r="AB15" i="33" s="1"/>
  <c r="F15" i="33"/>
  <c r="S15" i="33" s="1"/>
  <c r="C15" i="33"/>
  <c r="AB14" i="33"/>
  <c r="Z14" i="33"/>
  <c r="S14" i="33"/>
  <c r="Q14" i="33"/>
  <c r="J14" i="33"/>
  <c r="W14" i="33" s="1"/>
  <c r="H14" i="33"/>
  <c r="U14" i="33" s="1"/>
  <c r="Z13" i="33"/>
  <c r="U13" i="33"/>
  <c r="S13" i="33"/>
  <c r="Q13" i="33"/>
  <c r="J13" i="33"/>
  <c r="AC13" i="33" s="1"/>
  <c r="F13" i="33"/>
  <c r="AA13" i="33" s="1"/>
  <c r="Z12" i="33"/>
  <c r="Q12" i="33"/>
  <c r="J12" i="33"/>
  <c r="F12" i="33"/>
  <c r="AC11" i="33"/>
  <c r="U11" i="33"/>
  <c r="Q11" i="33"/>
  <c r="Z11" i="33" s="1"/>
  <c r="J11" i="33"/>
  <c r="W11" i="33" s="1"/>
  <c r="H11" i="33"/>
  <c r="AB11" i="33" s="1"/>
  <c r="F11" i="33"/>
  <c r="AA11" i="33" s="1"/>
  <c r="AA10" i="33"/>
  <c r="W10" i="33"/>
  <c r="U10" i="33"/>
  <c r="Q10" i="33"/>
  <c r="Z10" i="33" s="1"/>
  <c r="J10" i="33"/>
  <c r="AC10" i="33" s="1"/>
  <c r="H10" i="33"/>
  <c r="AB10" i="33" s="1"/>
  <c r="F10" i="33"/>
  <c r="S10" i="33" s="1"/>
  <c r="AA9" i="33"/>
  <c r="W9" i="33"/>
  <c r="Q9" i="33"/>
  <c r="Z9" i="33" s="1"/>
  <c r="J9" i="33"/>
  <c r="AC9" i="33" s="1"/>
  <c r="H9" i="33"/>
  <c r="U9" i="33" s="1"/>
  <c r="F9" i="33"/>
  <c r="S9" i="33" s="1"/>
  <c r="J8" i="33"/>
  <c r="H8" i="33"/>
  <c r="F8" i="33"/>
  <c r="AA8" i="33" s="1"/>
  <c r="C145" i="21"/>
  <c r="K143" i="21"/>
  <c r="J142" i="21"/>
  <c r="J140" i="21"/>
  <c r="K139" i="21"/>
  <c r="B130" i="21"/>
  <c r="H46" i="21" s="1"/>
  <c r="AB46" i="21" s="1"/>
  <c r="B128" i="21"/>
  <c r="H45" i="21" s="1"/>
  <c r="B126" i="21"/>
  <c r="F44" i="21" s="1"/>
  <c r="E125" i="21"/>
  <c r="F125" i="21" s="1"/>
  <c r="G125" i="21" s="1"/>
  <c r="D125" i="21"/>
  <c r="F123" i="21"/>
  <c r="G123" i="21" s="1"/>
  <c r="H123" i="21" s="1"/>
  <c r="I123" i="21" s="1"/>
  <c r="J123" i="21" s="1"/>
  <c r="K123" i="21" s="1"/>
  <c r="L123" i="21" s="1"/>
  <c r="M123" i="21" s="1"/>
  <c r="E123" i="21"/>
  <c r="D123" i="2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E115" i="2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E108" i="21"/>
  <c r="F108" i="21" s="1"/>
  <c r="G108" i="21" s="1"/>
  <c r="H108" i="21" s="1"/>
  <c r="I108" i="21" s="1"/>
  <c r="J108" i="21" s="1"/>
  <c r="K108" i="21" s="1"/>
  <c r="L108" i="21" s="1"/>
  <c r="M108" i="21" s="1"/>
  <c r="D108" i="21"/>
  <c r="H106" i="21"/>
  <c r="I106" i="21" s="1"/>
  <c r="J106" i="21" s="1"/>
  <c r="K106" i="21" s="1"/>
  <c r="L106" i="21" s="1"/>
  <c r="M106" i="21" s="1"/>
  <c r="G106" i="21"/>
  <c r="F106" i="21"/>
  <c r="E106" i="21"/>
  <c r="D106" i="21"/>
  <c r="M102" i="21"/>
  <c r="L102" i="21"/>
  <c r="K102" i="21"/>
  <c r="J102" i="21"/>
  <c r="I102" i="21"/>
  <c r="H102" i="21"/>
  <c r="G102" i="21"/>
  <c r="F102" i="21"/>
  <c r="E102" i="21"/>
  <c r="D102" i="21"/>
  <c r="C102" i="21"/>
  <c r="M101" i="21"/>
  <c r="E101" i="21"/>
  <c r="F101" i="21" s="1"/>
  <c r="G101" i="21" s="1"/>
  <c r="H101" i="21" s="1"/>
  <c r="I101" i="21" s="1"/>
  <c r="J101" i="21" s="1"/>
  <c r="K101" i="21" s="1"/>
  <c r="L101" i="21" s="1"/>
  <c r="D101" i="21"/>
  <c r="B98" i="21"/>
  <c r="B96" i="21"/>
  <c r="B94" i="21"/>
  <c r="H29" i="21" s="1"/>
  <c r="B92" i="21"/>
  <c r="F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J13" i="21" s="1"/>
  <c r="AC13" i="21" s="1"/>
  <c r="B70" i="21"/>
  <c r="J12" i="21" s="1"/>
  <c r="F69" i="21"/>
  <c r="G69" i="21" s="1"/>
  <c r="H69" i="21" s="1"/>
  <c r="I69" i="21" s="1"/>
  <c r="J69" i="21" s="1"/>
  <c r="K69" i="21" s="1"/>
  <c r="L69" i="21" s="1"/>
  <c r="M69" i="21" s="1"/>
  <c r="E69" i="21"/>
  <c r="D69" i="21"/>
  <c r="M67" i="21"/>
  <c r="L67" i="21"/>
  <c r="K67" i="21"/>
  <c r="J67" i="21"/>
  <c r="I67" i="21"/>
  <c r="H67" i="21"/>
  <c r="G67" i="21"/>
  <c r="F67" i="21"/>
  <c r="E67" i="21"/>
  <c r="D67" i="21"/>
  <c r="C67" i="21"/>
  <c r="G66" i="21"/>
  <c r="H66" i="21" s="1"/>
  <c r="I66" i="21" s="1"/>
  <c r="F66" i="21"/>
  <c r="E66" i="21"/>
  <c r="D66" i="21"/>
  <c r="C63" i="21"/>
  <c r="J54" i="21"/>
  <c r="I54" i="21"/>
  <c r="G54" i="21"/>
  <c r="H54" i="21" s="1"/>
  <c r="F54" i="21"/>
  <c r="E54" i="21"/>
  <c r="P49" i="21"/>
  <c r="P48" i="21"/>
  <c r="K48" i="21"/>
  <c r="V47" i="21"/>
  <c r="T47" i="21"/>
  <c r="R47" i="21"/>
  <c r="P47" i="21"/>
  <c r="Z46" i="21"/>
  <c r="U46" i="21"/>
  <c r="S46" i="21"/>
  <c r="Q46" i="21"/>
  <c r="J46" i="21"/>
  <c r="AC46" i="21" s="1"/>
  <c r="F46" i="21"/>
  <c r="AA46" i="21" s="1"/>
  <c r="AC45" i="21"/>
  <c r="Z45" i="21"/>
  <c r="Q45" i="21"/>
  <c r="J45" i="21"/>
  <c r="W45" i="21" s="1"/>
  <c r="F45" i="21"/>
  <c r="S45" i="21" s="1"/>
  <c r="AC44" i="21"/>
  <c r="U44" i="21"/>
  <c r="Q44" i="21"/>
  <c r="Z44" i="21" s="1"/>
  <c r="J44" i="21"/>
  <c r="W44" i="21" s="1"/>
  <c r="H44" i="21"/>
  <c r="AB44" i="21" s="1"/>
  <c r="AA43" i="21"/>
  <c r="W43" i="21"/>
  <c r="U43" i="21"/>
  <c r="Q43" i="21"/>
  <c r="Z43" i="21" s="1"/>
  <c r="J43" i="21"/>
  <c r="AC43" i="21" s="1"/>
  <c r="H43" i="21"/>
  <c r="AB43" i="21" s="1"/>
  <c r="F43" i="21"/>
  <c r="S43" i="21" s="1"/>
  <c r="AB42" i="21"/>
  <c r="AA42" i="21"/>
  <c r="W42" i="21"/>
  <c r="Q42" i="21"/>
  <c r="Z42" i="21" s="1"/>
  <c r="J42" i="21"/>
  <c r="AC42" i="21" s="1"/>
  <c r="H42" i="21"/>
  <c r="U42" i="21" s="1"/>
  <c r="F42" i="21"/>
  <c r="S42" i="21" s="1"/>
  <c r="W41" i="21"/>
  <c r="S41" i="21"/>
  <c r="Q41" i="21"/>
  <c r="Z41" i="21" s="1"/>
  <c r="J41" i="21"/>
  <c r="AC41" i="21" s="1"/>
  <c r="H41" i="21"/>
  <c r="AB41" i="21" s="1"/>
  <c r="F41" i="21"/>
  <c r="AA41" i="21" s="1"/>
  <c r="Z40" i="21"/>
  <c r="W40" i="21"/>
  <c r="S40" i="21"/>
  <c r="Q40" i="21"/>
  <c r="J40" i="21"/>
  <c r="AC40" i="21" s="1"/>
  <c r="H40" i="21"/>
  <c r="U40" i="21" s="1"/>
  <c r="F40" i="21"/>
  <c r="AA40" i="21" s="1"/>
  <c r="Z39" i="21"/>
  <c r="S39" i="21"/>
  <c r="Q39" i="21"/>
  <c r="J39" i="21"/>
  <c r="W39" i="21" s="1"/>
  <c r="H39" i="21"/>
  <c r="U39" i="21" s="1"/>
  <c r="F39" i="21"/>
  <c r="AA39" i="21" s="1"/>
  <c r="Z38" i="21"/>
  <c r="U38" i="21"/>
  <c r="S38" i="21"/>
  <c r="Q38" i="21"/>
  <c r="J38" i="21"/>
  <c r="AC38" i="21" s="1"/>
  <c r="H38" i="21"/>
  <c r="AB38" i="21" s="1"/>
  <c r="F38" i="21"/>
  <c r="AA38" i="21" s="1"/>
  <c r="Z37" i="21"/>
  <c r="U37" i="21"/>
  <c r="Q37" i="21"/>
  <c r="J37" i="21"/>
  <c r="H37" i="21"/>
  <c r="AB37" i="21" s="1"/>
  <c r="F37" i="21"/>
  <c r="S37" i="21" s="1"/>
  <c r="AC36" i="21"/>
  <c r="U36" i="21"/>
  <c r="Q36" i="21"/>
  <c r="Z36" i="21" s="1"/>
  <c r="J36" i="21"/>
  <c r="W36" i="21" s="1"/>
  <c r="H36" i="21"/>
  <c r="AB36" i="21" s="1"/>
  <c r="F36" i="21"/>
  <c r="AA36" i="21" s="1"/>
  <c r="W35" i="21"/>
  <c r="U35" i="21"/>
  <c r="Q35" i="21"/>
  <c r="Z35" i="21" s="1"/>
  <c r="J35" i="21"/>
  <c r="AC35" i="21" s="1"/>
  <c r="H35" i="21"/>
  <c r="AB35" i="21" s="1"/>
  <c r="F35" i="21"/>
  <c r="AB34" i="21"/>
  <c r="W34" i="21"/>
  <c r="Q34" i="21"/>
  <c r="Z34" i="21" s="1"/>
  <c r="J34" i="21"/>
  <c r="AC34" i="21" s="1"/>
  <c r="H34" i="21"/>
  <c r="U34" i="21" s="1"/>
  <c r="F34" i="21"/>
  <c r="S34" i="21" s="1"/>
  <c r="W33" i="21"/>
  <c r="S33" i="21"/>
  <c r="Q33" i="21"/>
  <c r="Z33" i="21" s="1"/>
  <c r="J33" i="21"/>
  <c r="AC33" i="21" s="1"/>
  <c r="H33" i="21"/>
  <c r="AB33" i="21" s="1"/>
  <c r="F33" i="21"/>
  <c r="AA33" i="21" s="1"/>
  <c r="Z32" i="21"/>
  <c r="W32" i="21"/>
  <c r="S32" i="21"/>
  <c r="Q32" i="21"/>
  <c r="J32" i="21"/>
  <c r="AC32" i="21" s="1"/>
  <c r="H32" i="21"/>
  <c r="U32" i="21" s="1"/>
  <c r="F32" i="21"/>
  <c r="AA32" i="21" s="1"/>
  <c r="Z31" i="21"/>
  <c r="S31" i="21"/>
  <c r="Q31" i="21"/>
  <c r="J31" i="21"/>
  <c r="W31" i="21" s="1"/>
  <c r="H31" i="21"/>
  <c r="U31" i="21" s="1"/>
  <c r="F31" i="21"/>
  <c r="AA31" i="21" s="1"/>
  <c r="Z30" i="21"/>
  <c r="U30" i="21"/>
  <c r="S30" i="21"/>
  <c r="Q30" i="21"/>
  <c r="J30" i="21"/>
  <c r="AC30" i="21" s="1"/>
  <c r="H30" i="21"/>
  <c r="AB30" i="21" s="1"/>
  <c r="F30" i="21"/>
  <c r="AA30" i="21" s="1"/>
  <c r="AA29" i="21"/>
  <c r="Z29" i="21"/>
  <c r="Q29" i="21"/>
  <c r="J29" i="21"/>
  <c r="F29" i="21"/>
  <c r="S29" i="21" s="1"/>
  <c r="AC28" i="21"/>
  <c r="U28" i="21"/>
  <c r="Q28" i="21"/>
  <c r="Z28" i="21" s="1"/>
  <c r="J28" i="21"/>
  <c r="W28" i="21" s="1"/>
  <c r="H28" i="21"/>
  <c r="AB28" i="21" s="1"/>
  <c r="AA27" i="21"/>
  <c r="Q27" i="21"/>
  <c r="Z27" i="21" s="1"/>
  <c r="F27" i="21"/>
  <c r="S27" i="21" s="1"/>
  <c r="W26" i="21"/>
  <c r="Q26" i="21"/>
  <c r="Z26" i="21" s="1"/>
  <c r="J26" i="21"/>
  <c r="AC26" i="21" s="1"/>
  <c r="H26" i="21"/>
  <c r="U26" i="21" s="1"/>
  <c r="F26" i="21"/>
  <c r="S26" i="21" s="1"/>
  <c r="W25" i="21"/>
  <c r="S25" i="21"/>
  <c r="Q25" i="21"/>
  <c r="Z25" i="21" s="1"/>
  <c r="J25" i="21"/>
  <c r="AC25" i="21" s="1"/>
  <c r="H25" i="21"/>
  <c r="AB25" i="21" s="1"/>
  <c r="F25" i="21"/>
  <c r="AA25" i="21" s="1"/>
  <c r="Z23" i="21"/>
  <c r="W23" i="21"/>
  <c r="S23" i="21"/>
  <c r="Q23" i="21"/>
  <c r="J23" i="21"/>
  <c r="AC23" i="21" s="1"/>
  <c r="H23" i="21"/>
  <c r="F23" i="21"/>
  <c r="AA23" i="21" s="1"/>
  <c r="C23" i="21"/>
  <c r="AC21" i="21"/>
  <c r="W21" i="21"/>
  <c r="U21" i="21"/>
  <c r="Q21" i="21"/>
  <c r="Z21" i="21" s="1"/>
  <c r="J21" i="21"/>
  <c r="H21" i="21"/>
  <c r="AB21" i="21" s="1"/>
  <c r="F21" i="21"/>
  <c r="AA21" i="21" s="1"/>
  <c r="C21" i="21"/>
  <c r="AC19" i="21"/>
  <c r="Z19" i="21"/>
  <c r="S19" i="21"/>
  <c r="Q19" i="21"/>
  <c r="J19" i="21"/>
  <c r="W19" i="21" s="1"/>
  <c r="H19" i="21"/>
  <c r="AB19" i="21" s="1"/>
  <c r="F19" i="21"/>
  <c r="AA19" i="21" s="1"/>
  <c r="C19" i="21"/>
  <c r="W17" i="21"/>
  <c r="U17" i="21"/>
  <c r="Q17" i="21"/>
  <c r="Z17" i="21" s="1"/>
  <c r="J17" i="21"/>
  <c r="AC17" i="21" s="1"/>
  <c r="H17" i="21"/>
  <c r="AB17" i="21" s="1"/>
  <c r="F17" i="21"/>
  <c r="AA17" i="21" s="1"/>
  <c r="C17" i="21"/>
  <c r="AC15" i="21"/>
  <c r="AB15" i="21"/>
  <c r="Z15" i="21"/>
  <c r="U15" i="21"/>
  <c r="S15" i="21"/>
  <c r="Q15" i="21"/>
  <c r="J15" i="21"/>
  <c r="W15" i="21" s="1"/>
  <c r="H15" i="21"/>
  <c r="F15" i="21"/>
  <c r="AA15" i="21" s="1"/>
  <c r="C15" i="21"/>
  <c r="W14" i="21"/>
  <c r="Q14" i="21"/>
  <c r="Z14" i="21" s="1"/>
  <c r="J14" i="21"/>
  <c r="AC14" i="21" s="1"/>
  <c r="H14" i="21"/>
  <c r="F14" i="21"/>
  <c r="AA14" i="21" s="1"/>
  <c r="W13" i="21"/>
  <c r="Q13" i="21"/>
  <c r="Z13" i="21" s="1"/>
  <c r="H13" i="21"/>
  <c r="F13" i="21"/>
  <c r="Z12" i="21"/>
  <c r="Q12" i="21"/>
  <c r="H12" i="21"/>
  <c r="U12" i="21" s="1"/>
  <c r="F12" i="21"/>
  <c r="AC11" i="21"/>
  <c r="Z11" i="21"/>
  <c r="W11" i="21"/>
  <c r="S11" i="21"/>
  <c r="Q11" i="21"/>
  <c r="J11" i="21"/>
  <c r="H11" i="21"/>
  <c r="AB11" i="21" s="1"/>
  <c r="F11" i="21"/>
  <c r="AA11" i="21" s="1"/>
  <c r="AC10" i="21"/>
  <c r="Z10" i="21"/>
  <c r="S10" i="21"/>
  <c r="Q10" i="21"/>
  <c r="J10" i="21"/>
  <c r="W10" i="21" s="1"/>
  <c r="H10" i="21"/>
  <c r="F10" i="21"/>
  <c r="AA10" i="21" s="1"/>
  <c r="AC9" i="21"/>
  <c r="Z9" i="21"/>
  <c r="S9" i="21"/>
  <c r="Q9" i="21"/>
  <c r="J9" i="21"/>
  <c r="W9" i="21" s="1"/>
  <c r="H9" i="21"/>
  <c r="AB9" i="21" s="1"/>
  <c r="F9" i="21"/>
  <c r="AA9" i="21" s="1"/>
  <c r="AA8" i="21"/>
  <c r="S8" i="21"/>
  <c r="J8" i="21"/>
  <c r="H8" i="21"/>
  <c r="F8" i="21"/>
  <c r="A13" i="70"/>
  <c r="E13" i="70" s="1"/>
  <c r="E12" i="70"/>
  <c r="A12" i="70"/>
  <c r="A11" i="70"/>
  <c r="E11" i="70" s="1"/>
  <c r="E10" i="70"/>
  <c r="A10" i="70"/>
  <c r="A9" i="70"/>
  <c r="E9" i="70" s="1"/>
  <c r="E8" i="70"/>
  <c r="A8" i="70"/>
  <c r="A7" i="70"/>
  <c r="A6" i="70"/>
  <c r="R43" i="77"/>
  <c r="R40" i="77"/>
  <c r="F36" i="77"/>
  <c r="R34" i="77"/>
  <c r="R33" i="77"/>
  <c r="C30" i="77"/>
  <c r="C29" i="77"/>
  <c r="R27" i="77"/>
  <c r="M24" i="77"/>
  <c r="R23" i="77"/>
  <c r="E23" i="77"/>
  <c r="E26" i="77" s="1"/>
  <c r="D23" i="77"/>
  <c r="D38" i="77" s="1"/>
  <c r="D39" i="77" s="1"/>
  <c r="C23" i="77"/>
  <c r="R22" i="77"/>
  <c r="R21" i="77"/>
  <c r="R24" i="77" s="1"/>
  <c r="N19" i="77"/>
  <c r="R18" i="77"/>
  <c r="D18" i="77"/>
  <c r="R17" i="77"/>
  <c r="D17" i="77"/>
  <c r="R16" i="77"/>
  <c r="D16" i="77"/>
  <c r="D15" i="77"/>
  <c r="R14" i="77"/>
  <c r="N14" i="77"/>
  <c r="M14" i="77"/>
  <c r="D14" i="77"/>
  <c r="R13" i="77"/>
  <c r="R12" i="77"/>
  <c r="D12" i="77"/>
  <c r="R11" i="77"/>
  <c r="E11" i="77"/>
  <c r="D11" i="77"/>
  <c r="R10" i="77"/>
  <c r="D10" i="77"/>
  <c r="R9" i="77"/>
  <c r="D9" i="77"/>
  <c r="R8" i="77"/>
  <c r="R7" i="77"/>
  <c r="E7" i="77"/>
  <c r="C27" i="77" s="1"/>
  <c r="D7" i="77"/>
  <c r="C26" i="77" s="1"/>
  <c r="R4" i="77"/>
  <c r="R3" i="77"/>
  <c r="P74" i="67"/>
  <c r="Q72" i="67"/>
  <c r="P61" i="67"/>
  <c r="Q59" i="67"/>
  <c r="K59" i="67"/>
  <c r="F59" i="67"/>
  <c r="Q58" i="67"/>
  <c r="Q51" i="67"/>
  <c r="J50" i="67"/>
  <c r="J51" i="67" s="1"/>
  <c r="M47" i="67"/>
  <c r="D46" i="67"/>
  <c r="F33" i="67"/>
  <c r="F61" i="67" s="1"/>
  <c r="F31" i="67"/>
  <c r="F23" i="67"/>
  <c r="D24" i="67" s="1"/>
  <c r="F21" i="67"/>
  <c r="F20" i="67"/>
  <c r="M19" i="67"/>
  <c r="F18" i="67"/>
  <c r="M17" i="67"/>
  <c r="F17" i="67"/>
  <c r="F15" i="67"/>
  <c r="F24" i="12"/>
  <c r="F23" i="12"/>
  <c r="F22" i="12"/>
  <c r="E20" i="12"/>
  <c r="E19" i="12"/>
  <c r="E17" i="12"/>
  <c r="F15" i="12"/>
  <c r="E14" i="12"/>
  <c r="F13" i="12"/>
  <c r="F12" i="12"/>
  <c r="K7" i="12"/>
  <c r="J7" i="12"/>
  <c r="I7" i="12"/>
  <c r="H7" i="12"/>
  <c r="G7" i="12"/>
  <c r="F7" i="12"/>
  <c r="D7" i="12"/>
  <c r="C7" i="12"/>
  <c r="C4" i="12"/>
  <c r="F38" i="69"/>
  <c r="E37" i="69"/>
  <c r="F36" i="69"/>
  <c r="F35" i="69"/>
  <c r="F21" i="69"/>
  <c r="C40" i="69" s="1"/>
  <c r="F20" i="69"/>
  <c r="F39" i="69" s="1"/>
  <c r="E10" i="69"/>
  <c r="E9" i="69"/>
  <c r="F7" i="69"/>
  <c r="C7" i="69" s="1"/>
  <c r="H1" i="69"/>
  <c r="Q72" i="79"/>
  <c r="Q59" i="79"/>
  <c r="K59" i="79"/>
  <c r="F59" i="79"/>
  <c r="Q58" i="79"/>
  <c r="Q51" i="79"/>
  <c r="J51" i="79"/>
  <c r="J50" i="79"/>
  <c r="M47" i="79"/>
  <c r="D46" i="79"/>
  <c r="F33" i="79"/>
  <c r="F61" i="79" s="1"/>
  <c r="F31" i="79"/>
  <c r="F23" i="79"/>
  <c r="D24" i="79" s="1"/>
  <c r="D23" i="79"/>
  <c r="D22" i="79"/>
  <c r="F21" i="79"/>
  <c r="F20" i="79"/>
  <c r="M19" i="79"/>
  <c r="F18" i="79"/>
  <c r="M17" i="79"/>
  <c r="F17" i="79"/>
  <c r="F15" i="79"/>
  <c r="F38" i="81"/>
  <c r="E37" i="81"/>
  <c r="F36" i="81"/>
  <c r="F35" i="81"/>
  <c r="F21" i="81"/>
  <c r="F40" i="81" s="1"/>
  <c r="F20" i="81"/>
  <c r="F39" i="81" s="1"/>
  <c r="C19" i="81"/>
  <c r="E10" i="81"/>
  <c r="E9" i="81"/>
  <c r="F7" i="81"/>
  <c r="C7" i="81"/>
  <c r="A124" i="80"/>
  <c r="A122" i="80"/>
  <c r="A120" i="80"/>
  <c r="E111" i="80"/>
  <c r="A126" i="80" s="1"/>
  <c r="E109" i="80"/>
  <c r="H109" i="80" s="1"/>
  <c r="E107" i="80"/>
  <c r="H106" i="80"/>
  <c r="H105" i="80"/>
  <c r="H104" i="80"/>
  <c r="D101" i="80"/>
  <c r="C101" i="80"/>
  <c r="C91" i="80"/>
  <c r="E90" i="80"/>
  <c r="D89" i="80"/>
  <c r="C89" i="80" s="1"/>
  <c r="C87" i="80" s="1"/>
  <c r="C92" i="80" s="1"/>
  <c r="H77" i="80"/>
  <c r="D77" i="80"/>
  <c r="C76" i="80"/>
  <c r="F59" i="80"/>
  <c r="O55" i="80" s="1"/>
  <c r="E59" i="80"/>
  <c r="N55" i="80" s="1"/>
  <c r="F56" i="80"/>
  <c r="O54" i="80" s="1"/>
  <c r="K55" i="80"/>
  <c r="J55" i="80"/>
  <c r="I55" i="80"/>
  <c r="F55" i="80"/>
  <c r="O53" i="80" s="1"/>
  <c r="N54" i="80"/>
  <c r="N53" i="80"/>
  <c r="K49" i="80"/>
  <c r="E48" i="80"/>
  <c r="N52" i="80" s="1"/>
  <c r="D48" i="80"/>
  <c r="M52" i="80" s="1"/>
  <c r="F33" i="80"/>
  <c r="C25" i="80"/>
  <c r="C24" i="80"/>
  <c r="C17" i="80"/>
  <c r="D17" i="80"/>
  <c r="L4" i="80"/>
  <c r="K4" i="80"/>
  <c r="H1" i="80"/>
  <c r="P74" i="15"/>
  <c r="Q72" i="15"/>
  <c r="P61" i="15"/>
  <c r="F61" i="15"/>
  <c r="Q59" i="15"/>
  <c r="K59" i="15"/>
  <c r="F59" i="15"/>
  <c r="Q58" i="15"/>
  <c r="Q51" i="15"/>
  <c r="J50" i="15"/>
  <c r="M47" i="15"/>
  <c r="D46" i="15"/>
  <c r="F33" i="15"/>
  <c r="F31" i="15"/>
  <c r="D24" i="15"/>
  <c r="F23" i="15"/>
  <c r="D23" i="15"/>
  <c r="D22" i="15"/>
  <c r="F21" i="15"/>
  <c r="F20" i="15"/>
  <c r="M19" i="15"/>
  <c r="F18" i="15"/>
  <c r="M17" i="15"/>
  <c r="F17" i="15"/>
  <c r="F15" i="15"/>
  <c r="B112" i="37"/>
  <c r="H40" i="37" s="1"/>
  <c r="AB40" i="37" s="1"/>
  <c r="B110" i="37"/>
  <c r="H39" i="37" s="1"/>
  <c r="AB39" i="37" s="1"/>
  <c r="B108" i="37"/>
  <c r="F38" i="37" s="1"/>
  <c r="AA38" i="37" s="1"/>
  <c r="D107" i="37"/>
  <c r="D105" i="37"/>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M99" i="37"/>
  <c r="E99" i="37"/>
  <c r="F99" i="37" s="1"/>
  <c r="G99" i="37" s="1"/>
  <c r="H99" i="37" s="1"/>
  <c r="I99" i="37" s="1"/>
  <c r="J99" i="37" s="1"/>
  <c r="K99" i="37" s="1"/>
  <c r="L99" i="37" s="1"/>
  <c r="D99" i="37"/>
  <c r="G97" i="37"/>
  <c r="F97" i="37"/>
  <c r="E97" i="37"/>
  <c r="D97" i="37"/>
  <c r="C97" i="37"/>
  <c r="G96" i="37"/>
  <c r="H96" i="37" s="1"/>
  <c r="I96" i="37" s="1"/>
  <c r="J96" i="37" s="1"/>
  <c r="K96" i="37" s="1"/>
  <c r="L96" i="37" s="1"/>
  <c r="M96" i="37" s="1"/>
  <c r="E96" i="37"/>
  <c r="F96" i="37" s="1"/>
  <c r="D96" i="37"/>
  <c r="F94" i="37"/>
  <c r="G94" i="37" s="1"/>
  <c r="H94" i="37" s="1"/>
  <c r="I94" i="37" s="1"/>
  <c r="J94" i="37" s="1"/>
  <c r="K94" i="37" s="1"/>
  <c r="L94" i="37" s="1"/>
  <c r="M94" i="37" s="1"/>
  <c r="D94" i="37"/>
  <c r="E94" i="37" s="1"/>
  <c r="M90" i="37"/>
  <c r="L90" i="37"/>
  <c r="K90" i="37"/>
  <c r="J90" i="37"/>
  <c r="I90" i="37"/>
  <c r="H90" i="37"/>
  <c r="G90" i="37"/>
  <c r="F90" i="37"/>
  <c r="E90" i="37"/>
  <c r="D90" i="37"/>
  <c r="C90" i="37"/>
  <c r="L89" i="37"/>
  <c r="M89" i="37" s="1"/>
  <c r="K89" i="37"/>
  <c r="D89" i="37"/>
  <c r="E89" i="37" s="1"/>
  <c r="F89" i="37" s="1"/>
  <c r="G89" i="37" s="1"/>
  <c r="H89" i="37" s="1"/>
  <c r="I89" i="37" s="1"/>
  <c r="J89" i="37" s="1"/>
  <c r="B86" i="37"/>
  <c r="B84" i="37"/>
  <c r="B82" i="37"/>
  <c r="J26" i="37" s="1"/>
  <c r="AC26" i="37" s="1"/>
  <c r="B80" i="37"/>
  <c r="F25" i="37" s="1"/>
  <c r="AA25" i="37" s="1"/>
  <c r="G79" i="37"/>
  <c r="F79" i="37"/>
  <c r="D79" i="37"/>
  <c r="E79" i="37" s="1"/>
  <c r="D77" i="37"/>
  <c r="E77" i="37" s="1"/>
  <c r="F77" i="37" s="1"/>
  <c r="G77" i="37" s="1"/>
  <c r="G75" i="37"/>
  <c r="D75" i="37"/>
  <c r="E75" i="37" s="1"/>
  <c r="F75" i="37" s="1"/>
  <c r="D73" i="37"/>
  <c r="E73" i="37" s="1"/>
  <c r="D71" i="37"/>
  <c r="E71" i="37" s="1"/>
  <c r="F71" i="37" s="1"/>
  <c r="G71" i="37" s="1"/>
  <c r="B68" i="37"/>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I48" i="37"/>
  <c r="J48" i="37" s="1"/>
  <c r="G48" i="37"/>
  <c r="H48" i="37" s="1"/>
  <c r="E48" i="37"/>
  <c r="F48" i="37" s="1"/>
  <c r="P43" i="37"/>
  <c r="P42" i="37"/>
  <c r="K42" i="37"/>
  <c r="V41" i="37"/>
  <c r="T41" i="37"/>
  <c r="R41" i="37"/>
  <c r="P41" i="37"/>
  <c r="AC40" i="37"/>
  <c r="Z40" i="37"/>
  <c r="U40" i="37"/>
  <c r="Q40" i="37"/>
  <c r="J40" i="37"/>
  <c r="W40" i="37" s="1"/>
  <c r="F40" i="37"/>
  <c r="AC39" i="37"/>
  <c r="Z39" i="37"/>
  <c r="W39" i="37"/>
  <c r="Q39" i="37"/>
  <c r="J39" i="37"/>
  <c r="F39" i="37"/>
  <c r="Q38" i="37"/>
  <c r="Z38" i="37" s="1"/>
  <c r="H38" i="37"/>
  <c r="AB38" i="37" s="1"/>
  <c r="Z37" i="37"/>
  <c r="U37" i="37"/>
  <c r="Q37" i="37"/>
  <c r="J37" i="37"/>
  <c r="AC37" i="37" s="1"/>
  <c r="H37" i="37"/>
  <c r="AB37" i="37" s="1"/>
  <c r="Q36" i="37"/>
  <c r="Z36" i="37" s="1"/>
  <c r="Q35" i="37"/>
  <c r="Z35" i="37" s="1"/>
  <c r="J35" i="37"/>
  <c r="W35" i="37" s="1"/>
  <c r="H35" i="37"/>
  <c r="U35" i="37" s="1"/>
  <c r="F35" i="37"/>
  <c r="AA35" i="37" s="1"/>
  <c r="AB34" i="37"/>
  <c r="W34" i="37"/>
  <c r="U34" i="37"/>
  <c r="S34" i="37"/>
  <c r="Q34" i="37"/>
  <c r="Z34" i="37" s="1"/>
  <c r="J34" i="37"/>
  <c r="AC34" i="37" s="1"/>
  <c r="H34" i="37"/>
  <c r="F34" i="37"/>
  <c r="AA34" i="37" s="1"/>
  <c r="Q33" i="37"/>
  <c r="Z33" i="37" s="1"/>
  <c r="C33" i="37"/>
  <c r="J33" i="37" s="1"/>
  <c r="S32" i="37"/>
  <c r="Q32" i="37"/>
  <c r="Z32" i="37" s="1"/>
  <c r="J32" i="37"/>
  <c r="AC32" i="37" s="1"/>
  <c r="H32" i="37"/>
  <c r="AB32" i="37" s="1"/>
  <c r="F32" i="37"/>
  <c r="AA32" i="37" s="1"/>
  <c r="Z31" i="37"/>
  <c r="W31" i="37"/>
  <c r="U31" i="37"/>
  <c r="S31" i="37"/>
  <c r="Q31" i="37"/>
  <c r="J31" i="37"/>
  <c r="AC31" i="37" s="1"/>
  <c r="H31" i="37"/>
  <c r="AB31" i="37" s="1"/>
  <c r="F31" i="37"/>
  <c r="AA31" i="37" s="1"/>
  <c r="Q30" i="37"/>
  <c r="Z30" i="37" s="1"/>
  <c r="U29" i="37"/>
  <c r="S29" i="37"/>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H26" i="37"/>
  <c r="AB26" i="37" s="1"/>
  <c r="F26" i="37"/>
  <c r="AA26" i="37" s="1"/>
  <c r="Q25" i="37"/>
  <c r="Z25" i="37" s="1"/>
  <c r="J25" i="37"/>
  <c r="AC25" i="37" s="1"/>
  <c r="H25" i="37"/>
  <c r="AB25" i="37" s="1"/>
  <c r="Z23" i="37"/>
  <c r="W23" i="37"/>
  <c r="U23" i="37"/>
  <c r="S23" i="37"/>
  <c r="Q23" i="37"/>
  <c r="J23" i="37"/>
  <c r="AC23" i="37" s="1"/>
  <c r="H23" i="37"/>
  <c r="AB23" i="37" s="1"/>
  <c r="F23" i="37"/>
  <c r="AA23" i="37" s="1"/>
  <c r="C23" i="37"/>
  <c r="Q21" i="37"/>
  <c r="Z21" i="37" s="1"/>
  <c r="J21" i="37"/>
  <c r="AC21" i="37" s="1"/>
  <c r="H21" i="37"/>
  <c r="U21" i="37" s="1"/>
  <c r="F21" i="37"/>
  <c r="AA21" i="37" s="1"/>
  <c r="C21" i="37"/>
  <c r="Q19" i="37"/>
  <c r="Z19" i="37" s="1"/>
  <c r="J19" i="37"/>
  <c r="C19" i="37"/>
  <c r="Z17" i="37"/>
  <c r="Q17" i="37"/>
  <c r="C17" i="37"/>
  <c r="Q15" i="37"/>
  <c r="Z15" i="37" s="1"/>
  <c r="J15" i="37"/>
  <c r="AC15" i="37" s="1"/>
  <c r="H15" i="37"/>
  <c r="AB15" i="37" s="1"/>
  <c r="F15" i="37"/>
  <c r="AA15" i="37" s="1"/>
  <c r="C15" i="37"/>
  <c r="Q14" i="37"/>
  <c r="Z14" i="37" s="1"/>
  <c r="J14" i="37"/>
  <c r="AC14" i="37" s="1"/>
  <c r="H14" i="37"/>
  <c r="AB14" i="37" s="1"/>
  <c r="F14" i="37"/>
  <c r="AA14" i="37" s="1"/>
  <c r="Q13" i="37"/>
  <c r="Z13" i="37" s="1"/>
  <c r="F13" i="37"/>
  <c r="AA13" i="37" s="1"/>
  <c r="Q12" i="37"/>
  <c r="Z12" i="37" s="1"/>
  <c r="Q11" i="37"/>
  <c r="Z11" i="37" s="1"/>
  <c r="J11" i="37"/>
  <c r="AC11" i="37" s="1"/>
  <c r="H11" i="37"/>
  <c r="AB11" i="37" s="1"/>
  <c r="F11" i="37"/>
  <c r="AA11" i="37" s="1"/>
  <c r="Q10" i="37"/>
  <c r="Z10" i="37" s="1"/>
  <c r="AC9" i="37"/>
  <c r="Z9" i="37"/>
  <c r="Q9" i="37"/>
  <c r="J9" i="37"/>
  <c r="W9" i="37" s="1"/>
  <c r="H9" i="37"/>
  <c r="AB9" i="37" s="1"/>
  <c r="F9" i="37"/>
  <c r="S9" i="37" s="1"/>
  <c r="AC8" i="37"/>
  <c r="W8" i="37"/>
  <c r="S8" i="37"/>
  <c r="J8" i="37"/>
  <c r="H8" i="37"/>
  <c r="AB8" i="37" s="1"/>
  <c r="F8" i="37"/>
  <c r="AA8" i="37" s="1"/>
  <c r="F38" i="68"/>
  <c r="E37" i="68"/>
  <c r="F36" i="68"/>
  <c r="F35" i="68"/>
  <c r="F21" i="68"/>
  <c r="F40" i="68" s="1"/>
  <c r="F20" i="68"/>
  <c r="F39" i="68" s="1"/>
  <c r="C19" i="68"/>
  <c r="E10" i="68"/>
  <c r="E9" i="68"/>
  <c r="F7" i="68"/>
  <c r="C7" i="68"/>
  <c r="A122" i="9"/>
  <c r="A120" i="9"/>
  <c r="E111" i="9"/>
  <c r="A126" i="9" s="1"/>
  <c r="E109" i="9"/>
  <c r="E107" i="9"/>
  <c r="H106" i="9"/>
  <c r="H105" i="9"/>
  <c r="H104" i="9"/>
  <c r="H103" i="9"/>
  <c r="D120" i="9" s="1"/>
  <c r="K120" i="9" s="1"/>
  <c r="D101" i="9"/>
  <c r="C101" i="9"/>
  <c r="E90" i="9"/>
  <c r="D89" i="9"/>
  <c r="C89" i="9" s="1"/>
  <c r="C87" i="9" s="1"/>
  <c r="H77" i="9"/>
  <c r="D77" i="9"/>
  <c r="C76" i="9"/>
  <c r="F59" i="9"/>
  <c r="O55" i="9" s="1"/>
  <c r="E59" i="9"/>
  <c r="D59" i="9"/>
  <c r="F56" i="9"/>
  <c r="N55" i="9"/>
  <c r="M55" i="9"/>
  <c r="K55" i="9"/>
  <c r="J55" i="9"/>
  <c r="I55" i="9"/>
  <c r="F55" i="9"/>
  <c r="O53" i="9" s="1"/>
  <c r="O54" i="9"/>
  <c r="N54" i="9"/>
  <c r="N53" i="9"/>
  <c r="N52" i="9"/>
  <c r="K49" i="9"/>
  <c r="E48" i="9"/>
  <c r="F33" i="9"/>
  <c r="C25" i="9"/>
  <c r="C24" i="9"/>
  <c r="C17" i="9"/>
  <c r="D17" i="9"/>
  <c r="L4" i="9"/>
  <c r="K4" i="9"/>
  <c r="H1" i="9"/>
  <c r="F23" i="74"/>
  <c r="E23" i="74"/>
  <c r="F22" i="74"/>
  <c r="E22" i="74"/>
  <c r="F21" i="74"/>
  <c r="E21" i="74"/>
  <c r="F20" i="74"/>
  <c r="E20" i="74"/>
  <c r="F19" i="74"/>
  <c r="E19" i="74"/>
  <c r="F18" i="74"/>
  <c r="E18" i="74"/>
  <c r="F17" i="74"/>
  <c r="E17" i="74"/>
  <c r="C24" i="20"/>
  <c r="C22" i="20"/>
  <c r="C21" i="20"/>
  <c r="G20" i="20"/>
  <c r="C20" i="20"/>
  <c r="G19" i="20"/>
  <c r="G18" i="20"/>
  <c r="C18" i="20"/>
  <c r="C17" i="20"/>
  <c r="G16" i="20"/>
  <c r="B82" i="43" s="1"/>
  <c r="C16" i="20"/>
  <c r="C17" i="39" s="1"/>
  <c r="G15" i="20"/>
  <c r="B81" i="43" s="1"/>
  <c r="C15" i="20"/>
  <c r="B70" i="43" s="1"/>
  <c r="B52" i="1"/>
  <c r="F34" i="67" s="1"/>
  <c r="F62" i="67" s="1"/>
  <c r="B43" i="1"/>
  <c r="D93" i="80" s="1"/>
  <c r="B31" i="1"/>
  <c r="E19" i="83" s="1"/>
  <c r="B24" i="1"/>
  <c r="B23" i="1"/>
  <c r="B22" i="1"/>
  <c r="G22" i="11" s="1"/>
  <c r="P14" i="1"/>
  <c r="O14" i="1"/>
  <c r="AP13" i="1"/>
  <c r="AG13" i="1"/>
  <c r="AE13" i="1"/>
  <c r="P13" i="1"/>
  <c r="O13" i="1"/>
  <c r="K13" i="1"/>
  <c r="M13" i="1" s="1"/>
  <c r="F13" i="1"/>
  <c r="D13" i="1"/>
  <c r="A13" i="1"/>
  <c r="S13" i="1" s="1"/>
  <c r="AR13" i="1" s="1"/>
  <c r="AP12" i="1"/>
  <c r="AG12" i="1"/>
  <c r="AE12" i="1"/>
  <c r="R12" i="1"/>
  <c r="P12" i="1"/>
  <c r="O12" i="1"/>
  <c r="F12" i="1"/>
  <c r="D12" i="1"/>
  <c r="A12" i="1"/>
  <c r="AP11" i="1"/>
  <c r="AG11" i="1"/>
  <c r="AE11" i="1"/>
  <c r="P11" i="1"/>
  <c r="O11" i="1"/>
  <c r="K11" i="1"/>
  <c r="M11" i="1" s="1"/>
  <c r="F11" i="1"/>
  <c r="G11" i="1" s="1"/>
  <c r="D11" i="1"/>
  <c r="A11" i="1"/>
  <c r="R11" i="1" s="1"/>
  <c r="AP10" i="1"/>
  <c r="AG10" i="1"/>
  <c r="AE10" i="1"/>
  <c r="S10" i="1"/>
  <c r="AQ10" i="1" s="1"/>
  <c r="P10" i="1"/>
  <c r="O10" i="1"/>
  <c r="K10" i="1"/>
  <c r="M10" i="1" s="1"/>
  <c r="F10" i="1"/>
  <c r="G10" i="1" s="1"/>
  <c r="D10" i="1"/>
  <c r="B10" i="1"/>
  <c r="E10" i="1" s="1"/>
  <c r="A10" i="1"/>
  <c r="R10" i="1" s="1"/>
  <c r="AP9" i="1"/>
  <c r="AG9" i="1"/>
  <c r="AE9" i="1"/>
  <c r="S9" i="1"/>
  <c r="AR9" i="1" s="1"/>
  <c r="P9" i="1"/>
  <c r="O9" i="1"/>
  <c r="F9" i="1"/>
  <c r="D9" i="1"/>
  <c r="B9" i="1"/>
  <c r="E9" i="1" s="1"/>
  <c r="A9" i="1"/>
  <c r="R9" i="1" s="1"/>
  <c r="AP8" i="1"/>
  <c r="AG8" i="1"/>
  <c r="AE8" i="1"/>
  <c r="P8" i="1"/>
  <c r="O8" i="1"/>
  <c r="F8" i="1"/>
  <c r="G8" i="1" s="1"/>
  <c r="D8" i="1"/>
  <c r="A8" i="1"/>
  <c r="K8" i="1" s="1"/>
  <c r="M8" i="1" s="1"/>
  <c r="AP7" i="1"/>
  <c r="AG7" i="1"/>
  <c r="P7" i="1"/>
  <c r="O7" i="1"/>
  <c r="D7" i="1"/>
  <c r="A7" i="1"/>
  <c r="B7" i="1" s="1"/>
  <c r="E7" i="1" s="1"/>
  <c r="AP6" i="1"/>
  <c r="AG6" i="1"/>
  <c r="Y6" i="1"/>
  <c r="P6" i="1"/>
  <c r="O6" i="1"/>
  <c r="D6" i="1"/>
  <c r="A6" i="1"/>
  <c r="T4" i="1"/>
  <c r="E32" i="6"/>
  <c r="O27" i="6"/>
  <c r="N27" i="6"/>
  <c r="P26" i="6"/>
  <c r="L26" i="6"/>
  <c r="E26" i="6"/>
  <c r="P25" i="6"/>
  <c r="L25" i="6"/>
  <c r="E25" i="6"/>
  <c r="P24" i="6"/>
  <c r="L24" i="6"/>
  <c r="E24" i="6"/>
  <c r="P23" i="6"/>
  <c r="L23" i="6"/>
  <c r="E23" i="6"/>
  <c r="P22" i="6"/>
  <c r="L22" i="6"/>
  <c r="E22" i="6"/>
  <c r="P21" i="6"/>
  <c r="P27" i="6" s="1"/>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BA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s="1"/>
  <c r="AZ585" i="3" s="1"/>
  <c r="AX585" i="3"/>
  <c r="AW585" i="3"/>
  <c r="AV585" i="3"/>
  <c r="AC585" i="3"/>
  <c r="G585" i="3" s="1"/>
  <c r="H585" i="3"/>
  <c r="BT584" i="3"/>
  <c r="BS584" i="3"/>
  <c r="BR584" i="3"/>
  <c r="BQ584" i="3"/>
  <c r="BP584" i="3"/>
  <c r="BO584" i="3"/>
  <c r="BL584" i="3" s="1"/>
  <c r="BN584" i="3"/>
  <c r="BM584" i="3"/>
  <c r="BK584" i="3"/>
  <c r="BJ584" i="3"/>
  <c r="BI584" i="3"/>
  <c r="BH584" i="3"/>
  <c r="BG584" i="3"/>
  <c r="BF584" i="3"/>
  <c r="BE584" i="3"/>
  <c r="BD584" i="3"/>
  <c r="BA584" i="3" s="1"/>
  <c r="AZ584" i="3" s="1"/>
  <c r="BC584" i="3"/>
  <c r="BB584" i="3"/>
  <c r="AX584" i="3"/>
  <c r="AW584" i="3"/>
  <c r="AV584" i="3"/>
  <c r="AC584" i="3"/>
  <c r="G584" i="3" s="1"/>
  <c r="H584" i="3"/>
  <c r="BT583" i="3"/>
  <c r="BS583" i="3"/>
  <c r="BR583" i="3"/>
  <c r="BQ583" i="3"/>
  <c r="BP583" i="3"/>
  <c r="BO583" i="3"/>
  <c r="BN583" i="3"/>
  <c r="BM583" i="3"/>
  <c r="BK583" i="3"/>
  <c r="BJ583" i="3"/>
  <c r="BI583" i="3"/>
  <c r="BH583" i="3"/>
  <c r="BG583" i="3"/>
  <c r="BF583" i="3"/>
  <c r="BE583" i="3"/>
  <c r="BD583" i="3"/>
  <c r="BC583" i="3"/>
  <c r="BB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B582" i="3"/>
  <c r="BA582" i="3" s="1"/>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G577" i="3" s="1"/>
  <c r="H577" i="3"/>
  <c r="BT576" i="3"/>
  <c r="BS576" i="3"/>
  <c r="BR576" i="3"/>
  <c r="BQ576" i="3"/>
  <c r="BP576" i="3"/>
  <c r="BO576" i="3"/>
  <c r="BN576" i="3"/>
  <c r="BM576" i="3"/>
  <c r="BL576" i="3"/>
  <c r="BK576" i="3"/>
  <c r="BJ576" i="3"/>
  <c r="BI576" i="3"/>
  <c r="BH576" i="3"/>
  <c r="BG576" i="3"/>
  <c r="BF576" i="3"/>
  <c r="BE576" i="3"/>
  <c r="BD576" i="3"/>
  <c r="BA576" i="3" s="1"/>
  <c r="AZ576" i="3" s="1"/>
  <c r="BC576" i="3"/>
  <c r="BB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s="1"/>
  <c r="BT571" i="3"/>
  <c r="BS571" i="3"/>
  <c r="BL571" i="3" s="1"/>
  <c r="BR571" i="3"/>
  <c r="BQ571" i="3"/>
  <c r="BP571" i="3"/>
  <c r="BO571" i="3"/>
  <c r="BN571" i="3"/>
  <c r="BM571" i="3"/>
  <c r="BK571" i="3"/>
  <c r="BJ571" i="3"/>
  <c r="BI571" i="3"/>
  <c r="BH571" i="3"/>
  <c r="BG571" i="3"/>
  <c r="BF571" i="3"/>
  <c r="BE571" i="3"/>
  <c r="BD571" i="3"/>
  <c r="BC571" i="3"/>
  <c r="BA571" i="3" s="1"/>
  <c r="AZ571" i="3" s="1"/>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G569" i="3" s="1"/>
  <c r="H569" i="3"/>
  <c r="BT568" i="3"/>
  <c r="BS568" i="3"/>
  <c r="BR568" i="3"/>
  <c r="BQ568" i="3"/>
  <c r="BP568" i="3"/>
  <c r="BO568" i="3"/>
  <c r="BN568" i="3"/>
  <c r="BL568" i="3" s="1"/>
  <c r="BM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c r="BT565" i="3"/>
  <c r="BS565" i="3"/>
  <c r="BR565" i="3"/>
  <c r="BQ565" i="3"/>
  <c r="BP565" i="3"/>
  <c r="BO565" i="3"/>
  <c r="BN565" i="3"/>
  <c r="BM565" i="3"/>
  <c r="BL565" i="3" s="1"/>
  <c r="BK565" i="3"/>
  <c r="BJ565" i="3"/>
  <c r="BI565" i="3"/>
  <c r="BH565" i="3"/>
  <c r="BG565" i="3"/>
  <c r="BF565" i="3"/>
  <c r="BE565" i="3"/>
  <c r="BA565" i="3" s="1"/>
  <c r="BD565" i="3"/>
  <c r="BC565" i="3"/>
  <c r="BB565" i="3"/>
  <c r="AX565" i="3"/>
  <c r="AW565" i="3"/>
  <c r="AV565" i="3"/>
  <c r="AC565" i="3"/>
  <c r="H565" i="3"/>
  <c r="G565" i="3"/>
  <c r="BT564" i="3"/>
  <c r="BS564" i="3"/>
  <c r="BR564" i="3"/>
  <c r="BQ564" i="3"/>
  <c r="BP564" i="3"/>
  <c r="BL564" i="3" s="1"/>
  <c r="BO564" i="3"/>
  <c r="BN564" i="3"/>
  <c r="BM564" i="3"/>
  <c r="BK564" i="3"/>
  <c r="BJ564" i="3"/>
  <c r="BI564" i="3"/>
  <c r="BH564" i="3"/>
  <c r="BG564" i="3"/>
  <c r="BF564" i="3"/>
  <c r="BE564" i="3"/>
  <c r="BD564" i="3"/>
  <c r="BC564" i="3"/>
  <c r="BA564" i="3" s="1"/>
  <c r="BB564" i="3"/>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A563" i="3" s="1"/>
  <c r="BB563" i="3"/>
  <c r="AZ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L554" i="3" s="1"/>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A552" i="3" s="1"/>
  <c r="AZ552" i="3" s="1"/>
  <c r="BC552" i="3"/>
  <c r="BB552" i="3"/>
  <c r="AX552" i="3"/>
  <c r="AW552" i="3"/>
  <c r="AV552" i="3"/>
  <c r="AC552" i="3"/>
  <c r="G552" i="3" s="1"/>
  <c r="H552" i="3"/>
  <c r="BT551" i="3"/>
  <c r="BS551" i="3"/>
  <c r="BR551" i="3"/>
  <c r="BQ551" i="3"/>
  <c r="BP551" i="3"/>
  <c r="BO551" i="3"/>
  <c r="BL551" i="3" s="1"/>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A547" i="3" s="1"/>
  <c r="BG547" i="3"/>
  <c r="BF547" i="3"/>
  <c r="BE547" i="3"/>
  <c r="BD547" i="3"/>
  <c r="BC547" i="3"/>
  <c r="BB547" i="3"/>
  <c r="AX547" i="3"/>
  <c r="AW547" i="3"/>
  <c r="AV547" i="3"/>
  <c r="AC547" i="3"/>
  <c r="H547" i="3"/>
  <c r="G547" i="3" s="1"/>
  <c r="BT546" i="3"/>
  <c r="BS546" i="3"/>
  <c r="BR546" i="3"/>
  <c r="BL546" i="3" s="1"/>
  <c r="BQ546" i="3"/>
  <c r="BP546" i="3"/>
  <c r="BO546" i="3"/>
  <c r="BN546" i="3"/>
  <c r="BM546" i="3"/>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G545" i="3" s="1"/>
  <c r="H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G544" i="3" s="1"/>
  <c r="H544" i="3"/>
  <c r="BT543" i="3"/>
  <c r="BS543" i="3"/>
  <c r="BR543" i="3"/>
  <c r="BL543" i="3" s="1"/>
  <c r="BQ543" i="3"/>
  <c r="BP543" i="3"/>
  <c r="BO543" i="3"/>
  <c r="BN543" i="3"/>
  <c r="BM543" i="3"/>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A538" i="3" s="1"/>
  <c r="BF538" i="3"/>
  <c r="BE538" i="3"/>
  <c r="BD538" i="3"/>
  <c r="BC538" i="3"/>
  <c r="BB538" i="3"/>
  <c r="AX538" i="3"/>
  <c r="AW538" i="3"/>
  <c r="AV538" i="3"/>
  <c r="AC538" i="3"/>
  <c r="G538" i="3" s="1"/>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G531" i="3" s="1"/>
  <c r="H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G530" i="3" s="1"/>
  <c r="H530" i="3"/>
  <c r="BT529" i="3"/>
  <c r="BS529" i="3"/>
  <c r="BR529" i="3"/>
  <c r="BL529" i="3" s="1"/>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A527" i="3" s="1"/>
  <c r="BG527" i="3"/>
  <c r="BF527" i="3"/>
  <c r="BE527" i="3"/>
  <c r="BD527" i="3"/>
  <c r="BC527" i="3"/>
  <c r="BB527" i="3"/>
  <c r="AX527" i="3"/>
  <c r="AW527" i="3"/>
  <c r="AV527" i="3"/>
  <c r="AC527" i="3"/>
  <c r="H527" i="3"/>
  <c r="G527" i="3"/>
  <c r="BT526" i="3"/>
  <c r="BS526" i="3"/>
  <c r="BL526" i="3" s="1"/>
  <c r="BR526" i="3"/>
  <c r="BQ526" i="3"/>
  <c r="BP526" i="3"/>
  <c r="BO526" i="3"/>
  <c r="BN526" i="3"/>
  <c r="BM526" i="3"/>
  <c r="BK526" i="3"/>
  <c r="BJ526" i="3"/>
  <c r="BI526" i="3"/>
  <c r="BH526" i="3"/>
  <c r="BG526" i="3"/>
  <c r="BF526" i="3"/>
  <c r="BE526" i="3"/>
  <c r="BD526" i="3"/>
  <c r="BC526" i="3"/>
  <c r="BA526" i="3" s="1"/>
  <c r="BB526" i="3"/>
  <c r="AX526" i="3"/>
  <c r="AW526" i="3"/>
  <c r="AV526" i="3"/>
  <c r="AC526" i="3"/>
  <c r="H526" i="3"/>
  <c r="G526" i="3" s="1"/>
  <c r="BT525" i="3"/>
  <c r="BS525" i="3"/>
  <c r="BR525" i="3"/>
  <c r="BQ525" i="3"/>
  <c r="BP525" i="3"/>
  <c r="BO525" i="3"/>
  <c r="BN525" i="3"/>
  <c r="BL525" i="3" s="1"/>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G522" i="3" s="1"/>
  <c r="H522" i="3"/>
  <c r="BT521" i="3"/>
  <c r="BS521" i="3"/>
  <c r="BR521" i="3"/>
  <c r="BL521" i="3" s="1"/>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A519" i="3" s="1"/>
  <c r="BG519" i="3"/>
  <c r="BF519" i="3"/>
  <c r="BE519" i="3"/>
  <c r="BD519" i="3"/>
  <c r="BC519" i="3"/>
  <c r="BB519" i="3"/>
  <c r="AX519" i="3"/>
  <c r="AW519" i="3"/>
  <c r="AV519" i="3"/>
  <c r="AC519" i="3"/>
  <c r="H519" i="3"/>
  <c r="G519" i="3"/>
  <c r="BT518" i="3"/>
  <c r="BS518" i="3"/>
  <c r="BL518" i="3" s="1"/>
  <c r="BR518" i="3"/>
  <c r="BQ518" i="3"/>
  <c r="BP518" i="3"/>
  <c r="BO518" i="3"/>
  <c r="BN518" i="3"/>
  <c r="BM518" i="3"/>
  <c r="BK518" i="3"/>
  <c r="BJ518" i="3"/>
  <c r="BI518" i="3"/>
  <c r="BH518" i="3"/>
  <c r="BG518" i="3"/>
  <c r="BF518" i="3"/>
  <c r="BE518" i="3"/>
  <c r="BD518" i="3"/>
  <c r="BC518" i="3"/>
  <c r="BA518" i="3" s="1"/>
  <c r="BB518" i="3"/>
  <c r="AX518" i="3"/>
  <c r="AW518" i="3"/>
  <c r="AV518" i="3"/>
  <c r="AC518" i="3"/>
  <c r="H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B514" i="3"/>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K506" i="3"/>
  <c r="BJ506" i="3"/>
  <c r="BI506" i="3"/>
  <c r="BH506" i="3"/>
  <c r="BG506" i="3"/>
  <c r="BA506" i="3" s="1"/>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A498" i="3" s="1"/>
  <c r="BF498" i="3"/>
  <c r="BE498" i="3"/>
  <c r="BD498" i="3"/>
  <c r="BC498" i="3"/>
  <c r="BB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G490" i="3" s="1"/>
  <c r="H490" i="3"/>
  <c r="BT489" i="3"/>
  <c r="BS489" i="3"/>
  <c r="BR489" i="3"/>
  <c r="BL489" i="3" s="1"/>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G487" i="3"/>
  <c r="BT486" i="3"/>
  <c r="BS486" i="3"/>
  <c r="BL486" i="3" s="1"/>
  <c r="BR486" i="3"/>
  <c r="BQ486" i="3"/>
  <c r="BP486" i="3"/>
  <c r="BO486" i="3"/>
  <c r="BN486" i="3"/>
  <c r="BM486" i="3"/>
  <c r="BK486" i="3"/>
  <c r="BJ486" i="3"/>
  <c r="BI486" i="3"/>
  <c r="BH486" i="3"/>
  <c r="BG486" i="3"/>
  <c r="BF486" i="3"/>
  <c r="BE486" i="3"/>
  <c r="BD486" i="3"/>
  <c r="BC486" i="3"/>
  <c r="BA486" i="3" s="1"/>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A482" i="3" s="1"/>
  <c r="BF482" i="3"/>
  <c r="BE482" i="3"/>
  <c r="BD482" i="3"/>
  <c r="BC482" i="3"/>
  <c r="BB482" i="3"/>
  <c r="AX482" i="3"/>
  <c r="AW482" i="3"/>
  <c r="AV482" i="3"/>
  <c r="AC482" i="3"/>
  <c r="G482" i="3" s="1"/>
  <c r="H482" i="3"/>
  <c r="BT481" i="3"/>
  <c r="BS481" i="3"/>
  <c r="BR481" i="3"/>
  <c r="BL481" i="3" s="1"/>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A479" i="3" s="1"/>
  <c r="BG479" i="3"/>
  <c r="BF479" i="3"/>
  <c r="BE479" i="3"/>
  <c r="BD479" i="3"/>
  <c r="BC479" i="3"/>
  <c r="BB479" i="3"/>
  <c r="AX479" i="3"/>
  <c r="AW479" i="3"/>
  <c r="AV479" i="3"/>
  <c r="AC479" i="3"/>
  <c r="H479" i="3"/>
  <c r="G479" i="3"/>
  <c r="BT478" i="3"/>
  <c r="BS478" i="3"/>
  <c r="BL478" i="3" s="1"/>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A474" i="3" s="1"/>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L465" i="3" s="1"/>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H463" i="3"/>
  <c r="G463" i="3"/>
  <c r="BT462" i="3"/>
  <c r="BS462" i="3"/>
  <c r="BL462" i="3" s="1"/>
  <c r="BR462" i="3"/>
  <c r="BQ462" i="3"/>
  <c r="BP462" i="3"/>
  <c r="BO462" i="3"/>
  <c r="BN462" i="3"/>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L457" i="3" s="1"/>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A455" i="3" s="1"/>
  <c r="AZ455" i="3" s="1"/>
  <c r="BG455" i="3"/>
  <c r="BF455" i="3"/>
  <c r="BE455" i="3"/>
  <c r="BD455" i="3"/>
  <c r="BC455" i="3"/>
  <c r="BB455" i="3"/>
  <c r="AX455" i="3"/>
  <c r="AW455" i="3"/>
  <c r="AV455" i="3"/>
  <c r="AC455" i="3"/>
  <c r="H455" i="3"/>
  <c r="G455" i="3"/>
  <c r="BT454" i="3"/>
  <c r="BS454" i="3"/>
  <c r="BL454" i="3" s="1"/>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A442" i="3" s="1"/>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G426" i="3" s="1"/>
  <c r="H426" i="3"/>
  <c r="BT425" i="3"/>
  <c r="BS425" i="3"/>
  <c r="BR425" i="3"/>
  <c r="BL425" i="3" s="1"/>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A423" i="3" s="1"/>
  <c r="BG423" i="3"/>
  <c r="BF423" i="3"/>
  <c r="BE423" i="3"/>
  <c r="BD423" i="3"/>
  <c r="BC423" i="3"/>
  <c r="BB423" i="3"/>
  <c r="AX423" i="3"/>
  <c r="AW423" i="3"/>
  <c r="AV423" i="3"/>
  <c r="AC423" i="3"/>
  <c r="H423" i="3"/>
  <c r="G423" i="3"/>
  <c r="BT422" i="3"/>
  <c r="BS422" i="3"/>
  <c r="BL422" i="3" s="1"/>
  <c r="BR422" i="3"/>
  <c r="BQ422" i="3"/>
  <c r="BP422" i="3"/>
  <c r="BO422" i="3"/>
  <c r="BN422" i="3"/>
  <c r="BM422" i="3"/>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A418" i="3" s="1"/>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A415" i="3" s="1"/>
  <c r="BG415" i="3"/>
  <c r="BF415" i="3"/>
  <c r="BE415" i="3"/>
  <c r="BD415" i="3"/>
  <c r="BC415" i="3"/>
  <c r="BB415" i="3"/>
  <c r="AX415" i="3"/>
  <c r="AW415" i="3"/>
  <c r="AV415" i="3"/>
  <c r="AC415" i="3"/>
  <c r="H415" i="3"/>
  <c r="G415" i="3"/>
  <c r="BT414" i="3"/>
  <c r="BS414" i="3"/>
  <c r="BL414" i="3" s="1"/>
  <c r="BR414" i="3"/>
  <c r="BQ414" i="3"/>
  <c r="BP414" i="3"/>
  <c r="BO414" i="3"/>
  <c r="BN414" i="3"/>
  <c r="BM414" i="3"/>
  <c r="BK414" i="3"/>
  <c r="BJ414" i="3"/>
  <c r="BI414" i="3"/>
  <c r="BH414" i="3"/>
  <c r="BG414" i="3"/>
  <c r="BF414" i="3"/>
  <c r="BE414" i="3"/>
  <c r="BD414" i="3"/>
  <c r="BC414" i="3"/>
  <c r="BA414" i="3" s="1"/>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A410" i="3" s="1"/>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L401" i="3" s="1"/>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A399" i="3" s="1"/>
  <c r="BG399" i="3"/>
  <c r="BF399" i="3"/>
  <c r="BE399" i="3"/>
  <c r="BD399" i="3"/>
  <c r="BC399" i="3"/>
  <c r="BB399" i="3"/>
  <c r="AX399" i="3"/>
  <c r="AW399" i="3"/>
  <c r="AV399" i="3"/>
  <c r="AC399" i="3"/>
  <c r="H399" i="3"/>
  <c r="G399" i="3"/>
  <c r="BT398" i="3"/>
  <c r="BS398" i="3"/>
  <c r="BL398" i="3" s="1"/>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G394" i="3" s="1"/>
  <c r="H394" i="3"/>
  <c r="BT393" i="3"/>
  <c r="BS393" i="3"/>
  <c r="BR393" i="3"/>
  <c r="BL393" i="3" s="1"/>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A391" i="3" s="1"/>
  <c r="AZ391" i="3" s="1"/>
  <c r="BG391" i="3"/>
  <c r="BF391" i="3"/>
  <c r="BE391" i="3"/>
  <c r="BD391" i="3"/>
  <c r="BC391" i="3"/>
  <c r="BB391" i="3"/>
  <c r="AX391" i="3"/>
  <c r="AW391" i="3"/>
  <c r="AV391" i="3"/>
  <c r="AC391" i="3"/>
  <c r="H391" i="3"/>
  <c r="G391" i="3"/>
  <c r="BT390" i="3"/>
  <c r="BS390" i="3"/>
  <c r="BL390" i="3" s="1"/>
  <c r="BR390" i="3"/>
  <c r="BQ390" i="3"/>
  <c r="BP390" i="3"/>
  <c r="BO390" i="3"/>
  <c r="BN390" i="3"/>
  <c r="BM390" i="3"/>
  <c r="BK390" i="3"/>
  <c r="BJ390" i="3"/>
  <c r="BI390" i="3"/>
  <c r="BH390" i="3"/>
  <c r="BG390" i="3"/>
  <c r="BF390" i="3"/>
  <c r="BE390" i="3"/>
  <c r="BD390" i="3"/>
  <c r="BC390" i="3"/>
  <c r="BA390" i="3" s="1"/>
  <c r="BB390" i="3"/>
  <c r="AX390" i="3"/>
  <c r="AW390" i="3"/>
  <c r="AV390" i="3"/>
  <c r="AC390" i="3"/>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A378" i="3" s="1"/>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L373" i="3" s="1"/>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G371" i="3" s="1"/>
  <c r="H371" i="3"/>
  <c r="BT370" i="3"/>
  <c r="BS370" i="3"/>
  <c r="BR370" i="3"/>
  <c r="BQ370" i="3"/>
  <c r="BP370" i="3"/>
  <c r="BO370" i="3"/>
  <c r="BN370" i="3"/>
  <c r="BM370" i="3"/>
  <c r="BK370" i="3"/>
  <c r="BJ370" i="3"/>
  <c r="BI370" i="3"/>
  <c r="BH370" i="3"/>
  <c r="BG370" i="3"/>
  <c r="BA370" i="3" s="1"/>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L361" i="3" s="1"/>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A359" i="3" s="1"/>
  <c r="BG359" i="3"/>
  <c r="BF359" i="3"/>
  <c r="BE359" i="3"/>
  <c r="BD359" i="3"/>
  <c r="BC359" i="3"/>
  <c r="BB359" i="3"/>
  <c r="AX359" i="3"/>
  <c r="AW359" i="3"/>
  <c r="AV359" i="3"/>
  <c r="AC359" i="3"/>
  <c r="H359" i="3"/>
  <c r="G359" i="3"/>
  <c r="BT358" i="3"/>
  <c r="BS358" i="3"/>
  <c r="BL358" i="3" s="1"/>
  <c r="BR358" i="3"/>
  <c r="BQ358" i="3"/>
  <c r="BP358" i="3"/>
  <c r="BO358" i="3"/>
  <c r="BN358" i="3"/>
  <c r="BM358" i="3"/>
  <c r="BK358" i="3"/>
  <c r="BJ358" i="3"/>
  <c r="BI358" i="3"/>
  <c r="BH358" i="3"/>
  <c r="BG358" i="3"/>
  <c r="BF358" i="3"/>
  <c r="BE358" i="3"/>
  <c r="BD358" i="3"/>
  <c r="BC358" i="3"/>
  <c r="BA358" i="3" s="1"/>
  <c r="AZ358" i="3" s="1"/>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G355" i="3" s="1"/>
  <c r="H355" i="3"/>
  <c r="BT354" i="3"/>
  <c r="BS354" i="3"/>
  <c r="BR354" i="3"/>
  <c r="BQ354" i="3"/>
  <c r="BP354" i="3"/>
  <c r="BO354" i="3"/>
  <c r="BN354" i="3"/>
  <c r="BM354" i="3"/>
  <c r="BK354" i="3"/>
  <c r="BJ354" i="3"/>
  <c r="BI354" i="3"/>
  <c r="BH354" i="3"/>
  <c r="BG354" i="3"/>
  <c r="BA354" i="3" s="1"/>
  <c r="BF354" i="3"/>
  <c r="BE354" i="3"/>
  <c r="BD354" i="3"/>
  <c r="BC354" i="3"/>
  <c r="BB354" i="3"/>
  <c r="AX354" i="3"/>
  <c r="AW354" i="3"/>
  <c r="AV354" i="3"/>
  <c r="AC354" i="3"/>
  <c r="G354" i="3" s="1"/>
  <c r="H354" i="3"/>
  <c r="BT353" i="3"/>
  <c r="BS353" i="3"/>
  <c r="BR353" i="3"/>
  <c r="BL353" i="3" s="1"/>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A346" i="3" s="1"/>
  <c r="BF346" i="3"/>
  <c r="BE346" i="3"/>
  <c r="BD346" i="3"/>
  <c r="BC346" i="3"/>
  <c r="BB346" i="3"/>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G338" i="3" s="1"/>
  <c r="H338" i="3"/>
  <c r="BT337" i="3"/>
  <c r="BS337" i="3"/>
  <c r="BR337" i="3"/>
  <c r="BL337" i="3" s="1"/>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A335" i="3" s="1"/>
  <c r="BG335" i="3"/>
  <c r="BF335" i="3"/>
  <c r="BE335" i="3"/>
  <c r="BD335" i="3"/>
  <c r="BC335" i="3"/>
  <c r="BB335" i="3"/>
  <c r="AX335" i="3"/>
  <c r="AW335" i="3"/>
  <c r="AV335" i="3"/>
  <c r="AC335" i="3"/>
  <c r="H335" i="3"/>
  <c r="G335" i="3"/>
  <c r="BT334" i="3"/>
  <c r="BS334" i="3"/>
  <c r="BL334" i="3" s="1"/>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G330" i="3" s="1"/>
  <c r="H330" i="3"/>
  <c r="BT329" i="3"/>
  <c r="BS329" i="3"/>
  <c r="BR329" i="3"/>
  <c r="BL329" i="3" s="1"/>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A322" i="3" s="1"/>
  <c r="BG322" i="3"/>
  <c r="BF322" i="3"/>
  <c r="BE322" i="3"/>
  <c r="BD322" i="3"/>
  <c r="BC322" i="3"/>
  <c r="BB322" i="3"/>
  <c r="AX322" i="3"/>
  <c r="AW322" i="3"/>
  <c r="AV322" i="3"/>
  <c r="AC322" i="3"/>
  <c r="G322" i="3" s="1"/>
  <c r="H322" i="3"/>
  <c r="BT321" i="3"/>
  <c r="BS321" i="3"/>
  <c r="BR321" i="3"/>
  <c r="BL321" i="3" s="1"/>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G314" i="3" s="1"/>
  <c r="H314" i="3"/>
  <c r="BT313" i="3"/>
  <c r="BS313" i="3"/>
  <c r="BR313" i="3"/>
  <c r="BL313" i="3" s="1"/>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A306" i="3" s="1"/>
  <c r="BF306" i="3"/>
  <c r="BE306" i="3"/>
  <c r="BD306" i="3"/>
  <c r="BC306" i="3"/>
  <c r="BB306" i="3"/>
  <c r="AX306" i="3"/>
  <c r="AW306" i="3"/>
  <c r="AV306" i="3"/>
  <c r="AC306" i="3"/>
  <c r="G306" i="3" s="1"/>
  <c r="H306" i="3"/>
  <c r="BT305" i="3"/>
  <c r="BS305" i="3"/>
  <c r="BR305" i="3"/>
  <c r="BQ305" i="3"/>
  <c r="BP305" i="3"/>
  <c r="BL305" i="3" s="1"/>
  <c r="BO305" i="3"/>
  <c r="BN305" i="3"/>
  <c r="BM305" i="3"/>
  <c r="BK305" i="3"/>
  <c r="BJ305" i="3"/>
  <c r="BI305" i="3"/>
  <c r="BH305" i="3"/>
  <c r="BG305" i="3"/>
  <c r="BF305" i="3"/>
  <c r="BE305" i="3"/>
  <c r="BD305" i="3"/>
  <c r="BC305" i="3"/>
  <c r="BB305" i="3"/>
  <c r="BA305" i="3" s="1"/>
  <c r="AZ305" i="3" s="1"/>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A298" i="3" s="1"/>
  <c r="AZ298" i="3" s="1"/>
  <c r="BF298" i="3"/>
  <c r="BE298" i="3"/>
  <c r="BD298" i="3"/>
  <c r="BC298" i="3"/>
  <c r="BB298" i="3"/>
  <c r="AX298" i="3"/>
  <c r="AW298" i="3"/>
  <c r="AV298" i="3"/>
  <c r="AC298" i="3"/>
  <c r="G298" i="3" s="1"/>
  <c r="H298" i="3"/>
  <c r="BT297" i="3"/>
  <c r="BS297" i="3"/>
  <c r="BR297" i="3"/>
  <c r="BQ297" i="3"/>
  <c r="BP297" i="3"/>
  <c r="BL297" i="3" s="1"/>
  <c r="BO297" i="3"/>
  <c r="BN297" i="3"/>
  <c r="BM297" i="3"/>
  <c r="BK297" i="3"/>
  <c r="BJ297" i="3"/>
  <c r="BI297" i="3"/>
  <c r="BH297" i="3"/>
  <c r="BG297" i="3"/>
  <c r="BF297" i="3"/>
  <c r="BE297" i="3"/>
  <c r="BD297" i="3"/>
  <c r="BC297" i="3"/>
  <c r="BB297" i="3"/>
  <c r="BA297" i="3" s="1"/>
  <c r="AZ297" i="3" s="1"/>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A290" i="3" s="1"/>
  <c r="AZ290" i="3" s="1"/>
  <c r="BF290" i="3"/>
  <c r="BE290" i="3"/>
  <c r="BD290" i="3"/>
  <c r="BC290" i="3"/>
  <c r="BB290" i="3"/>
  <c r="AX290" i="3"/>
  <c r="AW290" i="3"/>
  <c r="AV290" i="3"/>
  <c r="AC290" i="3"/>
  <c r="G290" i="3" s="1"/>
  <c r="H290" i="3"/>
  <c r="BT289" i="3"/>
  <c r="BS289" i="3"/>
  <c r="BR289" i="3"/>
  <c r="BQ289" i="3"/>
  <c r="BP289" i="3"/>
  <c r="BL289" i="3" s="1"/>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A282" i="3" s="1"/>
  <c r="AZ282" i="3" s="1"/>
  <c r="BF282" i="3"/>
  <c r="BE282" i="3"/>
  <c r="BD282" i="3"/>
  <c r="BC282" i="3"/>
  <c r="BB282" i="3"/>
  <c r="AX282" i="3"/>
  <c r="AW282" i="3"/>
  <c r="AV282" i="3"/>
  <c r="AC282" i="3"/>
  <c r="G282" i="3" s="1"/>
  <c r="H282" i="3"/>
  <c r="BT281" i="3"/>
  <c r="BS281" i="3"/>
  <c r="BR281" i="3"/>
  <c r="BQ281" i="3"/>
  <c r="BP281" i="3"/>
  <c r="BL281" i="3" s="1"/>
  <c r="BO281" i="3"/>
  <c r="BN281" i="3"/>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BT277" i="3"/>
  <c r="BS277" i="3"/>
  <c r="BL277" i="3" s="1"/>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L273" i="3" s="1"/>
  <c r="BQ273" i="3"/>
  <c r="BP273" i="3"/>
  <c r="BO273" i="3"/>
  <c r="BN273" i="3"/>
  <c r="BM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G269" i="3" s="1"/>
  <c r="BT268" i="3"/>
  <c r="BS268" i="3"/>
  <c r="BL268" i="3" s="1"/>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AZ265" i="3" s="1"/>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L260" i="3" s="1"/>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L257" i="3" s="1"/>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AZ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A237" i="3" s="1"/>
  <c r="AZ237" i="3" s="1"/>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L228" i="3" s="1"/>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A221" i="3" s="1"/>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A213" i="3" s="1"/>
  <c r="BG213" i="3"/>
  <c r="BF213" i="3"/>
  <c r="BE213" i="3"/>
  <c r="BD213" i="3"/>
  <c r="BC213" i="3"/>
  <c r="BB213" i="3"/>
  <c r="AX213" i="3"/>
  <c r="AW213" i="3"/>
  <c r="AV213" i="3"/>
  <c r="AC213" i="3"/>
  <c r="H213" i="3"/>
  <c r="G213" i="3" s="1"/>
  <c r="BT212" i="3"/>
  <c r="BS212" i="3"/>
  <c r="BL212" i="3" s="1"/>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K205" i="3"/>
  <c r="BJ205" i="3"/>
  <c r="BI205" i="3"/>
  <c r="BH205" i="3"/>
  <c r="BA205" i="3" s="1"/>
  <c r="BG205" i="3"/>
  <c r="BF205" i="3"/>
  <c r="BE205" i="3"/>
  <c r="BD205" i="3"/>
  <c r="BC205" i="3"/>
  <c r="BB205" i="3"/>
  <c r="AX205" i="3"/>
  <c r="AW205" i="3"/>
  <c r="AV205" i="3"/>
  <c r="AC205" i="3"/>
  <c r="H205" i="3"/>
  <c r="G205" i="3" s="1"/>
  <c r="BT204" i="3"/>
  <c r="BS204" i="3"/>
  <c r="BL204" i="3" s="1"/>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L200" i="3" s="1"/>
  <c r="BN200" i="3"/>
  <c r="BM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K197" i="3"/>
  <c r="BJ197" i="3"/>
  <c r="BI197" i="3"/>
  <c r="BA197" i="3" s="1"/>
  <c r="BH197" i="3"/>
  <c r="BG197" i="3"/>
  <c r="BF197" i="3"/>
  <c r="BE197" i="3"/>
  <c r="BD197" i="3"/>
  <c r="BC197" i="3"/>
  <c r="BB197" i="3"/>
  <c r="AX197" i="3"/>
  <c r="AW197" i="3"/>
  <c r="AV197" i="3"/>
  <c r="AC197" i="3"/>
  <c r="H197" i="3"/>
  <c r="G197" i="3" s="1"/>
  <c r="BT196" i="3"/>
  <c r="BS196" i="3"/>
  <c r="BL196" i="3" s="1"/>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L193" i="3" s="1"/>
  <c r="BS193" i="3"/>
  <c r="BR193" i="3"/>
  <c r="BQ193" i="3"/>
  <c r="BP193" i="3"/>
  <c r="BO193" i="3"/>
  <c r="BN193" i="3"/>
  <c r="BM193" i="3"/>
  <c r="BK193" i="3"/>
  <c r="BJ193" i="3"/>
  <c r="BI193" i="3"/>
  <c r="BH193" i="3"/>
  <c r="BG193" i="3"/>
  <c r="BF193" i="3"/>
  <c r="BE193" i="3"/>
  <c r="BD193" i="3"/>
  <c r="BA193" i="3" s="1"/>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A181" i="3" s="1"/>
  <c r="AZ181" i="3" s="1"/>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A173" i="3" s="1"/>
  <c r="AZ173" i="3" s="1"/>
  <c r="BG173" i="3"/>
  <c r="BF173" i="3"/>
  <c r="BE173" i="3"/>
  <c r="BD173" i="3"/>
  <c r="BC173" i="3"/>
  <c r="BB173" i="3"/>
  <c r="AX173" i="3"/>
  <c r="AW173" i="3"/>
  <c r="AV173" i="3"/>
  <c r="AC173" i="3"/>
  <c r="H173" i="3"/>
  <c r="G173" i="3" s="1"/>
  <c r="BT172" i="3"/>
  <c r="BS172" i="3"/>
  <c r="BL172" i="3" s="1"/>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s="1"/>
  <c r="BT164" i="3"/>
  <c r="BS164" i="3"/>
  <c r="BL164" i="3" s="1"/>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A149" i="3" s="1"/>
  <c r="BG149" i="3"/>
  <c r="BF149" i="3"/>
  <c r="BE149" i="3"/>
  <c r="BD149" i="3"/>
  <c r="BC149" i="3"/>
  <c r="BB149" i="3"/>
  <c r="AX149" i="3"/>
  <c r="AW149" i="3"/>
  <c r="AV149" i="3"/>
  <c r="AC149" i="3"/>
  <c r="H149" i="3"/>
  <c r="G149" i="3" s="1"/>
  <c r="BT148" i="3"/>
  <c r="BS148" i="3"/>
  <c r="BL148" i="3" s="1"/>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K141" i="3"/>
  <c r="BJ141" i="3"/>
  <c r="BI141" i="3"/>
  <c r="BH141" i="3"/>
  <c r="BA141" i="3" s="1"/>
  <c r="BG141" i="3"/>
  <c r="BF141" i="3"/>
  <c r="BE141" i="3"/>
  <c r="BD141" i="3"/>
  <c r="BC141" i="3"/>
  <c r="BB141" i="3"/>
  <c r="AX141" i="3"/>
  <c r="AW141" i="3"/>
  <c r="AV141" i="3"/>
  <c r="AC141" i="3"/>
  <c r="H141" i="3"/>
  <c r="G141" i="3" s="1"/>
  <c r="BT140" i="3"/>
  <c r="BS140" i="3"/>
  <c r="BL140" i="3" s="1"/>
  <c r="BR140" i="3"/>
  <c r="BQ140" i="3"/>
  <c r="BP140" i="3"/>
  <c r="BO140" i="3"/>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A133" i="3" s="1"/>
  <c r="AZ133" i="3" s="1"/>
  <c r="BD133" i="3"/>
  <c r="BC133" i="3"/>
  <c r="BB133" i="3"/>
  <c r="AX133" i="3"/>
  <c r="AW133" i="3"/>
  <c r="AV133" i="3"/>
  <c r="AC133" i="3"/>
  <c r="H133" i="3"/>
  <c r="G133" i="3" s="1"/>
  <c r="BT132" i="3"/>
  <c r="BS132" i="3"/>
  <c r="BR132" i="3"/>
  <c r="BQ132" i="3"/>
  <c r="BP132" i="3"/>
  <c r="BL132" i="3" s="1"/>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L129" i="3" s="1"/>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L128" i="3" s="1"/>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L124" i="3" s="1"/>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L120" i="3" s="1"/>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A118" i="3" s="1"/>
  <c r="BG118" i="3"/>
  <c r="BF118" i="3"/>
  <c r="BE118" i="3"/>
  <c r="BD118" i="3"/>
  <c r="BC118" i="3"/>
  <c r="BB118" i="3"/>
  <c r="AX118" i="3"/>
  <c r="AW118" i="3"/>
  <c r="AV118" i="3"/>
  <c r="AC118" i="3"/>
  <c r="H118" i="3"/>
  <c r="G118" i="3"/>
  <c r="BT117" i="3"/>
  <c r="BS117" i="3"/>
  <c r="BL117" i="3" s="1"/>
  <c r="BR117" i="3"/>
  <c r="BQ117" i="3"/>
  <c r="BP117" i="3"/>
  <c r="BO117" i="3"/>
  <c r="BN117" i="3"/>
  <c r="BM117" i="3"/>
  <c r="BK117" i="3"/>
  <c r="BJ117" i="3"/>
  <c r="BI117" i="3"/>
  <c r="BH117" i="3"/>
  <c r="BG117" i="3"/>
  <c r="BF117" i="3"/>
  <c r="BE117" i="3"/>
  <c r="BD117" i="3"/>
  <c r="BC117" i="3"/>
  <c r="BA117" i="3" s="1"/>
  <c r="BB117" i="3"/>
  <c r="AX117" i="3"/>
  <c r="AW117" i="3"/>
  <c r="AV117" i="3"/>
  <c r="AC117" i="3"/>
  <c r="H117" i="3"/>
  <c r="G117" i="3" s="1"/>
  <c r="BT116" i="3"/>
  <c r="BL116" i="3" s="1"/>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A115" i="3" s="1"/>
  <c r="AZ115" i="3" s="1"/>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G114" i="3" s="1"/>
  <c r="H114" i="3"/>
  <c r="BT113" i="3"/>
  <c r="BS113" i="3"/>
  <c r="BR113" i="3"/>
  <c r="BQ113" i="3"/>
  <c r="BP113" i="3"/>
  <c r="BO113" i="3"/>
  <c r="BN113" i="3"/>
  <c r="BM113" i="3"/>
  <c r="BL113" i="3" s="1"/>
  <c r="BK113" i="3"/>
  <c r="BJ113" i="3"/>
  <c r="BI113" i="3"/>
  <c r="BH113" i="3"/>
  <c r="BA113" i="3" s="1"/>
  <c r="BG113" i="3"/>
  <c r="BF113" i="3"/>
  <c r="BE113" i="3"/>
  <c r="BD113" i="3"/>
  <c r="BC113" i="3"/>
  <c r="BB113" i="3"/>
  <c r="AX113" i="3"/>
  <c r="AW113" i="3"/>
  <c r="AV113" i="3"/>
  <c r="AC113" i="3"/>
  <c r="H113" i="3"/>
  <c r="BT112" i="3"/>
  <c r="BS112" i="3"/>
  <c r="BR112" i="3"/>
  <c r="BL112" i="3" s="1"/>
  <c r="BQ112" i="3"/>
  <c r="BP112" i="3"/>
  <c r="BO112" i="3"/>
  <c r="BN112" i="3"/>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BT108" i="3"/>
  <c r="BS108" i="3"/>
  <c r="BR108" i="3"/>
  <c r="BL108" i="3" s="1"/>
  <c r="BQ108" i="3"/>
  <c r="BP108" i="3"/>
  <c r="BO108" i="3"/>
  <c r="BN108" i="3"/>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A105" i="3" s="1"/>
  <c r="AZ105" i="3" s="1"/>
  <c r="BG105" i="3"/>
  <c r="BF105" i="3"/>
  <c r="BE105" i="3"/>
  <c r="BD105" i="3"/>
  <c r="BC105" i="3"/>
  <c r="BB105" i="3"/>
  <c r="AX105" i="3"/>
  <c r="AW105" i="3"/>
  <c r="AV105" i="3"/>
  <c r="AC105" i="3"/>
  <c r="H105" i="3"/>
  <c r="G105" i="3" s="1"/>
  <c r="BT104" i="3"/>
  <c r="BS104" i="3"/>
  <c r="BR104" i="3"/>
  <c r="BL104" i="3" s="1"/>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A102" i="3" s="1"/>
  <c r="AZ102" i="3" s="1"/>
  <c r="BD102" i="3"/>
  <c r="BC102" i="3"/>
  <c r="BB102" i="3"/>
  <c r="AX102" i="3"/>
  <c r="AW102" i="3"/>
  <c r="AV102" i="3"/>
  <c r="AC102" i="3"/>
  <c r="H102" i="3"/>
  <c r="G102" i="3" s="1"/>
  <c r="BT101" i="3"/>
  <c r="BS101" i="3"/>
  <c r="BR101" i="3"/>
  <c r="BQ101" i="3"/>
  <c r="BP101" i="3"/>
  <c r="BL101" i="3" s="1"/>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A99" i="3" s="1"/>
  <c r="AZ99" i="3" s="1"/>
  <c r="BF99" i="3"/>
  <c r="BE99" i="3"/>
  <c r="BD99" i="3"/>
  <c r="BC99" i="3"/>
  <c r="BB99" i="3"/>
  <c r="AX99" i="3"/>
  <c r="AW99" i="3"/>
  <c r="AV99" i="3"/>
  <c r="AC99" i="3"/>
  <c r="H99" i="3"/>
  <c r="G99" i="3"/>
  <c r="BT98" i="3"/>
  <c r="BS98" i="3"/>
  <c r="BR98" i="3"/>
  <c r="BL98" i="3" s="1"/>
  <c r="BQ98" i="3"/>
  <c r="BP98" i="3"/>
  <c r="BO98" i="3"/>
  <c r="BN98" i="3"/>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s="1"/>
  <c r="BK96" i="3"/>
  <c r="BJ96" i="3"/>
  <c r="BI96" i="3"/>
  <c r="BH96" i="3"/>
  <c r="BA96" i="3" s="1"/>
  <c r="BG96" i="3"/>
  <c r="BF96" i="3"/>
  <c r="BE96" i="3"/>
  <c r="BD96" i="3"/>
  <c r="BC96" i="3"/>
  <c r="BB96" i="3"/>
  <c r="AX96" i="3"/>
  <c r="AW96" i="3"/>
  <c r="AV96" i="3"/>
  <c r="AC96" i="3"/>
  <c r="H96" i="3"/>
  <c r="G96" i="3"/>
  <c r="BT95" i="3"/>
  <c r="BS95" i="3"/>
  <c r="BL95" i="3" s="1"/>
  <c r="BR95" i="3"/>
  <c r="BQ95" i="3"/>
  <c r="BP95" i="3"/>
  <c r="BO95" i="3"/>
  <c r="BN95" i="3"/>
  <c r="BM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A94" i="3" s="1"/>
  <c r="AZ94" i="3" s="1"/>
  <c r="BD94" i="3"/>
  <c r="BC94" i="3"/>
  <c r="BB94" i="3"/>
  <c r="AX94" i="3"/>
  <c r="AW94" i="3"/>
  <c r="AV94" i="3"/>
  <c r="AC94" i="3"/>
  <c r="H94" i="3"/>
  <c r="G94" i="3" s="1"/>
  <c r="BT93" i="3"/>
  <c r="BS93" i="3"/>
  <c r="BR93" i="3"/>
  <c r="BQ93" i="3"/>
  <c r="BP93" i="3"/>
  <c r="BL93" i="3" s="1"/>
  <c r="BO93" i="3"/>
  <c r="BN93" i="3"/>
  <c r="BM93" i="3"/>
  <c r="BK93" i="3"/>
  <c r="BJ93" i="3"/>
  <c r="BI93" i="3"/>
  <c r="BH93" i="3"/>
  <c r="BG93" i="3"/>
  <c r="BF93" i="3"/>
  <c r="BE93" i="3"/>
  <c r="BD93" i="3"/>
  <c r="BC93" i="3"/>
  <c r="BB93" i="3"/>
  <c r="BA93" i="3"/>
  <c r="AZ93" i="3" s="1"/>
  <c r="AX93" i="3"/>
  <c r="AW93" i="3"/>
  <c r="AV93" i="3"/>
  <c r="AC93" i="3"/>
  <c r="H93" i="3"/>
  <c r="G93" i="3"/>
  <c r="BT92" i="3"/>
  <c r="BL92" i="3" s="1"/>
  <c r="BS92" i="3"/>
  <c r="BR92" i="3"/>
  <c r="BQ92" i="3"/>
  <c r="BP92" i="3"/>
  <c r="BO92" i="3"/>
  <c r="BN92" i="3"/>
  <c r="BM92" i="3"/>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L91" i="3" s="1"/>
  <c r="BM91" i="3"/>
  <c r="BK91" i="3"/>
  <c r="BJ91" i="3"/>
  <c r="BI91" i="3"/>
  <c r="BH91" i="3"/>
  <c r="BG91" i="3"/>
  <c r="BA91" i="3" s="1"/>
  <c r="BF91" i="3"/>
  <c r="BE91" i="3"/>
  <c r="BD91" i="3"/>
  <c r="BC91" i="3"/>
  <c r="BB91" i="3"/>
  <c r="AX91" i="3"/>
  <c r="AW91" i="3"/>
  <c r="AV91" i="3"/>
  <c r="AC91" i="3"/>
  <c r="H91" i="3"/>
  <c r="G91" i="3"/>
  <c r="BT90" i="3"/>
  <c r="BS90" i="3"/>
  <c r="BR90" i="3"/>
  <c r="BL90" i="3" s="1"/>
  <c r="BQ90" i="3"/>
  <c r="BP90" i="3"/>
  <c r="BO90" i="3"/>
  <c r="BN90" i="3"/>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s="1"/>
  <c r="BK88" i="3"/>
  <c r="BJ88" i="3"/>
  <c r="BI88" i="3"/>
  <c r="BH88" i="3"/>
  <c r="BA88" i="3" s="1"/>
  <c r="BG88" i="3"/>
  <c r="BF88" i="3"/>
  <c r="BE88" i="3"/>
  <c r="BD88" i="3"/>
  <c r="BC88" i="3"/>
  <c r="BB88" i="3"/>
  <c r="AX88" i="3"/>
  <c r="AW88" i="3"/>
  <c r="AV88" i="3"/>
  <c r="AC88" i="3"/>
  <c r="H88" i="3"/>
  <c r="G88" i="3"/>
  <c r="BT87" i="3"/>
  <c r="BS87" i="3"/>
  <c r="BL87" i="3" s="1"/>
  <c r="BR87" i="3"/>
  <c r="BQ87" i="3"/>
  <c r="BP87" i="3"/>
  <c r="BO87" i="3"/>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A86" i="3" s="1"/>
  <c r="BD86" i="3"/>
  <c r="BC86" i="3"/>
  <c r="BB86" i="3"/>
  <c r="AX86" i="3"/>
  <c r="AW86" i="3"/>
  <c r="AV86" i="3"/>
  <c r="AC86" i="3"/>
  <c r="H86" i="3"/>
  <c r="G86" i="3" s="1"/>
  <c r="BT85" i="3"/>
  <c r="BS85" i="3"/>
  <c r="BR85" i="3"/>
  <c r="BQ85" i="3"/>
  <c r="BP85" i="3"/>
  <c r="BL85" i="3" s="1"/>
  <c r="BO85" i="3"/>
  <c r="BN85" i="3"/>
  <c r="BM85" i="3"/>
  <c r="BK85" i="3"/>
  <c r="BJ85" i="3"/>
  <c r="BI85" i="3"/>
  <c r="BA85" i="3" s="1"/>
  <c r="AZ85" i="3" s="1"/>
  <c r="BH85" i="3"/>
  <c r="BG85" i="3"/>
  <c r="BF85" i="3"/>
  <c r="BE85" i="3"/>
  <c r="BD85" i="3"/>
  <c r="BC85" i="3"/>
  <c r="BB85" i="3"/>
  <c r="AX85" i="3"/>
  <c r="AW85" i="3"/>
  <c r="AV85" i="3"/>
  <c r="AC85" i="3"/>
  <c r="H85" i="3"/>
  <c r="G85" i="3"/>
  <c r="BT84" i="3"/>
  <c r="BL84" i="3" s="1"/>
  <c r="BS84" i="3"/>
  <c r="BR84" i="3"/>
  <c r="BQ84" i="3"/>
  <c r="BP84" i="3"/>
  <c r="BO84" i="3"/>
  <c r="BN84" i="3"/>
  <c r="BM84" i="3"/>
  <c r="BK84" i="3"/>
  <c r="BJ84" i="3"/>
  <c r="BI84" i="3"/>
  <c r="BH84" i="3"/>
  <c r="BG84" i="3"/>
  <c r="BF84" i="3"/>
  <c r="BE84" i="3"/>
  <c r="BD84" i="3"/>
  <c r="BC84" i="3"/>
  <c r="BA84" i="3" s="1"/>
  <c r="AZ84" i="3" s="1"/>
  <c r="BB84" i="3"/>
  <c r="AX84" i="3"/>
  <c r="AW84" i="3"/>
  <c r="AV84" i="3"/>
  <c r="AC84" i="3"/>
  <c r="H84" i="3"/>
  <c r="G84" i="3" s="1"/>
  <c r="BT83" i="3"/>
  <c r="BS83" i="3"/>
  <c r="BR83" i="3"/>
  <c r="BQ83" i="3"/>
  <c r="BP83" i="3"/>
  <c r="BO83" i="3"/>
  <c r="BN83" i="3"/>
  <c r="BL83" i="3" s="1"/>
  <c r="BM83" i="3"/>
  <c r="BK83" i="3"/>
  <c r="BJ83" i="3"/>
  <c r="BI83" i="3"/>
  <c r="BH83" i="3"/>
  <c r="BG83" i="3"/>
  <c r="BA83" i="3" s="1"/>
  <c r="BF83" i="3"/>
  <c r="BE83" i="3"/>
  <c r="BD83" i="3"/>
  <c r="BC83" i="3"/>
  <c r="BB83" i="3"/>
  <c r="AX83" i="3"/>
  <c r="AW83" i="3"/>
  <c r="AV83" i="3"/>
  <c r="AC83" i="3"/>
  <c r="H83" i="3"/>
  <c r="G83" i="3"/>
  <c r="BT82" i="3"/>
  <c r="BS82" i="3"/>
  <c r="BR82" i="3"/>
  <c r="BL82" i="3" s="1"/>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L80" i="3" s="1"/>
  <c r="BK80" i="3"/>
  <c r="BJ80" i="3"/>
  <c r="BI80" i="3"/>
  <c r="BH80" i="3"/>
  <c r="BA80" i="3" s="1"/>
  <c r="AZ80" i="3" s="1"/>
  <c r="BG80" i="3"/>
  <c r="BF80" i="3"/>
  <c r="BE80" i="3"/>
  <c r="BD80" i="3"/>
  <c r="BC80" i="3"/>
  <c r="BB80" i="3"/>
  <c r="AX80" i="3"/>
  <c r="AW80" i="3"/>
  <c r="AV80" i="3"/>
  <c r="AC80" i="3"/>
  <c r="H80" i="3"/>
  <c r="G80" i="3"/>
  <c r="BT79" i="3"/>
  <c r="BS79" i="3"/>
  <c r="BL79" i="3" s="1"/>
  <c r="BR79" i="3"/>
  <c r="BQ79" i="3"/>
  <c r="BP79" i="3"/>
  <c r="BO79" i="3"/>
  <c r="BN79" i="3"/>
  <c r="BM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A75" i="3" s="1"/>
  <c r="AZ75" i="3" s="1"/>
  <c r="BF75" i="3"/>
  <c r="BE75" i="3"/>
  <c r="BD75" i="3"/>
  <c r="BC75" i="3"/>
  <c r="BB75" i="3"/>
  <c r="AX75" i="3"/>
  <c r="AW75" i="3"/>
  <c r="AV75" i="3"/>
  <c r="AC75" i="3"/>
  <c r="H75" i="3"/>
  <c r="G75" i="3"/>
  <c r="BT74" i="3"/>
  <c r="BS74" i="3"/>
  <c r="BR74" i="3"/>
  <c r="BL74" i="3" s="1"/>
  <c r="BQ74" i="3"/>
  <c r="BP74" i="3"/>
  <c r="BO74" i="3"/>
  <c r="BN74" i="3"/>
  <c r="BM74" i="3"/>
  <c r="BK74" i="3"/>
  <c r="BJ74" i="3"/>
  <c r="BI74" i="3"/>
  <c r="BH74" i="3"/>
  <c r="BG74" i="3"/>
  <c r="BF74" i="3"/>
  <c r="BE74" i="3"/>
  <c r="BD74" i="3"/>
  <c r="BC74" i="3"/>
  <c r="BB74" i="3"/>
  <c r="BA74" i="3" s="1"/>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L72" i="3" s="1"/>
  <c r="BK72" i="3"/>
  <c r="BJ72" i="3"/>
  <c r="BI72" i="3"/>
  <c r="BH72" i="3"/>
  <c r="BA72" i="3" s="1"/>
  <c r="AZ72" i="3" s="1"/>
  <c r="BG72" i="3"/>
  <c r="BF72" i="3"/>
  <c r="BE72" i="3"/>
  <c r="BD72" i="3"/>
  <c r="BC72" i="3"/>
  <c r="BB72" i="3"/>
  <c r="AX72" i="3"/>
  <c r="AW72" i="3"/>
  <c r="AV72" i="3"/>
  <c r="AC72" i="3"/>
  <c r="H72" i="3"/>
  <c r="G72" i="3"/>
  <c r="BT71" i="3"/>
  <c r="BS71" i="3"/>
  <c r="BL71" i="3" s="1"/>
  <c r="BR71" i="3"/>
  <c r="BQ71" i="3"/>
  <c r="BP71" i="3"/>
  <c r="BO71" i="3"/>
  <c r="BN71" i="3"/>
  <c r="BM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A70" i="3" s="1"/>
  <c r="BD70" i="3"/>
  <c r="BC70" i="3"/>
  <c r="BB70" i="3"/>
  <c r="AX70" i="3"/>
  <c r="AW70" i="3"/>
  <c r="AV70" i="3"/>
  <c r="AC70" i="3"/>
  <c r="H70" i="3"/>
  <c r="G70" i="3" s="1"/>
  <c r="BT69" i="3"/>
  <c r="BS69" i="3"/>
  <c r="BR69" i="3"/>
  <c r="BQ69" i="3"/>
  <c r="BP69" i="3"/>
  <c r="BL69" i="3" s="1"/>
  <c r="BO69" i="3"/>
  <c r="BN69" i="3"/>
  <c r="BM69" i="3"/>
  <c r="BK69" i="3"/>
  <c r="BJ69" i="3"/>
  <c r="BI69" i="3"/>
  <c r="BH69" i="3"/>
  <c r="BG69" i="3"/>
  <c r="BF69" i="3"/>
  <c r="BE69" i="3"/>
  <c r="BD69" i="3"/>
  <c r="BC69" i="3"/>
  <c r="BB69" i="3"/>
  <c r="BA69" i="3"/>
  <c r="AZ69" i="3" s="1"/>
  <c r="AX69" i="3"/>
  <c r="AW69" i="3"/>
  <c r="AV69" i="3"/>
  <c r="AC69" i="3"/>
  <c r="H69" i="3"/>
  <c r="G69" i="3"/>
  <c r="BT68" i="3"/>
  <c r="BL68" i="3" s="1"/>
  <c r="BS68" i="3"/>
  <c r="BR68" i="3"/>
  <c r="BQ68" i="3"/>
  <c r="BP68" i="3"/>
  <c r="BO68" i="3"/>
  <c r="BN68" i="3"/>
  <c r="BM68" i="3"/>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A67" i="3" s="1"/>
  <c r="AZ67" i="3" s="1"/>
  <c r="BF67" i="3"/>
  <c r="BE67" i="3"/>
  <c r="BD67" i="3"/>
  <c r="BC67" i="3"/>
  <c r="BB67" i="3"/>
  <c r="AX67" i="3"/>
  <c r="AW67" i="3"/>
  <c r="AV67" i="3"/>
  <c r="AC67" i="3"/>
  <c r="H67" i="3"/>
  <c r="G67" i="3"/>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L64" i="3" s="1"/>
  <c r="BK64" i="3"/>
  <c r="BJ64" i="3"/>
  <c r="BI64" i="3"/>
  <c r="BH64" i="3"/>
  <c r="BA64" i="3" s="1"/>
  <c r="AZ64" i="3" s="1"/>
  <c r="BG64" i="3"/>
  <c r="BF64" i="3"/>
  <c r="BE64" i="3"/>
  <c r="BD64" i="3"/>
  <c r="BC64" i="3"/>
  <c r="BB64" i="3"/>
  <c r="AX64" i="3"/>
  <c r="AW64" i="3"/>
  <c r="AV64" i="3"/>
  <c r="AC64" i="3"/>
  <c r="H64" i="3"/>
  <c r="G64" i="3"/>
  <c r="BT63" i="3"/>
  <c r="BS63" i="3"/>
  <c r="BL63" i="3" s="1"/>
  <c r="BR63" i="3"/>
  <c r="BQ63" i="3"/>
  <c r="BP63" i="3"/>
  <c r="BO63" i="3"/>
  <c r="BN63" i="3"/>
  <c r="BM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A62" i="3" s="1"/>
  <c r="AZ62" i="3" s="1"/>
  <c r="BD62" i="3"/>
  <c r="BC62" i="3"/>
  <c r="BB62" i="3"/>
  <c r="AX62" i="3"/>
  <c r="AW62" i="3"/>
  <c r="AV62" i="3"/>
  <c r="AC62" i="3"/>
  <c r="H62" i="3"/>
  <c r="G62" i="3" s="1"/>
  <c r="BT61" i="3"/>
  <c r="BS61" i="3"/>
  <c r="BR61" i="3"/>
  <c r="BQ61" i="3"/>
  <c r="BP61" i="3"/>
  <c r="BL61" i="3" s="1"/>
  <c r="BO61" i="3"/>
  <c r="BN61" i="3"/>
  <c r="BM61" i="3"/>
  <c r="BK61" i="3"/>
  <c r="BJ61" i="3"/>
  <c r="BI61" i="3"/>
  <c r="BH61" i="3"/>
  <c r="BG61" i="3"/>
  <c r="BF61" i="3"/>
  <c r="BE61" i="3"/>
  <c r="BD61" i="3"/>
  <c r="BC61" i="3"/>
  <c r="BB61" i="3"/>
  <c r="BA61" i="3"/>
  <c r="AZ61" i="3" s="1"/>
  <c r="AX61" i="3"/>
  <c r="AW61" i="3"/>
  <c r="AV61" i="3"/>
  <c r="AC61" i="3"/>
  <c r="H61" i="3"/>
  <c r="G61" i="3"/>
  <c r="BT60" i="3"/>
  <c r="BL60" i="3" s="1"/>
  <c r="BS60" i="3"/>
  <c r="BR60" i="3"/>
  <c r="BQ60" i="3"/>
  <c r="BP60" i="3"/>
  <c r="BO60" i="3"/>
  <c r="BN60" i="3"/>
  <c r="BM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A59" i="3" s="1"/>
  <c r="BF59" i="3"/>
  <c r="BE59" i="3"/>
  <c r="BD59" i="3"/>
  <c r="BC59" i="3"/>
  <c r="BB59" i="3"/>
  <c r="AX59" i="3"/>
  <c r="AW59" i="3"/>
  <c r="AV59" i="3"/>
  <c r="AC59" i="3"/>
  <c r="H59" i="3"/>
  <c r="G59" i="3"/>
  <c r="BT58" i="3"/>
  <c r="BS58" i="3"/>
  <c r="BR58" i="3"/>
  <c r="BL58" i="3" s="1"/>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A56" i="3" s="1"/>
  <c r="AZ56" i="3" s="1"/>
  <c r="BG56" i="3"/>
  <c r="BF56" i="3"/>
  <c r="BE56" i="3"/>
  <c r="BD56" i="3"/>
  <c r="BC56" i="3"/>
  <c r="BB56" i="3"/>
  <c r="AX56" i="3"/>
  <c r="AW56" i="3"/>
  <c r="AV56" i="3"/>
  <c r="AC56" i="3"/>
  <c r="H56" i="3"/>
  <c r="G56" i="3"/>
  <c r="BT55" i="3"/>
  <c r="BS55" i="3"/>
  <c r="BL55" i="3" s="1"/>
  <c r="BR55" i="3"/>
  <c r="BQ55" i="3"/>
  <c r="BP55" i="3"/>
  <c r="BO55" i="3"/>
  <c r="BN55" i="3"/>
  <c r="BM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A54" i="3" s="1"/>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A51" i="3" s="1"/>
  <c r="AZ51" i="3" s="1"/>
  <c r="BF51" i="3"/>
  <c r="BE51" i="3"/>
  <c r="BD51" i="3"/>
  <c r="BC51" i="3"/>
  <c r="BB51" i="3"/>
  <c r="AX51" i="3"/>
  <c r="AW51" i="3"/>
  <c r="AV51" i="3"/>
  <c r="AC51" i="3"/>
  <c r="H51" i="3"/>
  <c r="G51" i="3"/>
  <c r="BT50" i="3"/>
  <c r="BS50" i="3"/>
  <c r="BR50" i="3"/>
  <c r="BL50" i="3" s="1"/>
  <c r="BQ50" i="3"/>
  <c r="BP50" i="3"/>
  <c r="BO50" i="3"/>
  <c r="BN50" i="3"/>
  <c r="BM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L48" i="3" s="1"/>
  <c r="BK48" i="3"/>
  <c r="BJ48" i="3"/>
  <c r="BI48" i="3"/>
  <c r="BH48" i="3"/>
  <c r="BA48" i="3" s="1"/>
  <c r="BG48" i="3"/>
  <c r="BF48" i="3"/>
  <c r="BE48" i="3"/>
  <c r="BD48" i="3"/>
  <c r="BC48" i="3"/>
  <c r="BB48" i="3"/>
  <c r="AX48" i="3"/>
  <c r="AW48" i="3"/>
  <c r="AV48" i="3"/>
  <c r="AC48" i="3"/>
  <c r="H48" i="3"/>
  <c r="G48" i="3"/>
  <c r="BT47" i="3"/>
  <c r="BS47" i="3"/>
  <c r="BL47" i="3" s="1"/>
  <c r="BR47" i="3"/>
  <c r="BQ47" i="3"/>
  <c r="BP47" i="3"/>
  <c r="BO47" i="3"/>
  <c r="BN47" i="3"/>
  <c r="BM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A46" i="3" s="1"/>
  <c r="BD46" i="3"/>
  <c r="BC46" i="3"/>
  <c r="BB46" i="3"/>
  <c r="AX46" i="3"/>
  <c r="AW46" i="3"/>
  <c r="AV46" i="3"/>
  <c r="AC46" i="3"/>
  <c r="H46" i="3"/>
  <c r="G46" i="3" s="1"/>
  <c r="BT45" i="3"/>
  <c r="BS45" i="3"/>
  <c r="BR45" i="3"/>
  <c r="BQ45" i="3"/>
  <c r="BP45" i="3"/>
  <c r="BL45" i="3" s="1"/>
  <c r="BO45" i="3"/>
  <c r="BN45" i="3"/>
  <c r="BM45" i="3"/>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A43" i="3" s="1"/>
  <c r="BF43" i="3"/>
  <c r="BE43" i="3"/>
  <c r="BD43" i="3"/>
  <c r="BC43" i="3"/>
  <c r="BB43" i="3"/>
  <c r="AX43" i="3"/>
  <c r="AW43" i="3"/>
  <c r="AV43" i="3"/>
  <c r="AC43" i="3"/>
  <c r="H43" i="3"/>
  <c r="G43" i="3"/>
  <c r="BT42" i="3"/>
  <c r="BS42" i="3"/>
  <c r="BR42" i="3"/>
  <c r="BL42" i="3" s="1"/>
  <c r="BQ42" i="3"/>
  <c r="BP42" i="3"/>
  <c r="BO42" i="3"/>
  <c r="BN42" i="3"/>
  <c r="BM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L40" i="3" s="1"/>
  <c r="BK40" i="3"/>
  <c r="BJ40" i="3"/>
  <c r="BI40" i="3"/>
  <c r="BH40" i="3"/>
  <c r="BA40" i="3" s="1"/>
  <c r="BG40" i="3"/>
  <c r="BF40" i="3"/>
  <c r="BE40" i="3"/>
  <c r="BD40" i="3"/>
  <c r="BC40" i="3"/>
  <c r="BB40" i="3"/>
  <c r="AX40" i="3"/>
  <c r="AW40" i="3"/>
  <c r="AV40" i="3"/>
  <c r="AC40" i="3"/>
  <c r="H40" i="3"/>
  <c r="G40" i="3"/>
  <c r="BT39" i="3"/>
  <c r="BS39" i="3"/>
  <c r="BL39" i="3" s="1"/>
  <c r="BR39" i="3"/>
  <c r="BQ39" i="3"/>
  <c r="BP39" i="3"/>
  <c r="BO39" i="3"/>
  <c r="BN39" i="3"/>
  <c r="BM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A38" i="3" s="1"/>
  <c r="BD38" i="3"/>
  <c r="BC38" i="3"/>
  <c r="BB38" i="3"/>
  <c r="AX38" i="3"/>
  <c r="AW38" i="3"/>
  <c r="AV38" i="3"/>
  <c r="AC38" i="3"/>
  <c r="H38" i="3"/>
  <c r="G38" i="3" s="1"/>
  <c r="BT37" i="3"/>
  <c r="BS37" i="3"/>
  <c r="BR37" i="3"/>
  <c r="BQ37" i="3"/>
  <c r="BP37" i="3"/>
  <c r="BL37" i="3" s="1"/>
  <c r="BO37" i="3"/>
  <c r="BN37" i="3"/>
  <c r="BM37" i="3"/>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A35" i="3" s="1"/>
  <c r="AZ35" i="3" s="1"/>
  <c r="BF35" i="3"/>
  <c r="BE35" i="3"/>
  <c r="BD35" i="3"/>
  <c r="BC35" i="3"/>
  <c r="BB35" i="3"/>
  <c r="AX35" i="3"/>
  <c r="AW35" i="3"/>
  <c r="AV35" i="3"/>
  <c r="AC35" i="3"/>
  <c r="H35" i="3"/>
  <c r="G35" i="3"/>
  <c r="BT34" i="3"/>
  <c r="BS34" i="3"/>
  <c r="BR34" i="3"/>
  <c r="BL34" i="3" s="1"/>
  <c r="BQ34" i="3"/>
  <c r="BP34" i="3"/>
  <c r="BO34" i="3"/>
  <c r="BN34" i="3"/>
  <c r="BM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G33" i="3" s="1"/>
  <c r="H33" i="3"/>
  <c r="BT32" i="3"/>
  <c r="BS32" i="3"/>
  <c r="BR32" i="3"/>
  <c r="BQ32" i="3"/>
  <c r="BP32" i="3"/>
  <c r="BO32" i="3"/>
  <c r="BN32" i="3"/>
  <c r="BM32" i="3"/>
  <c r="BL32" i="3" s="1"/>
  <c r="BK32" i="3"/>
  <c r="BJ32" i="3"/>
  <c r="BI32" i="3"/>
  <c r="BH32" i="3"/>
  <c r="BA32" i="3" s="1"/>
  <c r="AZ32" i="3" s="1"/>
  <c r="BG32" i="3"/>
  <c r="BF32" i="3"/>
  <c r="BE32" i="3"/>
  <c r="BD32" i="3"/>
  <c r="BC32" i="3"/>
  <c r="BB32" i="3"/>
  <c r="AX32" i="3"/>
  <c r="AW32" i="3"/>
  <c r="AV32" i="3"/>
  <c r="AC32" i="3"/>
  <c r="H32" i="3"/>
  <c r="G32" i="3"/>
  <c r="BT31" i="3"/>
  <c r="BS31" i="3"/>
  <c r="BL31" i="3" s="1"/>
  <c r="BR31" i="3"/>
  <c r="BQ31" i="3"/>
  <c r="BP31" i="3"/>
  <c r="BO31" i="3"/>
  <c r="BN31" i="3"/>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A30" i="3" s="1"/>
  <c r="BD30" i="3"/>
  <c r="BC30" i="3"/>
  <c r="BB30" i="3"/>
  <c r="AX30" i="3"/>
  <c r="AW30" i="3"/>
  <c r="AV30" i="3"/>
  <c r="AC30" i="3"/>
  <c r="H30" i="3"/>
  <c r="G30" i="3" s="1"/>
  <c r="BT29" i="3"/>
  <c r="BS29" i="3"/>
  <c r="BR29" i="3"/>
  <c r="BQ29" i="3"/>
  <c r="BP29" i="3"/>
  <c r="BL29" i="3" s="1"/>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A27" i="3" s="1"/>
  <c r="BF27" i="3"/>
  <c r="BE27" i="3"/>
  <c r="BD27" i="3"/>
  <c r="BC27" i="3"/>
  <c r="BB27" i="3"/>
  <c r="AX27" i="3"/>
  <c r="AW27" i="3"/>
  <c r="AV27" i="3"/>
  <c r="AC27" i="3"/>
  <c r="H27" i="3"/>
  <c r="G27" i="3"/>
  <c r="BT26" i="3"/>
  <c r="BS26" i="3"/>
  <c r="BR26" i="3"/>
  <c r="BL26" i="3" s="1"/>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L24" i="3" s="1"/>
  <c r="BK24" i="3"/>
  <c r="BJ24" i="3"/>
  <c r="BI24" i="3"/>
  <c r="BH24" i="3"/>
  <c r="BA24" i="3" s="1"/>
  <c r="AZ24" i="3" s="1"/>
  <c r="BG24" i="3"/>
  <c r="BF24" i="3"/>
  <c r="BE24" i="3"/>
  <c r="BD24" i="3"/>
  <c r="BC24" i="3"/>
  <c r="BB24" i="3"/>
  <c r="AX24" i="3"/>
  <c r="AW24" i="3"/>
  <c r="AV24" i="3"/>
  <c r="AC24" i="3"/>
  <c r="H24" i="3"/>
  <c r="G24" i="3"/>
  <c r="BT23" i="3"/>
  <c r="BS23" i="3"/>
  <c r="BL23" i="3" s="1"/>
  <c r="BR23" i="3"/>
  <c r="BQ23" i="3"/>
  <c r="BP23" i="3"/>
  <c r="BO23" i="3"/>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A22" i="3" s="1"/>
  <c r="BD22" i="3"/>
  <c r="BC22" i="3"/>
  <c r="BB22" i="3"/>
  <c r="AX22" i="3"/>
  <c r="AW22" i="3"/>
  <c r="AV22" i="3"/>
  <c r="AC22" i="3"/>
  <c r="H22" i="3"/>
  <c r="G22" i="3" s="1"/>
  <c r="BT21" i="3"/>
  <c r="BS21" i="3"/>
  <c r="BR21" i="3"/>
  <c r="BQ21" i="3"/>
  <c r="BP21" i="3"/>
  <c r="BL21" i="3" s="1"/>
  <c r="BO21" i="3"/>
  <c r="BN21" i="3"/>
  <c r="BM21" i="3"/>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A20" i="3" s="1"/>
  <c r="AZ20" i="3" s="1"/>
  <c r="BB20" i="3"/>
  <c r="AX20" i="3"/>
  <c r="AW20" i="3"/>
  <c r="AV20" i="3"/>
  <c r="AC20" i="3"/>
  <c r="H20" i="3"/>
  <c r="G20" i="3" s="1"/>
  <c r="BT19" i="3"/>
  <c r="BS19" i="3"/>
  <c r="BR19" i="3"/>
  <c r="BQ19" i="3"/>
  <c r="BP19" i="3"/>
  <c r="BO19" i="3"/>
  <c r="BN19" i="3"/>
  <c r="BL19" i="3" s="1"/>
  <c r="BM19" i="3"/>
  <c r="BK19" i="3"/>
  <c r="BJ19" i="3"/>
  <c r="BI19" i="3"/>
  <c r="BH19" i="3"/>
  <c r="BG19" i="3"/>
  <c r="BA19" i="3" s="1"/>
  <c r="AZ19" i="3" s="1"/>
  <c r="BF19" i="3"/>
  <c r="BE19" i="3"/>
  <c r="BD19" i="3"/>
  <c r="BC19" i="3"/>
  <c r="BB19" i="3"/>
  <c r="AX19" i="3"/>
  <c r="AW19" i="3"/>
  <c r="AV19" i="3"/>
  <c r="AC19" i="3"/>
  <c r="H19" i="3"/>
  <c r="G19" i="3"/>
  <c r="BT18" i="3"/>
  <c r="BS18" i="3"/>
  <c r="BR18" i="3"/>
  <c r="BL18" i="3" s="1"/>
  <c r="BQ18" i="3"/>
  <c r="BP18" i="3"/>
  <c r="BO18" i="3"/>
  <c r="BN18" i="3"/>
  <c r="BM18" i="3"/>
  <c r="BK18" i="3"/>
  <c r="BJ18" i="3"/>
  <c r="BI18" i="3"/>
  <c r="BH18" i="3"/>
  <c r="BG18" i="3"/>
  <c r="BF18" i="3"/>
  <c r="BE18" i="3"/>
  <c r="BD18" i="3"/>
  <c r="BC18" i="3"/>
  <c r="BB18" i="3"/>
  <c r="BA18" i="3" s="1"/>
  <c r="AZ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s="1"/>
  <c r="AX17" i="3"/>
  <c r="AW17" i="3"/>
  <c r="AV17" i="3"/>
  <c r="AC17" i="3"/>
  <c r="G17" i="3" s="1"/>
  <c r="H17" i="3"/>
  <c r="BT16" i="3"/>
  <c r="BS16" i="3"/>
  <c r="BR16" i="3"/>
  <c r="BQ16" i="3"/>
  <c r="BP16" i="3"/>
  <c r="BP5" i="3" s="1"/>
  <c r="BO16" i="3"/>
  <c r="BN16" i="3"/>
  <c r="BM16" i="3"/>
  <c r="BL16" i="3" s="1"/>
  <c r="BK16" i="3"/>
  <c r="BJ16" i="3"/>
  <c r="BI16" i="3"/>
  <c r="BH16" i="3"/>
  <c r="BA16" i="3" s="1"/>
  <c r="BG16" i="3"/>
  <c r="BF16" i="3"/>
  <c r="BE16" i="3"/>
  <c r="BD16" i="3"/>
  <c r="BC16" i="3"/>
  <c r="BB16" i="3"/>
  <c r="AX16" i="3"/>
  <c r="AW16" i="3"/>
  <c r="AV16" i="3"/>
  <c r="AC16" i="3"/>
  <c r="H16" i="3"/>
  <c r="G16" i="3"/>
  <c r="BT15" i="3"/>
  <c r="BT5" i="3" s="1"/>
  <c r="BS15" i="3"/>
  <c r="BL15" i="3" s="1"/>
  <c r="BR15" i="3"/>
  <c r="BQ15" i="3"/>
  <c r="BP15" i="3"/>
  <c r="BO15" i="3"/>
  <c r="BN15" i="3"/>
  <c r="BM15" i="3"/>
  <c r="BK15" i="3"/>
  <c r="BJ15" i="3"/>
  <c r="BI15" i="3"/>
  <c r="BH15" i="3"/>
  <c r="BG15" i="3"/>
  <c r="BF15" i="3"/>
  <c r="BE15" i="3"/>
  <c r="BD15" i="3"/>
  <c r="BD5" i="3" s="1"/>
  <c r="BC15" i="3"/>
  <c r="BB15" i="3"/>
  <c r="BA15" i="3" s="1"/>
  <c r="AZ15" i="3" s="1"/>
  <c r="AX15" i="3"/>
  <c r="AW15" i="3"/>
  <c r="AV15" i="3"/>
  <c r="AC15" i="3"/>
  <c r="H15" i="3"/>
  <c r="G15" i="3" s="1"/>
  <c r="BT14" i="3"/>
  <c r="BS14" i="3"/>
  <c r="BR14" i="3"/>
  <c r="BQ14" i="3"/>
  <c r="BP14" i="3"/>
  <c r="BO14" i="3"/>
  <c r="BN14" i="3"/>
  <c r="BN5" i="3" s="1"/>
  <c r="G29" i="6" s="1"/>
  <c r="BM14" i="3"/>
  <c r="BL14" i="3" s="1"/>
  <c r="BK14" i="3"/>
  <c r="BJ14" i="3"/>
  <c r="BI14" i="3"/>
  <c r="BH14" i="3"/>
  <c r="BG14" i="3"/>
  <c r="BF14" i="3"/>
  <c r="BF5" i="3" s="1"/>
  <c r="BE14" i="3"/>
  <c r="BE5" i="3" s="1"/>
  <c r="BD14" i="3"/>
  <c r="BC14" i="3"/>
  <c r="BB14" i="3"/>
  <c r="AX14" i="3"/>
  <c r="AW14" i="3"/>
  <c r="AV14" i="3"/>
  <c r="AC14" i="3"/>
  <c r="H14" i="3"/>
  <c r="G14" i="3" s="1"/>
  <c r="BT13" i="3"/>
  <c r="BS13" i="3"/>
  <c r="BS5" i="3" s="1"/>
  <c r="BR13" i="3"/>
  <c r="BR5" i="3" s="1"/>
  <c r="G28" i="6" s="1"/>
  <c r="BQ13" i="3"/>
  <c r="BQ5" i="3" s="1"/>
  <c r="BP13" i="3"/>
  <c r="BL13" i="3" s="1"/>
  <c r="BO13" i="3"/>
  <c r="BN13" i="3"/>
  <c r="BM13" i="3"/>
  <c r="BK13" i="3"/>
  <c r="BK5" i="3" s="1"/>
  <c r="BJ13" i="3"/>
  <c r="BJ5" i="3" s="1"/>
  <c r="BI13" i="3"/>
  <c r="BI5" i="3" s="1"/>
  <c r="BH13" i="3"/>
  <c r="BG13" i="3"/>
  <c r="BF13" i="3"/>
  <c r="BE13" i="3"/>
  <c r="BD13" i="3"/>
  <c r="AX13" i="3"/>
  <c r="AW13" i="3"/>
  <c r="AV13" i="3"/>
  <c r="AC13" i="3"/>
  <c r="AC5" i="3" s="1"/>
  <c r="F19" i="6"/>
  <c r="E19"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A15" i="62" s="1"/>
  <c r="B61" i="72" s="1"/>
  <c r="L20" i="4"/>
  <c r="F19" i="4"/>
  <c r="H15" i="4"/>
  <c r="F15" i="4"/>
  <c r="E15" i="4"/>
  <c r="D15" i="4"/>
  <c r="K6" i="4"/>
  <c r="I4" i="4"/>
  <c r="G4" i="4"/>
  <c r="E4" i="4"/>
  <c r="B5" i="62" s="1"/>
  <c r="B73" i="72" s="1"/>
  <c r="C4" i="4"/>
  <c r="D3" i="4"/>
  <c r="C1" i="73" s="1"/>
  <c r="S2" i="4"/>
  <c r="A118" i="80" s="1"/>
  <c r="S1" i="4"/>
  <c r="A4" i="51" s="1"/>
  <c r="B6" i="72" s="1"/>
  <c r="B1" i="4"/>
  <c r="AB5" i="71" s="1"/>
  <c r="C53" i="10"/>
  <c r="C51" i="10"/>
  <c r="A13" i="51" s="1"/>
  <c r="B11" i="72" s="1"/>
  <c r="B51" i="10"/>
  <c r="H16" i="49"/>
  <c r="D16" i="49"/>
  <c r="D15" i="49"/>
  <c r="B2" i="49"/>
  <c r="A21" i="62"/>
  <c r="B67" i="72" s="1"/>
  <c r="A20" i="62"/>
  <c r="B66" i="72" s="1"/>
  <c r="A19" i="62"/>
  <c r="A18" i="62"/>
  <c r="A14" i="62"/>
  <c r="A13" i="62"/>
  <c r="A12" i="62"/>
  <c r="B58" i="72" s="1"/>
  <c r="A5" i="62"/>
  <c r="B72" i="72" s="1"/>
  <c r="A4" i="62"/>
  <c r="A12" i="52"/>
  <c r="A8" i="52"/>
  <c r="B54" i="72" s="1"/>
  <c r="D6" i="52"/>
  <c r="A6" i="52"/>
  <c r="B57" i="72" s="1"/>
  <c r="A4" i="52"/>
  <c r="B41" i="72" s="1"/>
  <c r="H2" i="52"/>
  <c r="F2" i="52"/>
  <c r="D2" i="52"/>
  <c r="A1" i="52"/>
  <c r="B19" i="53"/>
  <c r="B37" i="72" s="1"/>
  <c r="B16" i="53"/>
  <c r="B13" i="53"/>
  <c r="D12" i="53"/>
  <c r="D11" i="53"/>
  <c r="B27" i="72" s="1"/>
  <c r="D10" i="53"/>
  <c r="B26" i="72" s="1"/>
  <c r="D8" i="53"/>
  <c r="D9" i="53" s="1"/>
  <c r="B25" i="72" s="1"/>
  <c r="B8" i="53"/>
  <c r="A3" i="53"/>
  <c r="A2" i="53"/>
  <c r="A24" i="51"/>
  <c r="B18" i="72" s="1"/>
  <c r="A22" i="51"/>
  <c r="B17" i="72" s="1"/>
  <c r="A21" i="51"/>
  <c r="B16" i="72" s="1"/>
  <c r="A20" i="51"/>
  <c r="A15" i="51"/>
  <c r="B12" i="72" s="1"/>
  <c r="A3" i="51"/>
  <c r="B49" i="48"/>
  <c r="B40" i="48"/>
  <c r="B74" i="72"/>
  <c r="B70" i="72"/>
  <c r="B69" i="72"/>
  <c r="B68" i="72"/>
  <c r="B65" i="72"/>
  <c r="B64" i="72"/>
  <c r="B63" i="72"/>
  <c r="B62" i="72"/>
  <c r="B60" i="72"/>
  <c r="B59" i="72"/>
  <c r="B56" i="72"/>
  <c r="B50" i="72"/>
  <c r="B46" i="72"/>
  <c r="B44" i="72"/>
  <c r="B42" i="72"/>
  <c r="B33" i="72"/>
  <c r="B29" i="72"/>
  <c r="B28" i="72"/>
  <c r="B23" i="72"/>
  <c r="B19" i="72"/>
  <c r="B15" i="72"/>
  <c r="B10" i="72"/>
  <c r="B8" i="72"/>
  <c r="B5" i="72"/>
  <c r="B3" i="72"/>
  <c r="F34" i="83"/>
  <c r="S21" i="37" l="1"/>
  <c r="S35" i="37"/>
  <c r="AC35" i="37"/>
  <c r="AZ70" i="3"/>
  <c r="AZ25" i="3"/>
  <c r="AZ26" i="3"/>
  <c r="AZ29" i="3"/>
  <c r="AZ57" i="3"/>
  <c r="AZ58" i="3"/>
  <c r="AZ81" i="3"/>
  <c r="AZ82" i="3"/>
  <c r="AZ96" i="3"/>
  <c r="AZ104" i="3"/>
  <c r="AZ117" i="3"/>
  <c r="AZ213" i="3"/>
  <c r="AZ269" i="3"/>
  <c r="AZ308" i="3"/>
  <c r="AZ16" i="3"/>
  <c r="AZ38" i="3"/>
  <c r="AZ43" i="3"/>
  <c r="AZ48" i="3"/>
  <c r="AZ86" i="3"/>
  <c r="AZ91" i="3"/>
  <c r="AZ97" i="3"/>
  <c r="AZ101" i="3"/>
  <c r="AZ113" i="3"/>
  <c r="AZ149" i="3"/>
  <c r="AZ46" i="3"/>
  <c r="AZ17" i="3"/>
  <c r="AZ49" i="3"/>
  <c r="AZ73" i="3"/>
  <c r="AZ114" i="3"/>
  <c r="AZ157" i="3"/>
  <c r="F28" i="6"/>
  <c r="AZ30" i="3"/>
  <c r="AZ40" i="3"/>
  <c r="AZ88" i="3"/>
  <c r="AZ109" i="3"/>
  <c r="AZ125" i="3"/>
  <c r="G30" i="6"/>
  <c r="AZ41" i="3"/>
  <c r="AZ89" i="3"/>
  <c r="AZ110" i="3"/>
  <c r="AZ205" i="3"/>
  <c r="AZ221" i="3"/>
  <c r="AZ22" i="3"/>
  <c r="AZ27" i="3"/>
  <c r="AZ54" i="3"/>
  <c r="AZ59" i="3"/>
  <c r="AZ65" i="3"/>
  <c r="AZ66" i="3"/>
  <c r="AZ78" i="3"/>
  <c r="AZ83" i="3"/>
  <c r="AZ479" i="3"/>
  <c r="AZ258" i="3"/>
  <c r="AZ268" i="3"/>
  <c r="AZ277" i="3"/>
  <c r="AZ327" i="3"/>
  <c r="AZ344" i="3"/>
  <c r="AZ412" i="3"/>
  <c r="AZ414" i="3"/>
  <c r="BH5" i="3"/>
  <c r="AZ148" i="3"/>
  <c r="AZ409" i="3"/>
  <c r="W10" i="36"/>
  <c r="AC10" i="36"/>
  <c r="T69" i="71"/>
  <c r="D69" i="71"/>
  <c r="C68" i="71"/>
  <c r="E5" i="6"/>
  <c r="AZ203" i="3"/>
  <c r="BA128" i="3"/>
  <c r="AZ128" i="3" s="1"/>
  <c r="AZ129" i="3"/>
  <c r="BL139" i="3"/>
  <c r="AZ139" i="3" s="1"/>
  <c r="AZ142" i="3"/>
  <c r="BA144" i="3"/>
  <c r="BL191" i="3"/>
  <c r="AZ207" i="3"/>
  <c r="BA208" i="3"/>
  <c r="AZ210" i="3"/>
  <c r="BL255" i="3"/>
  <c r="AZ255" i="3" s="1"/>
  <c r="AZ378" i="3"/>
  <c r="AZ476" i="3"/>
  <c r="AZ478" i="3"/>
  <c r="AZ481" i="3"/>
  <c r="U26" i="33"/>
  <c r="AB26" i="33"/>
  <c r="AZ202" i="3"/>
  <c r="AZ212" i="3"/>
  <c r="B24" i="72"/>
  <c r="BA14" i="3"/>
  <c r="AZ14" i="3" s="1"/>
  <c r="G109" i="3"/>
  <c r="G113" i="3"/>
  <c r="BA119" i="3"/>
  <c r="BA120" i="3"/>
  <c r="AZ120" i="3" s="1"/>
  <c r="BL138" i="3"/>
  <c r="AZ138" i="3" s="1"/>
  <c r="BA145" i="3"/>
  <c r="AZ145" i="3" s="1"/>
  <c r="BA150" i="3"/>
  <c r="BA151" i="3"/>
  <c r="AZ151" i="3" s="1"/>
  <c r="BA152" i="3"/>
  <c r="BA155" i="3"/>
  <c r="BA164" i="3"/>
  <c r="AZ164" i="3" s="1"/>
  <c r="BL184" i="3"/>
  <c r="BL194" i="3"/>
  <c r="AZ194" i="3" s="1"/>
  <c r="BL197" i="3"/>
  <c r="AZ197" i="3" s="1"/>
  <c r="BL198" i="3"/>
  <c r="AZ198" i="3" s="1"/>
  <c r="BL199" i="3"/>
  <c r="AZ199" i="3" s="1"/>
  <c r="G201" i="3"/>
  <c r="BL203" i="3"/>
  <c r="G204" i="3"/>
  <c r="BA209" i="3"/>
  <c r="AZ209" i="3" s="1"/>
  <c r="BA214" i="3"/>
  <c r="AZ214" i="3" s="1"/>
  <c r="BA215" i="3"/>
  <c r="AZ215" i="3" s="1"/>
  <c r="BA216" i="3"/>
  <c r="AZ216" i="3" s="1"/>
  <c r="BA219" i="3"/>
  <c r="AZ219" i="3" s="1"/>
  <c r="BA228" i="3"/>
  <c r="AZ228" i="3" s="1"/>
  <c r="BL248" i="3"/>
  <c r="BL258" i="3"/>
  <c r="BL261" i="3"/>
  <c r="AZ261" i="3" s="1"/>
  <c r="BL262" i="3"/>
  <c r="AZ262" i="3" s="1"/>
  <c r="BL263" i="3"/>
  <c r="AZ263" i="3" s="1"/>
  <c r="G265" i="3"/>
  <c r="BL267" i="3"/>
  <c r="AZ267" i="3" s="1"/>
  <c r="G268" i="3"/>
  <c r="BA274" i="3"/>
  <c r="BA321" i="3"/>
  <c r="AZ321" i="3" s="1"/>
  <c r="AZ323" i="3"/>
  <c r="AZ399" i="3"/>
  <c r="AZ404" i="3"/>
  <c r="BA473" i="3"/>
  <c r="AZ480" i="3"/>
  <c r="AZ519" i="3"/>
  <c r="BL545" i="3"/>
  <c r="N56" i="80"/>
  <c r="J56" i="80"/>
  <c r="J57" i="80" s="1"/>
  <c r="J59" i="80" s="1"/>
  <c r="J61" i="80" s="1"/>
  <c r="K56" i="9"/>
  <c r="M56" i="80"/>
  <c r="K56" i="80"/>
  <c r="N56" i="9"/>
  <c r="M56" i="9"/>
  <c r="J56" i="9"/>
  <c r="J57" i="9" s="1"/>
  <c r="J59" i="9" s="1"/>
  <c r="J61" i="9" s="1"/>
  <c r="AZ193" i="3"/>
  <c r="AZ257" i="3"/>
  <c r="AZ266" i="3"/>
  <c r="AZ272" i="3"/>
  <c r="AZ335" i="3"/>
  <c r="AZ486" i="3"/>
  <c r="BL126" i="3"/>
  <c r="AZ126" i="3" s="1"/>
  <c r="BL127" i="3"/>
  <c r="AZ127" i="3" s="1"/>
  <c r="G128" i="3"/>
  <c r="BA131" i="3"/>
  <c r="AZ131" i="3" s="1"/>
  <c r="BA132" i="3"/>
  <c r="AZ132" i="3" s="1"/>
  <c r="BL141" i="3"/>
  <c r="AZ141" i="3" s="1"/>
  <c r="BL142" i="3"/>
  <c r="BL143" i="3"/>
  <c r="AZ143" i="3" s="1"/>
  <c r="BA158" i="3"/>
  <c r="BA160" i="3"/>
  <c r="AZ160" i="3" s="1"/>
  <c r="AZ162" i="3"/>
  <c r="BA163" i="3"/>
  <c r="AZ172" i="3"/>
  <c r="BL202" i="3"/>
  <c r="BL205" i="3"/>
  <c r="BL207" i="3"/>
  <c r="BA222" i="3"/>
  <c r="AZ222" i="3" s="1"/>
  <c r="AZ223" i="3"/>
  <c r="BA224" i="3"/>
  <c r="AZ224" i="3" s="1"/>
  <c r="AZ226" i="3"/>
  <c r="BA227" i="3"/>
  <c r="BL266" i="3"/>
  <c r="BL269" i="3"/>
  <c r="AZ289" i="3"/>
  <c r="BA295" i="3"/>
  <c r="BL302" i="3"/>
  <c r="AZ302" i="3" s="1"/>
  <c r="AZ306" i="3"/>
  <c r="AZ383" i="3"/>
  <c r="G13" i="3"/>
  <c r="BL118" i="3"/>
  <c r="BL5" i="3" s="1"/>
  <c r="BL119" i="3"/>
  <c r="G129" i="3"/>
  <c r="BL146" i="3"/>
  <c r="AZ146" i="3" s="1"/>
  <c r="BL149" i="3"/>
  <c r="BL150" i="3"/>
  <c r="BL151" i="3"/>
  <c r="G153" i="3"/>
  <c r="BL155" i="3"/>
  <c r="G156" i="3"/>
  <c r="BA161" i="3"/>
  <c r="AZ161" i="3" s="1"/>
  <c r="BA166" i="3"/>
  <c r="BA168" i="3"/>
  <c r="AZ168" i="3" s="1"/>
  <c r="AZ170" i="3"/>
  <c r="BA171" i="3"/>
  <c r="AZ171" i="3" s="1"/>
  <c r="BA180" i="3"/>
  <c r="AZ180" i="3" s="1"/>
  <c r="BL210" i="3"/>
  <c r="BL213" i="3"/>
  <c r="BL214" i="3"/>
  <c r="BL215" i="3"/>
  <c r="G217" i="3"/>
  <c r="BL219" i="3"/>
  <c r="G220" i="3"/>
  <c r="BA225" i="3"/>
  <c r="AZ225" i="3" s="1"/>
  <c r="BA230" i="3"/>
  <c r="BA231" i="3"/>
  <c r="BA232" i="3"/>
  <c r="AZ232" i="3" s="1"/>
  <c r="BA235" i="3"/>
  <c r="BA244" i="3"/>
  <c r="AZ244" i="3" s="1"/>
  <c r="BL274" i="3"/>
  <c r="AZ286" i="3"/>
  <c r="AZ314" i="3"/>
  <c r="AZ330" i="3"/>
  <c r="AZ355" i="3"/>
  <c r="AZ380" i="3"/>
  <c r="AZ410" i="3"/>
  <c r="AZ463" i="3"/>
  <c r="AZ541" i="3"/>
  <c r="J55" i="39"/>
  <c r="J50" i="40"/>
  <c r="BM5" i="3"/>
  <c r="F29" i="6" s="1"/>
  <c r="E29" i="6" s="1"/>
  <c r="K15" i="1" s="1"/>
  <c r="BA116" i="3"/>
  <c r="AZ116" i="3" s="1"/>
  <c r="G121" i="3"/>
  <c r="BL131" i="3"/>
  <c r="G132" i="3"/>
  <c r="BA134" i="3"/>
  <c r="AZ134" i="3" s="1"/>
  <c r="BA135" i="3"/>
  <c r="AZ135" i="3" s="1"/>
  <c r="BA136" i="3"/>
  <c r="AZ136" i="3" s="1"/>
  <c r="BL144" i="3"/>
  <c r="BL154" i="3"/>
  <c r="AZ154" i="3" s="1"/>
  <c r="BL157" i="3"/>
  <c r="BL158" i="3"/>
  <c r="BL159" i="3"/>
  <c r="AZ159" i="3" s="1"/>
  <c r="G161" i="3"/>
  <c r="BL163" i="3"/>
  <c r="G164" i="3"/>
  <c r="BA169" i="3"/>
  <c r="AZ169" i="3" s="1"/>
  <c r="BA174" i="3"/>
  <c r="AZ174" i="3" s="1"/>
  <c r="BA175" i="3"/>
  <c r="AZ175" i="3" s="1"/>
  <c r="BA176" i="3"/>
  <c r="AZ176" i="3" s="1"/>
  <c r="BA179" i="3"/>
  <c r="AZ179" i="3" s="1"/>
  <c r="BA188" i="3"/>
  <c r="AZ188" i="3" s="1"/>
  <c r="BL208" i="3"/>
  <c r="BL218" i="3"/>
  <c r="AZ218" i="3" s="1"/>
  <c r="BL221" i="3"/>
  <c r="BL222" i="3"/>
  <c r="BL223" i="3"/>
  <c r="G225" i="3"/>
  <c r="BL227" i="3"/>
  <c r="G228" i="3"/>
  <c r="BA233" i="3"/>
  <c r="AZ233" i="3" s="1"/>
  <c r="BA238" i="3"/>
  <c r="AZ238" i="3" s="1"/>
  <c r="BA239" i="3"/>
  <c r="AZ239" i="3" s="1"/>
  <c r="BA240" i="3"/>
  <c r="AZ240" i="3" s="1"/>
  <c r="BA243" i="3"/>
  <c r="AZ243" i="3" s="1"/>
  <c r="BA252" i="3"/>
  <c r="AZ252" i="3" s="1"/>
  <c r="BA287" i="3"/>
  <c r="AZ287" i="3" s="1"/>
  <c r="BL294" i="3"/>
  <c r="AZ294" i="3" s="1"/>
  <c r="G334" i="3"/>
  <c r="BA350" i="3"/>
  <c r="AZ350" i="3" s="1"/>
  <c r="AZ353" i="3"/>
  <c r="AZ447" i="3"/>
  <c r="AZ491" i="3"/>
  <c r="AZ506" i="3"/>
  <c r="BL520" i="3"/>
  <c r="AZ547" i="3"/>
  <c r="B59" i="43"/>
  <c r="C19" i="39"/>
  <c r="B73" i="43"/>
  <c r="B52" i="43"/>
  <c r="B63" i="43"/>
  <c r="AZ191" i="3"/>
  <c r="AZ204" i="3"/>
  <c r="K4" i="4"/>
  <c r="B46" i="48" s="1"/>
  <c r="B4" i="72" s="1"/>
  <c r="B4" i="62"/>
  <c r="B71" i="72" s="1"/>
  <c r="K5" i="4"/>
  <c r="B47" i="48" s="1"/>
  <c r="BA123" i="3"/>
  <c r="AZ123" i="3" s="1"/>
  <c r="BA124" i="3"/>
  <c r="AZ124" i="3" s="1"/>
  <c r="BL130" i="3"/>
  <c r="AZ130" i="3" s="1"/>
  <c r="BL152" i="3"/>
  <c r="BL165" i="3"/>
  <c r="AZ165" i="3" s="1"/>
  <c r="BL166" i="3"/>
  <c r="BL167" i="3"/>
  <c r="AZ167" i="3" s="1"/>
  <c r="G169" i="3"/>
  <c r="BL171" i="3"/>
  <c r="G172" i="3"/>
  <c r="BA177" i="3"/>
  <c r="AZ177" i="3" s="1"/>
  <c r="BA182" i="3"/>
  <c r="AZ182" i="3" s="1"/>
  <c r="BA183" i="3"/>
  <c r="AZ183" i="3" s="1"/>
  <c r="BA184" i="3"/>
  <c r="AZ184" i="3" s="1"/>
  <c r="BA187" i="3"/>
  <c r="AZ187" i="3" s="1"/>
  <c r="BA196" i="3"/>
  <c r="AZ196" i="3" s="1"/>
  <c r="BL216" i="3"/>
  <c r="BL229" i="3"/>
  <c r="AZ229" i="3" s="1"/>
  <c r="BL230" i="3"/>
  <c r="BL231" i="3"/>
  <c r="G233" i="3"/>
  <c r="BL235" i="3"/>
  <c r="G236" i="3"/>
  <c r="BA241" i="3"/>
  <c r="AZ241" i="3" s="1"/>
  <c r="BA246" i="3"/>
  <c r="AZ246" i="3" s="1"/>
  <c r="BA247" i="3"/>
  <c r="AZ247" i="3" s="1"/>
  <c r="BA248" i="3"/>
  <c r="AZ248" i="3" s="1"/>
  <c r="BA251" i="3"/>
  <c r="AZ251" i="3" s="1"/>
  <c r="BA260" i="3"/>
  <c r="AZ260" i="3" s="1"/>
  <c r="AZ278" i="3"/>
  <c r="G289" i="3"/>
  <c r="AZ310" i="3"/>
  <c r="BL315" i="3"/>
  <c r="BL331" i="3"/>
  <c r="BA345" i="3"/>
  <c r="AZ345" i="3" s="1"/>
  <c r="AZ349" i="3"/>
  <c r="BL417" i="3"/>
  <c r="AZ417" i="3" s="1"/>
  <c r="AZ419" i="3"/>
  <c r="AZ420" i="3"/>
  <c r="BA434" i="3"/>
  <c r="BL453" i="3"/>
  <c r="AZ474" i="3"/>
  <c r="BL271" i="3"/>
  <c r="AZ271" i="3" s="1"/>
  <c r="BL272" i="3"/>
  <c r="BL276" i="3"/>
  <c r="AZ276" i="3" s="1"/>
  <c r="G278" i="3"/>
  <c r="BA285" i="3"/>
  <c r="AZ285" i="3" s="1"/>
  <c r="BA293" i="3"/>
  <c r="AZ293" i="3" s="1"/>
  <c r="BA301" i="3"/>
  <c r="AZ301" i="3" s="1"/>
  <c r="BA309" i="3"/>
  <c r="AZ309" i="3" s="1"/>
  <c r="BL316" i="3"/>
  <c r="AZ316" i="3" s="1"/>
  <c r="BL317" i="3"/>
  <c r="AZ317" i="3" s="1"/>
  <c r="BL320" i="3"/>
  <c r="AZ320" i="3" s="1"/>
  <c r="BL332" i="3"/>
  <c r="AZ332" i="3" s="1"/>
  <c r="BL335" i="3"/>
  <c r="BL341" i="3"/>
  <c r="AZ341" i="3" s="1"/>
  <c r="BL344" i="3"/>
  <c r="BL346" i="3"/>
  <c r="AZ346" i="3" s="1"/>
  <c r="G350" i="3"/>
  <c r="BA357" i="3"/>
  <c r="BA360" i="3"/>
  <c r="AZ360" i="3" s="1"/>
  <c r="BA361" i="3"/>
  <c r="AZ361" i="3" s="1"/>
  <c r="BA366" i="3"/>
  <c r="AZ366" i="3" s="1"/>
  <c r="BL369" i="3"/>
  <c r="BA371" i="3"/>
  <c r="AZ371" i="3" s="1"/>
  <c r="BA386" i="3"/>
  <c r="BL396" i="3"/>
  <c r="BL399" i="3"/>
  <c r="BL405" i="3"/>
  <c r="AZ405" i="3" s="1"/>
  <c r="BL408" i="3"/>
  <c r="AZ408" i="3" s="1"/>
  <c r="BL410" i="3"/>
  <c r="G414" i="3"/>
  <c r="BA421" i="3"/>
  <c r="BA424" i="3"/>
  <c r="AZ424" i="3" s="1"/>
  <c r="BA425" i="3"/>
  <c r="AZ425" i="3" s="1"/>
  <c r="BA430" i="3"/>
  <c r="AZ430" i="3" s="1"/>
  <c r="BL433" i="3"/>
  <c r="BA435" i="3"/>
  <c r="AZ435" i="3" s="1"/>
  <c r="BA450" i="3"/>
  <c r="AZ450" i="3" s="1"/>
  <c r="BL460" i="3"/>
  <c r="BL463" i="3"/>
  <c r="BL469" i="3"/>
  <c r="AZ469" i="3" s="1"/>
  <c r="BL472" i="3"/>
  <c r="AZ472" i="3" s="1"/>
  <c r="BL474" i="3"/>
  <c r="G478" i="3"/>
  <c r="BA485" i="3"/>
  <c r="AZ485" i="3" s="1"/>
  <c r="BA488" i="3"/>
  <c r="BA489" i="3"/>
  <c r="AZ489" i="3" s="1"/>
  <c r="BA494" i="3"/>
  <c r="AZ494" i="3" s="1"/>
  <c r="BL497" i="3"/>
  <c r="BA499" i="3"/>
  <c r="AZ499" i="3" s="1"/>
  <c r="BA514" i="3"/>
  <c r="BL524" i="3"/>
  <c r="BL527" i="3"/>
  <c r="AZ527" i="3" s="1"/>
  <c r="BL533" i="3"/>
  <c r="AZ533" i="3" s="1"/>
  <c r="BL536" i="3"/>
  <c r="AZ536" i="3" s="1"/>
  <c r="BL538" i="3"/>
  <c r="AZ538" i="3" s="1"/>
  <c r="BL550" i="3"/>
  <c r="AZ550" i="3" s="1"/>
  <c r="BL553" i="3"/>
  <c r="AZ553" i="3" s="1"/>
  <c r="BL556" i="3"/>
  <c r="BA560" i="3"/>
  <c r="AZ560" i="3" s="1"/>
  <c r="BL567" i="3"/>
  <c r="AZ567" i="3" s="1"/>
  <c r="AZ586" i="3"/>
  <c r="BA587" i="3"/>
  <c r="AZ587" i="3" s="1"/>
  <c r="G285" i="3"/>
  <c r="G293" i="3"/>
  <c r="G301" i="3"/>
  <c r="G309" i="3"/>
  <c r="BL319" i="3"/>
  <c r="AZ319" i="3" s="1"/>
  <c r="BA326" i="3"/>
  <c r="AZ326" i="3" s="1"/>
  <c r="BL340" i="3"/>
  <c r="AZ340" i="3" s="1"/>
  <c r="BL343" i="3"/>
  <c r="AZ343" i="3" s="1"/>
  <c r="BL349" i="3"/>
  <c r="BL352" i="3"/>
  <c r="AZ352" i="3" s="1"/>
  <c r="BL354" i="3"/>
  <c r="AZ354" i="3" s="1"/>
  <c r="G358" i="3"/>
  <c r="BA365" i="3"/>
  <c r="AZ365" i="3" s="1"/>
  <c r="BA368" i="3"/>
  <c r="AZ368" i="3" s="1"/>
  <c r="BA369" i="3"/>
  <c r="AZ369" i="3" s="1"/>
  <c r="BA374" i="3"/>
  <c r="AZ374" i="3" s="1"/>
  <c r="BL377" i="3"/>
  <c r="BA379" i="3"/>
  <c r="AZ379" i="3" s="1"/>
  <c r="BA394" i="3"/>
  <c r="AZ394" i="3" s="1"/>
  <c r="BL404" i="3"/>
  <c r="BL407" i="3"/>
  <c r="AZ407" i="3" s="1"/>
  <c r="BL413" i="3"/>
  <c r="AZ413" i="3" s="1"/>
  <c r="BL416" i="3"/>
  <c r="AZ416" i="3" s="1"/>
  <c r="BL418" i="3"/>
  <c r="AZ418" i="3" s="1"/>
  <c r="G422" i="3"/>
  <c r="BA429" i="3"/>
  <c r="AZ429" i="3" s="1"/>
  <c r="BA432" i="3"/>
  <c r="AZ432" i="3" s="1"/>
  <c r="BA433" i="3"/>
  <c r="BA438" i="3"/>
  <c r="AZ438" i="3" s="1"/>
  <c r="BL441" i="3"/>
  <c r="BA443" i="3"/>
  <c r="AZ443" i="3" s="1"/>
  <c r="BA458" i="3"/>
  <c r="AZ458" i="3" s="1"/>
  <c r="BL468" i="3"/>
  <c r="AZ468" i="3" s="1"/>
  <c r="BL471" i="3"/>
  <c r="AZ471" i="3" s="1"/>
  <c r="BL477" i="3"/>
  <c r="AZ477" i="3" s="1"/>
  <c r="BL480" i="3"/>
  <c r="BL482" i="3"/>
  <c r="AZ482" i="3" s="1"/>
  <c r="G486" i="3"/>
  <c r="BA493" i="3"/>
  <c r="AZ493" i="3" s="1"/>
  <c r="BA496" i="3"/>
  <c r="AZ496" i="3" s="1"/>
  <c r="BA497" i="3"/>
  <c r="AZ497" i="3" s="1"/>
  <c r="BA502" i="3"/>
  <c r="AZ502" i="3" s="1"/>
  <c r="BL505" i="3"/>
  <c r="BA507" i="3"/>
  <c r="AZ507" i="3" s="1"/>
  <c r="BA522" i="3"/>
  <c r="AZ522" i="3" s="1"/>
  <c r="BL532" i="3"/>
  <c r="AZ532" i="3" s="1"/>
  <c r="BL535" i="3"/>
  <c r="AZ535" i="3" s="1"/>
  <c r="BL562" i="3"/>
  <c r="AZ577" i="3"/>
  <c r="BA580" i="3"/>
  <c r="AZ580" i="3" s="1"/>
  <c r="S39" i="33"/>
  <c r="AA39" i="33"/>
  <c r="BA280" i="3"/>
  <c r="BL284" i="3"/>
  <c r="AZ284" i="3" s="1"/>
  <c r="G286" i="3"/>
  <c r="BA288" i="3"/>
  <c r="BL292" i="3"/>
  <c r="AZ292" i="3" s="1"/>
  <c r="G294" i="3"/>
  <c r="BA296" i="3"/>
  <c r="BL300" i="3"/>
  <c r="AZ300" i="3" s="1"/>
  <c r="G302" i="3"/>
  <c r="BA304" i="3"/>
  <c r="BL308" i="3"/>
  <c r="G310" i="3"/>
  <c r="BA312" i="3"/>
  <c r="BA313" i="3"/>
  <c r="AZ313" i="3" s="1"/>
  <c r="BL322" i="3"/>
  <c r="AZ322" i="3" s="1"/>
  <c r="BA325" i="3"/>
  <c r="AZ325" i="3" s="1"/>
  <c r="BA328" i="3"/>
  <c r="AZ328" i="3" s="1"/>
  <c r="BA329" i="3"/>
  <c r="AZ329" i="3" s="1"/>
  <c r="BA338" i="3"/>
  <c r="AZ338" i="3" s="1"/>
  <c r="BL348" i="3"/>
  <c r="AZ348" i="3" s="1"/>
  <c r="BL351" i="3"/>
  <c r="AZ351" i="3" s="1"/>
  <c r="BL357" i="3"/>
  <c r="BL360" i="3"/>
  <c r="BL362" i="3"/>
  <c r="G366" i="3"/>
  <c r="BA373" i="3"/>
  <c r="AZ373" i="3" s="1"/>
  <c r="BA376" i="3"/>
  <c r="AZ376" i="3" s="1"/>
  <c r="BA377" i="3"/>
  <c r="AZ377" i="3" s="1"/>
  <c r="BA382" i="3"/>
  <c r="AZ382" i="3" s="1"/>
  <c r="BL385" i="3"/>
  <c r="AZ385" i="3" s="1"/>
  <c r="BA402" i="3"/>
  <c r="AZ402" i="3" s="1"/>
  <c r="BL412" i="3"/>
  <c r="BL415" i="3"/>
  <c r="AZ415" i="3" s="1"/>
  <c r="BL421" i="3"/>
  <c r="BL424" i="3"/>
  <c r="G430" i="3"/>
  <c r="BA437" i="3"/>
  <c r="AZ437" i="3" s="1"/>
  <c r="BA440" i="3"/>
  <c r="AZ440" i="3" s="1"/>
  <c r="BA441" i="3"/>
  <c r="BA446" i="3"/>
  <c r="AZ446" i="3" s="1"/>
  <c r="BL449" i="3"/>
  <c r="AZ449" i="3" s="1"/>
  <c r="BA466" i="3"/>
  <c r="AZ466" i="3" s="1"/>
  <c r="BL476" i="3"/>
  <c r="BL479" i="3"/>
  <c r="BL485" i="3"/>
  <c r="BL488" i="3"/>
  <c r="G494" i="3"/>
  <c r="BA501" i="3"/>
  <c r="AZ501" i="3" s="1"/>
  <c r="BA504" i="3"/>
  <c r="AZ504" i="3" s="1"/>
  <c r="BA505" i="3"/>
  <c r="BA510" i="3"/>
  <c r="AZ510" i="3" s="1"/>
  <c r="BL513" i="3"/>
  <c r="BA530" i="3"/>
  <c r="AZ530" i="3" s="1"/>
  <c r="BL540" i="3"/>
  <c r="AZ540" i="3" s="1"/>
  <c r="BA544" i="3"/>
  <c r="AZ544" i="3" s="1"/>
  <c r="BL559" i="3"/>
  <c r="AZ559" i="3" s="1"/>
  <c r="BA561" i="3"/>
  <c r="AZ561" i="3" s="1"/>
  <c r="BA562" i="3"/>
  <c r="AZ562" i="3" s="1"/>
  <c r="AZ564" i="3"/>
  <c r="BA578" i="3"/>
  <c r="BA315" i="3"/>
  <c r="BA331" i="3"/>
  <c r="AZ331" i="3" s="1"/>
  <c r="BL356" i="3"/>
  <c r="AZ356" i="3" s="1"/>
  <c r="BL359" i="3"/>
  <c r="AZ359" i="3" s="1"/>
  <c r="BL370" i="3"/>
  <c r="AZ370" i="3" s="1"/>
  <c r="BA381" i="3"/>
  <c r="AZ381" i="3" s="1"/>
  <c r="BA384" i="3"/>
  <c r="AZ388" i="3"/>
  <c r="AZ390" i="3"/>
  <c r="BA395" i="3"/>
  <c r="AZ395" i="3" s="1"/>
  <c r="BL420" i="3"/>
  <c r="BL423" i="3"/>
  <c r="AZ423" i="3" s="1"/>
  <c r="BL434" i="3"/>
  <c r="BA445" i="3"/>
  <c r="BA448" i="3"/>
  <c r="AZ452" i="3"/>
  <c r="AZ454" i="3"/>
  <c r="BA459" i="3"/>
  <c r="AZ459" i="3" s="1"/>
  <c r="BL484" i="3"/>
  <c r="AZ484" i="3" s="1"/>
  <c r="BL487" i="3"/>
  <c r="AZ487" i="3" s="1"/>
  <c r="BL498" i="3"/>
  <c r="AZ498" i="3" s="1"/>
  <c r="BA509" i="3"/>
  <c r="BA512" i="3"/>
  <c r="AZ513" i="3"/>
  <c r="AZ516" i="3"/>
  <c r="AZ518" i="3"/>
  <c r="BA523" i="3"/>
  <c r="AZ523" i="3" s="1"/>
  <c r="BA573" i="3"/>
  <c r="A124" i="9"/>
  <c r="A10" i="52" s="1"/>
  <c r="B55" i="72" s="1"/>
  <c r="H109" i="9"/>
  <c r="E105" i="37"/>
  <c r="H36" i="37"/>
  <c r="AB36" i="37" s="1"/>
  <c r="AB14" i="21"/>
  <c r="U14" i="21"/>
  <c r="W15" i="34"/>
  <c r="AC15" i="34"/>
  <c r="BL279" i="3"/>
  <c r="AZ279" i="3" s="1"/>
  <c r="BL280" i="3"/>
  <c r="BL288" i="3"/>
  <c r="BL296" i="3"/>
  <c r="BL304" i="3"/>
  <c r="BL312" i="3"/>
  <c r="BL324" i="3"/>
  <c r="AZ324" i="3" s="1"/>
  <c r="BL325" i="3"/>
  <c r="BL328" i="3"/>
  <c r="AZ334" i="3"/>
  <c r="BA339" i="3"/>
  <c r="AZ339" i="3" s="1"/>
  <c r="BL364" i="3"/>
  <c r="AZ364" i="3" s="1"/>
  <c r="BL367" i="3"/>
  <c r="AZ367" i="3" s="1"/>
  <c r="BL378" i="3"/>
  <c r="BA389" i="3"/>
  <c r="AZ389" i="3" s="1"/>
  <c r="BA392" i="3"/>
  <c r="AZ392" i="3" s="1"/>
  <c r="AZ393" i="3"/>
  <c r="AZ396" i="3"/>
  <c r="AZ398" i="3"/>
  <c r="BA403" i="3"/>
  <c r="AZ403" i="3" s="1"/>
  <c r="BL428" i="3"/>
  <c r="AZ428" i="3" s="1"/>
  <c r="BL431" i="3"/>
  <c r="AZ431" i="3" s="1"/>
  <c r="BL442" i="3"/>
  <c r="AZ442" i="3" s="1"/>
  <c r="BA453" i="3"/>
  <c r="BA456" i="3"/>
  <c r="AZ456" i="3" s="1"/>
  <c r="AZ457" i="3"/>
  <c r="AZ460" i="3"/>
  <c r="AZ462" i="3"/>
  <c r="BA467" i="3"/>
  <c r="AZ467" i="3" s="1"/>
  <c r="BL492" i="3"/>
  <c r="AZ492" i="3" s="1"/>
  <c r="BL495" i="3"/>
  <c r="AZ495" i="3" s="1"/>
  <c r="BL506" i="3"/>
  <c r="BA517" i="3"/>
  <c r="AZ517" i="3" s="1"/>
  <c r="BA520" i="3"/>
  <c r="AZ520" i="3" s="1"/>
  <c r="AZ521" i="3"/>
  <c r="AZ524" i="3"/>
  <c r="AZ526" i="3"/>
  <c r="BA531" i="3"/>
  <c r="AZ531" i="3" s="1"/>
  <c r="BA545" i="3"/>
  <c r="AZ546" i="3"/>
  <c r="BA548" i="3"/>
  <c r="AZ548" i="3" s="1"/>
  <c r="AZ556" i="3"/>
  <c r="AZ565" i="3"/>
  <c r="AC19" i="37"/>
  <c r="W19" i="37"/>
  <c r="AB10" i="21"/>
  <c r="U10" i="21"/>
  <c r="BA283" i="3"/>
  <c r="AZ283" i="3" s="1"/>
  <c r="BL287" i="3"/>
  <c r="BA291" i="3"/>
  <c r="AZ291" i="3" s="1"/>
  <c r="BL295" i="3"/>
  <c r="BA299" i="3"/>
  <c r="AZ299" i="3" s="1"/>
  <c r="BL303" i="3"/>
  <c r="AZ303" i="3" s="1"/>
  <c r="BA307" i="3"/>
  <c r="AZ307" i="3" s="1"/>
  <c r="BL311" i="3"/>
  <c r="AZ311" i="3" s="1"/>
  <c r="BA318" i="3"/>
  <c r="AZ318" i="3" s="1"/>
  <c r="BL327" i="3"/>
  <c r="BA333" i="3"/>
  <c r="AZ333" i="3" s="1"/>
  <c r="BA336" i="3"/>
  <c r="AZ336" i="3" s="1"/>
  <c r="BA337" i="3"/>
  <c r="AZ337" i="3" s="1"/>
  <c r="BA342" i="3"/>
  <c r="AZ342" i="3" s="1"/>
  <c r="BL345" i="3"/>
  <c r="BA347" i="3"/>
  <c r="AZ347" i="3" s="1"/>
  <c r="BA362" i="3"/>
  <c r="AZ362" i="3" s="1"/>
  <c r="BL381" i="3"/>
  <c r="BL384" i="3"/>
  <c r="BL386" i="3"/>
  <c r="G390" i="3"/>
  <c r="BA397" i="3"/>
  <c r="AZ397" i="3" s="1"/>
  <c r="BA400" i="3"/>
  <c r="AZ400" i="3" s="1"/>
  <c r="BA401" i="3"/>
  <c r="AZ401" i="3" s="1"/>
  <c r="BA406" i="3"/>
  <c r="AZ406" i="3" s="1"/>
  <c r="BL409" i="3"/>
  <c r="BA411" i="3"/>
  <c r="AZ411" i="3" s="1"/>
  <c r="BA426" i="3"/>
  <c r="AZ426" i="3" s="1"/>
  <c r="BL445" i="3"/>
  <c r="BL448" i="3"/>
  <c r="BL450" i="3"/>
  <c r="G454" i="3"/>
  <c r="BA461" i="3"/>
  <c r="AZ461" i="3" s="1"/>
  <c r="BA464" i="3"/>
  <c r="AZ464" i="3" s="1"/>
  <c r="BA465" i="3"/>
  <c r="AZ465" i="3" s="1"/>
  <c r="BA470" i="3"/>
  <c r="AZ470" i="3" s="1"/>
  <c r="BL473" i="3"/>
  <c r="BA475" i="3"/>
  <c r="AZ475" i="3" s="1"/>
  <c r="BA490" i="3"/>
  <c r="AZ490" i="3" s="1"/>
  <c r="BL509" i="3"/>
  <c r="BL512" i="3"/>
  <c r="BL514" i="3"/>
  <c r="G518" i="3"/>
  <c r="BA525" i="3"/>
  <c r="AZ525" i="3" s="1"/>
  <c r="BA528" i="3"/>
  <c r="AZ528" i="3" s="1"/>
  <c r="BA529" i="3"/>
  <c r="AZ529" i="3" s="1"/>
  <c r="BA534" i="3"/>
  <c r="AZ534" i="3" s="1"/>
  <c r="BL537" i="3"/>
  <c r="AZ537" i="3" s="1"/>
  <c r="BA539" i="3"/>
  <c r="AZ539" i="3" s="1"/>
  <c r="BA543" i="3"/>
  <c r="AZ543" i="3" s="1"/>
  <c r="BA551" i="3"/>
  <c r="AZ551" i="3" s="1"/>
  <c r="BA554" i="3"/>
  <c r="AZ554" i="3" s="1"/>
  <c r="BA555" i="3"/>
  <c r="AZ555" i="3" s="1"/>
  <c r="BA557" i="3"/>
  <c r="BL558" i="3"/>
  <c r="BL560" i="3"/>
  <c r="BA568" i="3"/>
  <c r="AZ568" i="3" s="1"/>
  <c r="BL572" i="3"/>
  <c r="AZ572" i="3" s="1"/>
  <c r="BL583" i="3"/>
  <c r="H12" i="37"/>
  <c r="AB12" i="37" s="1"/>
  <c r="J12" i="37"/>
  <c r="AC12" i="37" s="1"/>
  <c r="F12" i="37"/>
  <c r="AA12" i="37" s="1"/>
  <c r="U14" i="34"/>
  <c r="AB14" i="34"/>
  <c r="BL549" i="3"/>
  <c r="AZ549" i="3" s="1"/>
  <c r="BA583" i="3"/>
  <c r="B88" i="43"/>
  <c r="C21" i="40"/>
  <c r="AA40" i="37"/>
  <c r="S40" i="37"/>
  <c r="D124" i="80"/>
  <c r="D125" i="80" s="1"/>
  <c r="H110" i="80"/>
  <c r="W29" i="21"/>
  <c r="AC29" i="21"/>
  <c r="S12" i="33"/>
  <c r="AA12" i="33"/>
  <c r="W36" i="35"/>
  <c r="AC36" i="35"/>
  <c r="BL570" i="3"/>
  <c r="AZ570" i="3" s="1"/>
  <c r="BL581" i="3"/>
  <c r="AZ581" i="3" s="1"/>
  <c r="BL582" i="3"/>
  <c r="AZ582" i="3" s="1"/>
  <c r="BL586" i="3"/>
  <c r="C23" i="40"/>
  <c r="B85" i="43"/>
  <c r="AB21" i="37"/>
  <c r="AA13" i="21"/>
  <c r="S13" i="21"/>
  <c r="W12" i="33"/>
  <c r="AC12" i="33"/>
  <c r="W33" i="33"/>
  <c r="AC33" i="33"/>
  <c r="J14" i="34"/>
  <c r="F14" i="34"/>
  <c r="U12" i="35"/>
  <c r="AB12" i="35"/>
  <c r="U18" i="35"/>
  <c r="AB18" i="35"/>
  <c r="W12" i="35"/>
  <c r="AC12" i="35"/>
  <c r="W40" i="40"/>
  <c r="AC40" i="40"/>
  <c r="D121" i="9"/>
  <c r="D7" i="52" s="1"/>
  <c r="S39" i="37"/>
  <c r="AA39" i="37"/>
  <c r="AB13" i="21"/>
  <c r="U13" i="21"/>
  <c r="W37" i="21"/>
  <c r="AC37" i="21"/>
  <c r="S10" i="35"/>
  <c r="AA10" i="35"/>
  <c r="BA542" i="3"/>
  <c r="AZ542" i="3" s="1"/>
  <c r="BA558" i="3"/>
  <c r="AZ558" i="3" s="1"/>
  <c r="BA574" i="3"/>
  <c r="AZ574" i="3" s="1"/>
  <c r="BA579" i="3"/>
  <c r="AZ579" i="3" s="1"/>
  <c r="S11" i="1"/>
  <c r="AR11" i="1" s="1"/>
  <c r="B11" i="1"/>
  <c r="E11" i="1" s="1"/>
  <c r="AB8" i="21"/>
  <c r="U8" i="21"/>
  <c r="AA28" i="21"/>
  <c r="S28" i="21"/>
  <c r="U45" i="21"/>
  <c r="AB45" i="21"/>
  <c r="AB8" i="33"/>
  <c r="U8" i="33"/>
  <c r="U13" i="34"/>
  <c r="AB13" i="34"/>
  <c r="W34" i="36"/>
  <c r="AC34" i="36"/>
  <c r="U9" i="39"/>
  <c r="AB9" i="39"/>
  <c r="BL541" i="3"/>
  <c r="BL557" i="3"/>
  <c r="BA575" i="3"/>
  <c r="AZ575" i="3" s="1"/>
  <c r="P74" i="79"/>
  <c r="P61" i="79"/>
  <c r="R25" i="77"/>
  <c r="AC8" i="21"/>
  <c r="W8" i="21"/>
  <c r="S35" i="21"/>
  <c r="AA35" i="21"/>
  <c r="U29" i="21"/>
  <c r="AB29" i="21"/>
  <c r="S40" i="33"/>
  <c r="AA40" i="33"/>
  <c r="W41" i="33"/>
  <c r="AC41" i="33"/>
  <c r="S11" i="34"/>
  <c r="AA11" i="34"/>
  <c r="W19" i="34"/>
  <c r="AC19" i="34"/>
  <c r="U23" i="36"/>
  <c r="AB23" i="36"/>
  <c r="S30" i="36"/>
  <c r="AA30" i="36"/>
  <c r="G555" i="3"/>
  <c r="BA566" i="3"/>
  <c r="AZ566" i="3" s="1"/>
  <c r="BL573" i="3"/>
  <c r="BL574" i="3"/>
  <c r="BL578" i="3"/>
  <c r="G580" i="3"/>
  <c r="S12" i="1"/>
  <c r="AQ12" i="1" s="1"/>
  <c r="B12" i="1"/>
  <c r="E12" i="1" s="1"/>
  <c r="K12" i="1"/>
  <c r="M12" i="1" s="1"/>
  <c r="C29" i="39"/>
  <c r="B75" i="43"/>
  <c r="B66" i="43"/>
  <c r="B55" i="43"/>
  <c r="U8" i="37"/>
  <c r="AA9" i="37"/>
  <c r="H103" i="80"/>
  <c r="D120" i="80" s="1"/>
  <c r="R41" i="77"/>
  <c r="R35" i="77" s="1"/>
  <c r="U34" i="77" s="1"/>
  <c r="AA12" i="21"/>
  <c r="S12" i="21"/>
  <c r="U23" i="21"/>
  <c r="AB23" i="21"/>
  <c r="R8" i="1"/>
  <c r="G12" i="1"/>
  <c r="B77" i="43"/>
  <c r="B67" i="43"/>
  <c r="C25" i="39"/>
  <c r="B56" i="43"/>
  <c r="W29" i="37"/>
  <c r="U32" i="37"/>
  <c r="W37" i="37"/>
  <c r="U9" i="21"/>
  <c r="U19" i="21"/>
  <c r="AB31" i="21"/>
  <c r="AA45" i="21"/>
  <c r="AC8" i="33"/>
  <c r="W8" i="33"/>
  <c r="AB9" i="33"/>
  <c r="AC14" i="33"/>
  <c r="AB17" i="33"/>
  <c r="AB28" i="33"/>
  <c r="AC36" i="33"/>
  <c r="AB44" i="33"/>
  <c r="U12" i="33"/>
  <c r="AB12" i="33"/>
  <c r="J27" i="33"/>
  <c r="H27" i="33"/>
  <c r="F27" i="33"/>
  <c r="W31" i="33"/>
  <c r="AC31" i="33"/>
  <c r="U35" i="34"/>
  <c r="AB35" i="34"/>
  <c r="U14" i="35"/>
  <c r="AB14" i="35"/>
  <c r="S16" i="36"/>
  <c r="AA16" i="36"/>
  <c r="S27" i="40"/>
  <c r="AA27" i="40"/>
  <c r="B8" i="1"/>
  <c r="E8" i="1" s="1"/>
  <c r="S8" i="1"/>
  <c r="AQ8" i="1" s="1"/>
  <c r="G9" i="1"/>
  <c r="R13" i="1"/>
  <c r="B86" i="43"/>
  <c r="C25" i="40"/>
  <c r="U9" i="37"/>
  <c r="H13" i="37"/>
  <c r="AB13" i="37" s="1"/>
  <c r="F19" i="37"/>
  <c r="W21" i="37"/>
  <c r="W32" i="37"/>
  <c r="E107" i="37"/>
  <c r="F107" i="37" s="1"/>
  <c r="G107" i="37" s="1"/>
  <c r="H107" i="37" s="1"/>
  <c r="I107" i="37" s="1"/>
  <c r="J107" i="37" s="1"/>
  <c r="K107" i="37" s="1"/>
  <c r="L107" i="37" s="1"/>
  <c r="M107" i="37" s="1"/>
  <c r="F37" i="37"/>
  <c r="D22" i="67"/>
  <c r="AA26" i="21"/>
  <c r="AC31" i="21"/>
  <c r="AB32" i="21"/>
  <c r="AB39" i="21"/>
  <c r="K145" i="21"/>
  <c r="K144" i="21"/>
  <c r="AC17" i="33"/>
  <c r="AA19" i="33"/>
  <c r="AB21" i="33"/>
  <c r="AC28" i="33"/>
  <c r="AB29" i="33"/>
  <c r="AC34" i="33"/>
  <c r="AA42" i="33"/>
  <c r="AC44" i="33"/>
  <c r="F45" i="34"/>
  <c r="J45" i="34"/>
  <c r="H45" i="34"/>
  <c r="W14" i="35"/>
  <c r="AC14" i="35"/>
  <c r="AB24" i="35"/>
  <c r="U24" i="35"/>
  <c r="G1" i="83"/>
  <c r="K9" i="1"/>
  <c r="M9" i="1" s="1"/>
  <c r="B13" i="1"/>
  <c r="E13" i="1" s="1"/>
  <c r="B65" i="43"/>
  <c r="B54" i="43"/>
  <c r="C27" i="39"/>
  <c r="H19" i="37"/>
  <c r="AB19" i="37" s="1"/>
  <c r="U39" i="37"/>
  <c r="D23" i="67"/>
  <c r="R19" i="77"/>
  <c r="R5" i="77" s="1"/>
  <c r="U5" i="77" s="1"/>
  <c r="C32" i="77"/>
  <c r="C38" i="77" s="1"/>
  <c r="C39" i="77" s="1"/>
  <c r="AB26" i="21"/>
  <c r="AA37" i="21"/>
  <c r="AC39" i="21"/>
  <c r="AB40" i="21"/>
  <c r="K141" i="21"/>
  <c r="AC21" i="33"/>
  <c r="AA23" i="33"/>
  <c r="AC42" i="33"/>
  <c r="J45" i="33"/>
  <c r="F45" i="33"/>
  <c r="AB17" i="34"/>
  <c r="AB21" i="34"/>
  <c r="S27" i="34"/>
  <c r="AA27" i="34"/>
  <c r="AA29" i="34"/>
  <c r="S29" i="34"/>
  <c r="U30" i="34"/>
  <c r="AB30" i="34"/>
  <c r="AA36" i="34"/>
  <c r="AC37" i="34"/>
  <c r="H31" i="34"/>
  <c r="F31" i="34"/>
  <c r="J31" i="34"/>
  <c r="J46" i="34"/>
  <c r="H46" i="34"/>
  <c r="W23" i="35"/>
  <c r="AC23" i="35"/>
  <c r="W35" i="35"/>
  <c r="AC35" i="35"/>
  <c r="J34" i="35"/>
  <c r="H34" i="35"/>
  <c r="F34" i="35"/>
  <c r="AB24" i="36"/>
  <c r="U24" i="36"/>
  <c r="U36" i="39"/>
  <c r="AB36" i="39"/>
  <c r="AB35" i="37"/>
  <c r="E38" i="77"/>
  <c r="E39" i="77" s="1"/>
  <c r="W12" i="21"/>
  <c r="AC12" i="21"/>
  <c r="J46" i="33"/>
  <c r="H46" i="33"/>
  <c r="F46" i="33"/>
  <c r="AC34" i="34"/>
  <c r="W34" i="34"/>
  <c r="S38" i="34"/>
  <c r="AA38" i="34"/>
  <c r="U41" i="34"/>
  <c r="AB41" i="34"/>
  <c r="J32" i="34"/>
  <c r="H32" i="34"/>
  <c r="S33" i="35"/>
  <c r="AA33" i="35"/>
  <c r="U31" i="39"/>
  <c r="AB31" i="39"/>
  <c r="B74" i="43"/>
  <c r="E29" i="77"/>
  <c r="E32" i="77" s="1"/>
  <c r="AB25" i="34"/>
  <c r="U25" i="34"/>
  <c r="F32" i="34"/>
  <c r="U9" i="35"/>
  <c r="AB9" i="35"/>
  <c r="W22" i="35"/>
  <c r="AC22" i="35"/>
  <c r="U25" i="35"/>
  <c r="AB25" i="35"/>
  <c r="F9" i="35"/>
  <c r="J9" i="35"/>
  <c r="E12" i="71"/>
  <c r="E11" i="71" s="1"/>
  <c r="E10" i="71" s="1"/>
  <c r="E9" i="71" s="1"/>
  <c r="V13" i="71"/>
  <c r="G13" i="1"/>
  <c r="B60" i="43"/>
  <c r="C21" i="39"/>
  <c r="B49" i="43"/>
  <c r="B71" i="43"/>
  <c r="J38" i="37"/>
  <c r="AC38" i="37" s="1"/>
  <c r="AB12" i="21"/>
  <c r="AA34" i="21"/>
  <c r="J27" i="21"/>
  <c r="H27" i="21"/>
  <c r="AA44" i="21"/>
  <c r="S44" i="21"/>
  <c r="AA26" i="33"/>
  <c r="AB39" i="33"/>
  <c r="AC13" i="34"/>
  <c r="J28" i="34"/>
  <c r="H28" i="34"/>
  <c r="F28" i="34"/>
  <c r="S12" i="35"/>
  <c r="AA12" i="35"/>
  <c r="S31" i="35"/>
  <c r="AA31" i="35"/>
  <c r="U36" i="35"/>
  <c r="AB36" i="35"/>
  <c r="AC32" i="36"/>
  <c r="W32" i="36"/>
  <c r="C15" i="39"/>
  <c r="W21" i="39"/>
  <c r="AC21" i="39"/>
  <c r="C94" i="80"/>
  <c r="D29" i="77"/>
  <c r="U11" i="21"/>
  <c r="S14" i="21"/>
  <c r="S17" i="21"/>
  <c r="S21" i="21"/>
  <c r="U25" i="21"/>
  <c r="W30" i="21"/>
  <c r="U33" i="21"/>
  <c r="S36" i="21"/>
  <c r="W38" i="21"/>
  <c r="U41" i="21"/>
  <c r="W46" i="21"/>
  <c r="S8" i="33"/>
  <c r="S11" i="33"/>
  <c r="W13" i="33"/>
  <c r="S25" i="33"/>
  <c r="U30" i="33"/>
  <c r="S33" i="33"/>
  <c r="W35" i="33"/>
  <c r="U38" i="33"/>
  <c r="S41" i="33"/>
  <c r="W43" i="33"/>
  <c r="S10" i="34"/>
  <c r="W12" i="34"/>
  <c r="S15" i="34"/>
  <c r="S19" i="34"/>
  <c r="S23" i="34"/>
  <c r="AC28" i="35"/>
  <c r="F25" i="35"/>
  <c r="J25" i="35"/>
  <c r="AA10" i="36"/>
  <c r="AC12" i="36"/>
  <c r="AB27" i="36"/>
  <c r="U31" i="36"/>
  <c r="AB31" i="36"/>
  <c r="F25" i="36"/>
  <c r="H25" i="36"/>
  <c r="AB36" i="40"/>
  <c r="U36" i="40"/>
  <c r="U38" i="40"/>
  <c r="AB38" i="40"/>
  <c r="W12" i="40"/>
  <c r="AC12" i="40"/>
  <c r="S22" i="31"/>
  <c r="R22" i="31" s="1"/>
  <c r="AC25" i="36"/>
  <c r="W25" i="36"/>
  <c r="AB33" i="36"/>
  <c r="U33" i="36"/>
  <c r="AB14" i="39"/>
  <c r="U14" i="39"/>
  <c r="J31" i="39"/>
  <c r="F31" i="39"/>
  <c r="AB23" i="40"/>
  <c r="U23" i="40"/>
  <c r="D26" i="77"/>
  <c r="AA35" i="34"/>
  <c r="AA13" i="35"/>
  <c r="AC33" i="35"/>
  <c r="S36" i="35"/>
  <c r="AA36" i="35"/>
  <c r="S25" i="39"/>
  <c r="AA25" i="39"/>
  <c r="W35" i="39"/>
  <c r="AC35" i="39"/>
  <c r="U14" i="40"/>
  <c r="AB14" i="40"/>
  <c r="D32" i="77"/>
  <c r="AA16" i="35"/>
  <c r="AA20" i="35"/>
  <c r="AB44" i="39"/>
  <c r="AB21" i="40"/>
  <c r="U21" i="40"/>
  <c r="H26" i="35"/>
  <c r="C79" i="35"/>
  <c r="F26" i="35" s="1"/>
  <c r="AA26" i="36"/>
  <c r="S26" i="36"/>
  <c r="S17" i="39"/>
  <c r="AA17" i="39"/>
  <c r="AB23" i="39"/>
  <c r="U23" i="39"/>
  <c r="AB29" i="39"/>
  <c r="S17" i="40"/>
  <c r="AA17" i="40"/>
  <c r="AA30" i="40"/>
  <c r="S30" i="40"/>
  <c r="S31" i="40"/>
  <c r="AA31" i="40"/>
  <c r="AB37" i="40"/>
  <c r="F108" i="43"/>
  <c r="F100" i="43"/>
  <c r="N100" i="43"/>
  <c r="N108" i="43"/>
  <c r="D51" i="71"/>
  <c r="C52" i="71"/>
  <c r="AC18" i="35"/>
  <c r="AA23" i="35"/>
  <c r="AA28" i="35"/>
  <c r="AC30" i="35"/>
  <c r="AB33" i="35"/>
  <c r="AB10" i="36"/>
  <c r="AA13" i="36"/>
  <c r="AC16" i="36"/>
  <c r="AC22" i="36"/>
  <c r="AA23" i="36"/>
  <c r="AC26" i="36"/>
  <c r="AC30" i="36"/>
  <c r="AA31" i="36"/>
  <c r="AB34" i="36"/>
  <c r="AA15" i="39"/>
  <c r="AB27" i="39"/>
  <c r="AC29" i="39"/>
  <c r="W11" i="40"/>
  <c r="AC11" i="40"/>
  <c r="AA19" i="40"/>
  <c r="AC21" i="40"/>
  <c r="AA13" i="40"/>
  <c r="S13" i="40"/>
  <c r="AB25" i="71"/>
  <c r="F25" i="71"/>
  <c r="F24" i="71" s="1"/>
  <c r="F23" i="71" s="1"/>
  <c r="C61" i="71"/>
  <c r="D60" i="71"/>
  <c r="AA27" i="36"/>
  <c r="AB15" i="39"/>
  <c r="U32" i="39"/>
  <c r="AB32" i="39"/>
  <c r="AB35" i="39"/>
  <c r="U35" i="39"/>
  <c r="AA14" i="40"/>
  <c r="S14" i="40"/>
  <c r="S23" i="40"/>
  <c r="AA23" i="40"/>
  <c r="X7" i="71"/>
  <c r="X6" i="71"/>
  <c r="X33" i="71"/>
  <c r="X32" i="71"/>
  <c r="C40" i="71"/>
  <c r="D39" i="71"/>
  <c r="C57" i="71"/>
  <c r="D56" i="71"/>
  <c r="S69" i="71"/>
  <c r="W8" i="39"/>
  <c r="AA41" i="39"/>
  <c r="S41" i="39"/>
  <c r="AB32" i="40"/>
  <c r="U32" i="40"/>
  <c r="AJ10" i="43"/>
  <c r="AJ12" i="43"/>
  <c r="X8" i="71"/>
  <c r="F47" i="34"/>
  <c r="AA20" i="36"/>
  <c r="AA29" i="36"/>
  <c r="H32" i="36"/>
  <c r="AB12" i="39"/>
  <c r="S35" i="39"/>
  <c r="J44" i="39"/>
  <c r="F44" i="39"/>
  <c r="AB13" i="40"/>
  <c r="U13" i="40"/>
  <c r="W28" i="40"/>
  <c r="AC28" i="40"/>
  <c r="S35" i="40"/>
  <c r="AC10" i="43"/>
  <c r="AC12" i="43"/>
  <c r="E8" i="43"/>
  <c r="C7" i="43" s="1"/>
  <c r="E11" i="43"/>
  <c r="E9" i="43"/>
  <c r="E10" i="43"/>
  <c r="AA23" i="71"/>
  <c r="AA14" i="71"/>
  <c r="AA7" i="71"/>
  <c r="AA16" i="71"/>
  <c r="X29" i="71"/>
  <c r="X27" i="71"/>
  <c r="F52" i="71"/>
  <c r="F53" i="71" s="1"/>
  <c r="V53" i="71" s="1"/>
  <c r="D85" i="71"/>
  <c r="C84" i="71"/>
  <c r="H47" i="34"/>
  <c r="F35" i="35"/>
  <c r="H45" i="39"/>
  <c r="J45" i="39"/>
  <c r="AA33" i="40"/>
  <c r="Y9" i="71"/>
  <c r="Z9" i="71" s="1"/>
  <c r="Y8" i="71"/>
  <c r="Z8" i="71" s="1"/>
  <c r="AB15" i="71"/>
  <c r="AB13" i="71"/>
  <c r="AC14" i="39"/>
  <c r="AC25" i="39"/>
  <c r="S36" i="39"/>
  <c r="AA36" i="39"/>
  <c r="AC40" i="39"/>
  <c r="W40" i="39"/>
  <c r="AA8" i="40"/>
  <c r="S8" i="40"/>
  <c r="AB12" i="40"/>
  <c r="U12" i="40"/>
  <c r="AB15" i="40"/>
  <c r="AC17" i="40"/>
  <c r="AB12" i="43"/>
  <c r="X20" i="71"/>
  <c r="X19" i="71"/>
  <c r="X18" i="71"/>
  <c r="AB24" i="71"/>
  <c r="AB22" i="71"/>
  <c r="AB23" i="71"/>
  <c r="AB21" i="71"/>
  <c r="AB20" i="71"/>
  <c r="D81" i="71"/>
  <c r="C80" i="71"/>
  <c r="C20" i="43"/>
  <c r="M100" i="43"/>
  <c r="M108" i="43"/>
  <c r="Y7" i="71"/>
  <c r="Z7" i="71" s="1"/>
  <c r="AB8" i="71"/>
  <c r="X17" i="71"/>
  <c r="X15" i="71"/>
  <c r="X22" i="71"/>
  <c r="E25" i="71"/>
  <c r="AA25" i="71"/>
  <c r="AB36" i="71"/>
  <c r="AB31" i="71"/>
  <c r="AB30" i="71"/>
  <c r="T73" i="71"/>
  <c r="D73" i="71"/>
  <c r="W38" i="39"/>
  <c r="AC38" i="39"/>
  <c r="AB27" i="40"/>
  <c r="AF12" i="43"/>
  <c r="AF10" i="43"/>
  <c r="H108" i="43"/>
  <c r="H100" i="43"/>
  <c r="X3" i="71"/>
  <c r="Y13" i="71"/>
  <c r="Z13" i="71" s="1"/>
  <c r="Y15" i="71"/>
  <c r="Z15" i="71" s="1"/>
  <c r="AB17" i="71"/>
  <c r="V21" i="71"/>
  <c r="Y25" i="71"/>
  <c r="Z25" i="71" s="1"/>
  <c r="D28" i="71"/>
  <c r="N65" i="71"/>
  <c r="T77" i="71"/>
  <c r="D77" i="71"/>
  <c r="E48" i="43"/>
  <c r="B46" i="43" s="1"/>
  <c r="E59" i="43"/>
  <c r="B57" i="43" s="1"/>
  <c r="Y3" i="71"/>
  <c r="Z3" i="71" s="1"/>
  <c r="AA13" i="71"/>
  <c r="Y18" i="71"/>
  <c r="Z18" i="71" s="1"/>
  <c r="F29" i="71"/>
  <c r="V29" i="71" s="1"/>
  <c r="AB27" i="71"/>
  <c r="X30" i="71"/>
  <c r="AA35" i="71"/>
  <c r="AA34" i="71"/>
  <c r="C48" i="71"/>
  <c r="D47" i="71"/>
  <c r="D76" i="71"/>
  <c r="C75" i="71"/>
  <c r="D75" i="71" s="1"/>
  <c r="AB9" i="71"/>
  <c r="Y14" i="71"/>
  <c r="Z14" i="71" s="1"/>
  <c r="AA19" i="71"/>
  <c r="AA18" i="71"/>
  <c r="AA12" i="71"/>
  <c r="AA10" i="71"/>
  <c r="B21" i="71"/>
  <c r="X21" i="71"/>
  <c r="T25" i="71"/>
  <c r="D25" i="71"/>
  <c r="U25" i="71" s="1"/>
  <c r="C24" i="71"/>
  <c r="Y26" i="71"/>
  <c r="Z26" i="71" s="1"/>
  <c r="Y27" i="71"/>
  <c r="Z27" i="71" s="1"/>
  <c r="AB29" i="71"/>
  <c r="AA30" i="71"/>
  <c r="X31" i="71"/>
  <c r="AA33" i="71"/>
  <c r="B35" i="71"/>
  <c r="B36" i="71" s="1"/>
  <c r="B37" i="71" s="1"/>
  <c r="S37" i="71" s="1"/>
  <c r="X34" i="71"/>
  <c r="S65" i="71"/>
  <c r="E70" i="43"/>
  <c r="B68" i="43" s="1"/>
  <c r="E81" i="43"/>
  <c r="B79" i="43" s="1"/>
  <c r="AB3" i="71"/>
  <c r="Y6" i="71"/>
  <c r="Z6" i="71" s="1"/>
  <c r="X9" i="71"/>
  <c r="Y11" i="71"/>
  <c r="Z11" i="71" s="1"/>
  <c r="AB16" i="71"/>
  <c r="AB19" i="71"/>
  <c r="AA24" i="71"/>
  <c r="T29" i="71"/>
  <c r="D29" i="71"/>
  <c r="AB33" i="71"/>
  <c r="C35" i="71"/>
  <c r="Y34" i="71"/>
  <c r="Z34" i="71" s="1"/>
  <c r="Y33" i="71"/>
  <c r="Z33" i="71" s="1"/>
  <c r="AB35" i="71"/>
  <c r="B63" i="71"/>
  <c r="N64" i="71"/>
  <c r="AA3" i="71"/>
  <c r="X12" i="71"/>
  <c r="X13" i="71"/>
  <c r="F19" i="71"/>
  <c r="F18" i="71" s="1"/>
  <c r="F17" i="71" s="1"/>
  <c r="F16" i="71" s="1"/>
  <c r="F15" i="71" s="1"/>
  <c r="F14" i="71" s="1"/>
  <c r="F13" i="71" s="1"/>
  <c r="F12" i="71" s="1"/>
  <c r="F11" i="71" s="1"/>
  <c r="F10" i="71" s="1"/>
  <c r="F9" i="71" s="1"/>
  <c r="F8" i="71" s="1"/>
  <c r="F7" i="71" s="1"/>
  <c r="F6" i="71" s="1"/>
  <c r="F5" i="71" s="1"/>
  <c r="Y24" i="71"/>
  <c r="Z24" i="71" s="1"/>
  <c r="E44" i="71"/>
  <c r="E45" i="71" s="1"/>
  <c r="U45" i="71" s="1"/>
  <c r="F60" i="71"/>
  <c r="F61" i="71" s="1"/>
  <c r="V61" i="71" s="1"/>
  <c r="H39" i="40"/>
  <c r="AA6" i="71"/>
  <c r="AA9" i="71"/>
  <c r="X10" i="71"/>
  <c r="X14" i="71"/>
  <c r="X16" i="71"/>
  <c r="Y17" i="71"/>
  <c r="Z17" i="71" s="1"/>
  <c r="AA20" i="71"/>
  <c r="AA21" i="71"/>
  <c r="X24" i="71"/>
  <c r="X26" i="71"/>
  <c r="X28" i="71"/>
  <c r="Y29" i="71"/>
  <c r="Z29" i="71" s="1"/>
  <c r="C31" i="71"/>
  <c r="Y30" i="71"/>
  <c r="Z30" i="71" s="1"/>
  <c r="B52" i="71"/>
  <c r="B53" i="71" s="1"/>
  <c r="S53" i="71" s="1"/>
  <c r="U65" i="71"/>
  <c r="G108" i="43"/>
  <c r="AB6" i="71"/>
  <c r="X23" i="71"/>
  <c r="B23" i="71"/>
  <c r="M28" i="43"/>
  <c r="Y19" i="71"/>
  <c r="Z19" i="71" s="1"/>
  <c r="Y23" i="71"/>
  <c r="Z23" i="71" s="1"/>
  <c r="AB32" i="71"/>
  <c r="F41" i="71"/>
  <c r="V41" i="71" s="1"/>
  <c r="O63" i="71"/>
  <c r="O62" i="71"/>
  <c r="AA11" i="71"/>
  <c r="AA15" i="71"/>
  <c r="C20" i="71"/>
  <c r="AA27" i="71"/>
  <c r="C5" i="11"/>
  <c r="C21" i="68"/>
  <c r="C40" i="68"/>
  <c r="C40" i="81"/>
  <c r="F40" i="69"/>
  <c r="C21" i="81"/>
  <c r="C21" i="69"/>
  <c r="S38" i="37"/>
  <c r="W38" i="37"/>
  <c r="U38" i="37"/>
  <c r="U36" i="37"/>
  <c r="U25" i="37"/>
  <c r="S25" i="37"/>
  <c r="W25" i="37"/>
  <c r="U19" i="37"/>
  <c r="J17" i="37"/>
  <c r="AC17" i="37" s="1"/>
  <c r="F73" i="37"/>
  <c r="G73" i="37" s="1"/>
  <c r="H17" i="37"/>
  <c r="AB17" i="37" s="1"/>
  <c r="F17" i="37"/>
  <c r="H10" i="37"/>
  <c r="H60" i="37"/>
  <c r="I60" i="37" s="1"/>
  <c r="J10" i="37"/>
  <c r="F10" i="37"/>
  <c r="U11" i="37"/>
  <c r="S12" i="37"/>
  <c r="W12" i="37"/>
  <c r="U13" i="37"/>
  <c r="S14" i="37"/>
  <c r="W14" i="37"/>
  <c r="S15" i="37"/>
  <c r="W15" i="37"/>
  <c r="S11" i="37"/>
  <c r="W11" i="37"/>
  <c r="S13" i="37"/>
  <c r="W13" i="37"/>
  <c r="U14" i="37"/>
  <c r="U15" i="37"/>
  <c r="U26" i="37"/>
  <c r="S27" i="37"/>
  <c r="W27" i="37"/>
  <c r="U28" i="37"/>
  <c r="S26" i="37"/>
  <c r="W26" i="37"/>
  <c r="U27" i="37"/>
  <c r="S28" i="37"/>
  <c r="W28" i="37"/>
  <c r="C17" i="40"/>
  <c r="C15" i="40"/>
  <c r="M20" i="15"/>
  <c r="F34" i="15"/>
  <c r="F62" i="15" s="1"/>
  <c r="F34" i="79"/>
  <c r="F62" i="79" s="1"/>
  <c r="M20" i="79"/>
  <c r="M20" i="67"/>
  <c r="D93" i="9"/>
  <c r="D78" i="80"/>
  <c r="B41" i="1"/>
  <c r="D78" i="9"/>
  <c r="E19" i="81"/>
  <c r="E19" i="69"/>
  <c r="E19" i="68"/>
  <c r="E19" i="11"/>
  <c r="G41" i="69"/>
  <c r="G25" i="12"/>
  <c r="G27" i="12"/>
  <c r="G22" i="83"/>
  <c r="G41" i="83"/>
  <c r="G22" i="68"/>
  <c r="F34" i="68"/>
  <c r="G41" i="68"/>
  <c r="G22" i="81"/>
  <c r="G41" i="81"/>
  <c r="G22" i="69"/>
  <c r="F11" i="12"/>
  <c r="C23" i="12" s="1"/>
  <c r="G26" i="12"/>
  <c r="F34" i="11"/>
  <c r="G41" i="11"/>
  <c r="E1" i="73"/>
  <c r="B6" i="1"/>
  <c r="E6" i="1" s="1"/>
  <c r="P16" i="1"/>
  <c r="C11" i="12" s="1"/>
  <c r="C12" i="12" s="1"/>
  <c r="G1" i="68"/>
  <c r="G1" i="81"/>
  <c r="G1" i="79"/>
  <c r="G1" i="69"/>
  <c r="G1" i="67"/>
  <c r="G1" i="15"/>
  <c r="K1" i="12"/>
  <c r="F3" i="35"/>
  <c r="H5" i="3"/>
  <c r="L27" i="6"/>
  <c r="O16" i="1"/>
  <c r="C36" i="69"/>
  <c r="G27" i="6"/>
  <c r="G31" i="6" s="1"/>
  <c r="E20" i="6"/>
  <c r="BB13" i="3"/>
  <c r="I4" i="6"/>
  <c r="G3" i="43" s="1"/>
  <c r="D3" i="37"/>
  <c r="M18" i="9"/>
  <c r="B118" i="9" s="1"/>
  <c r="B14" i="74" s="1"/>
  <c r="B1" i="74" s="1"/>
  <c r="K6" i="1"/>
  <c r="BC13" i="3"/>
  <c r="BC5" i="3" s="1"/>
  <c r="D9" i="11"/>
  <c r="C9" i="11" s="1"/>
  <c r="D19" i="12"/>
  <c r="C19" i="12" s="1"/>
  <c r="D9" i="69"/>
  <c r="C9" i="69" s="1"/>
  <c r="D9" i="68"/>
  <c r="C9" i="68" s="1"/>
  <c r="AR8" i="1"/>
  <c r="T9" i="1"/>
  <c r="AQ9" i="1"/>
  <c r="AR10" i="1"/>
  <c r="T11" i="1"/>
  <c r="AQ11" i="1"/>
  <c r="AR12" i="1"/>
  <c r="T13" i="1"/>
  <c r="AQ13" i="1"/>
  <c r="T8" i="1"/>
  <c r="T10" i="1"/>
  <c r="T12" i="1"/>
  <c r="A19" i="51"/>
  <c r="B14" i="72" s="1"/>
  <c r="T35" i="4"/>
  <c r="S2" i="43"/>
  <c r="S3" i="43"/>
  <c r="S5" i="43"/>
  <c r="S6" i="43"/>
  <c r="N7" i="43"/>
  <c r="X7" i="43"/>
  <c r="N8" i="43"/>
  <c r="N9" i="43"/>
  <c r="M10" i="43"/>
  <c r="M11" i="43"/>
  <c r="N12" i="43"/>
  <c r="D17" i="43"/>
  <c r="H17" i="43"/>
  <c r="J17" i="43"/>
  <c r="L17" i="43"/>
  <c r="N17" i="43"/>
  <c r="H22" i="43"/>
  <c r="C23" i="43"/>
  <c r="C21" i="43" s="1"/>
  <c r="F33" i="43"/>
  <c r="F34" i="43"/>
  <c r="F35" i="43"/>
  <c r="F36" i="43"/>
  <c r="F37" i="43"/>
  <c r="F38" i="43"/>
  <c r="F39" i="43"/>
  <c r="H49" i="43"/>
  <c r="H52" i="43"/>
  <c r="H53" i="43"/>
  <c r="H55" i="43"/>
  <c r="H60" i="43"/>
  <c r="H63" i="43"/>
  <c r="H64" i="43"/>
  <c r="H66" i="43"/>
  <c r="H71" i="43"/>
  <c r="H73" i="43"/>
  <c r="H75" i="43"/>
  <c r="H76" i="43"/>
  <c r="H82" i="43"/>
  <c r="H84" i="43"/>
  <c r="H86" i="43"/>
  <c r="H87" i="43"/>
  <c r="N104" i="46"/>
  <c r="N2" i="43"/>
  <c r="N3" i="43"/>
  <c r="M4" i="43"/>
  <c r="S4" i="43"/>
  <c r="N5" i="43"/>
  <c r="N6" i="43"/>
  <c r="M7" i="43"/>
  <c r="S7" i="43"/>
  <c r="M8" i="43"/>
  <c r="C6" i="43" s="1"/>
  <c r="M9" i="43"/>
  <c r="N10" i="43"/>
  <c r="N11" i="43"/>
  <c r="C17" i="43"/>
  <c r="E17" i="43"/>
  <c r="I17" i="43"/>
  <c r="K17" i="43"/>
  <c r="M17" i="43"/>
  <c r="O17" i="43"/>
  <c r="H48" i="43"/>
  <c r="H50" i="43"/>
  <c r="H51" i="43"/>
  <c r="H54" i="43"/>
  <c r="H59" i="43"/>
  <c r="H61" i="43"/>
  <c r="H62" i="43"/>
  <c r="H65" i="43"/>
  <c r="H70" i="43"/>
  <c r="H72" i="43"/>
  <c r="H74" i="43"/>
  <c r="H77" i="43"/>
  <c r="H81" i="43"/>
  <c r="H83" i="43"/>
  <c r="H85" i="43"/>
  <c r="B37" i="48"/>
  <c r="B2" i="72" s="1"/>
  <c r="A118" i="9"/>
  <c r="Y5" i="71"/>
  <c r="Z5" i="71" s="1"/>
  <c r="AA5" i="71"/>
  <c r="A2" i="9"/>
  <c r="A2" i="80"/>
  <c r="X5" i="71"/>
  <c r="B2" i="1"/>
  <c r="J51" i="15" s="1"/>
  <c r="B3" i="74"/>
  <c r="L1" i="73"/>
  <c r="J1" i="73"/>
  <c r="A18" i="51"/>
  <c r="B13" i="72" s="1"/>
  <c r="G15" i="4"/>
  <c r="F7" i="1" s="1"/>
  <c r="G7" i="1" s="1"/>
  <c r="I15" i="4"/>
  <c r="F6" i="1" s="1"/>
  <c r="G6" i="1" s="1"/>
  <c r="C18" i="80"/>
  <c r="D18" i="80" s="1"/>
  <c r="AC33" i="37"/>
  <c r="W33" i="37"/>
  <c r="E33" i="37"/>
  <c r="F33" i="37" s="1"/>
  <c r="H33" i="37"/>
  <c r="C18" i="9"/>
  <c r="D18" i="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15" i="49"/>
  <c r="H15" i="49" s="1"/>
  <c r="B4" i="49"/>
  <c r="D4" i="49" s="1"/>
  <c r="F4" i="49"/>
  <c r="H4" i="49" s="1"/>
  <c r="B5" i="49"/>
  <c r="D5" i="49" s="1"/>
  <c r="F5" i="49"/>
  <c r="H5" i="49" s="1"/>
  <c r="F34" i="81"/>
  <c r="F16" i="15"/>
  <c r="M27" i="15"/>
  <c r="M27" i="79"/>
  <c r="F36" i="67"/>
  <c r="L47" i="67"/>
  <c r="M28" i="15"/>
  <c r="D2" i="34"/>
  <c r="F9" i="15"/>
  <c r="E7" i="76"/>
  <c r="F7" i="15"/>
  <c r="F13" i="15"/>
  <c r="F26" i="67"/>
  <c r="AO11" i="1"/>
  <c r="F40" i="67"/>
  <c r="E9" i="76"/>
  <c r="F9" i="67"/>
  <c r="E8" i="76"/>
  <c r="L48" i="15"/>
  <c r="F37" i="15"/>
  <c r="L47" i="15"/>
  <c r="F6" i="79"/>
  <c r="B10" i="76"/>
  <c r="AO12" i="1"/>
  <c r="M29" i="15"/>
  <c r="D7" i="73"/>
  <c r="L48" i="67"/>
  <c r="C76" i="67"/>
  <c r="M6" i="79"/>
  <c r="D2" i="37"/>
  <c r="B11" i="76"/>
  <c r="L47" i="79"/>
  <c r="F3" i="73"/>
  <c r="E2" i="81"/>
  <c r="F8" i="15"/>
  <c r="M24" i="15"/>
  <c r="F4" i="73"/>
  <c r="M9" i="67"/>
  <c r="E12" i="76"/>
  <c r="D2" i="36"/>
  <c r="F13" i="67"/>
  <c r="M23" i="79"/>
  <c r="F7" i="73"/>
  <c r="F42" i="67"/>
  <c r="M22" i="15"/>
  <c r="D5" i="73"/>
  <c r="F26" i="79"/>
  <c r="F36" i="15"/>
  <c r="F36" i="79"/>
  <c r="F6" i="67"/>
  <c r="E11" i="76"/>
  <c r="M26" i="67"/>
  <c r="F27" i="81"/>
  <c r="M6" i="67"/>
  <c r="M6" i="15"/>
  <c r="F40" i="15"/>
  <c r="F8" i="67"/>
  <c r="F37" i="67"/>
  <c r="F38" i="15"/>
  <c r="C76" i="15"/>
  <c r="AO13" i="1"/>
  <c r="F42" i="79"/>
  <c r="M28" i="67"/>
  <c r="M23" i="15"/>
  <c r="M9" i="15"/>
  <c r="F8" i="79"/>
  <c r="F26" i="15"/>
  <c r="M27" i="67"/>
  <c r="AO10" i="1"/>
  <c r="F42" i="15"/>
  <c r="F38" i="67"/>
  <c r="E10" i="76"/>
  <c r="E2" i="68"/>
  <c r="M28" i="79"/>
  <c r="F6" i="73"/>
  <c r="D6" i="73"/>
  <c r="J15" i="15"/>
  <c r="E13" i="76"/>
  <c r="D3" i="73"/>
  <c r="B9" i="76"/>
  <c r="M8" i="79"/>
  <c r="D2" i="33"/>
  <c r="C76" i="79"/>
  <c r="M22" i="67"/>
  <c r="F38" i="79"/>
  <c r="M24" i="67"/>
  <c r="F20" i="31"/>
  <c r="D9" i="81"/>
  <c r="F16" i="67"/>
  <c r="B13" i="76"/>
  <c r="J15" i="79"/>
  <c r="F43" i="15"/>
  <c r="M24" i="79"/>
  <c r="C36" i="81"/>
  <c r="B12" i="76"/>
  <c r="M8" i="15"/>
  <c r="F6" i="15"/>
  <c r="AO8" i="1"/>
  <c r="M26" i="15"/>
  <c r="F37" i="79"/>
  <c r="D2" i="35"/>
  <c r="B7" i="76"/>
  <c r="M23" i="67"/>
  <c r="F16" i="79"/>
  <c r="M8" i="67"/>
  <c r="M22" i="79"/>
  <c r="B8" i="76"/>
  <c r="M26" i="79"/>
  <c r="D4" i="73"/>
  <c r="M9" i="79"/>
  <c r="D2" i="21"/>
  <c r="F40" i="79"/>
  <c r="AO9" i="1"/>
  <c r="E2" i="69"/>
  <c r="C32" i="71" l="1"/>
  <c r="D31" i="71"/>
  <c r="U39" i="40"/>
  <c r="AB39" i="40"/>
  <c r="AC45" i="39"/>
  <c r="W45" i="39"/>
  <c r="S44" i="39"/>
  <c r="AA44" i="39"/>
  <c r="AB25" i="36"/>
  <c r="U25" i="36"/>
  <c r="AA25" i="35"/>
  <c r="S25" i="35"/>
  <c r="AC46" i="33"/>
  <c r="W46" i="33"/>
  <c r="U46" i="34"/>
  <c r="AB46" i="34"/>
  <c r="AC45" i="33"/>
  <c r="W45" i="33"/>
  <c r="AB45" i="34"/>
  <c r="U45" i="34"/>
  <c r="AC14" i="34"/>
  <c r="W14" i="34"/>
  <c r="AZ280" i="3"/>
  <c r="AZ227" i="3"/>
  <c r="N62" i="71"/>
  <c r="N63" i="71"/>
  <c r="C49" i="71"/>
  <c r="D48" i="71"/>
  <c r="AB45" i="39"/>
  <c r="U45" i="39"/>
  <c r="AC44" i="39"/>
  <c r="W44" i="39"/>
  <c r="S31" i="39"/>
  <c r="AA31" i="39"/>
  <c r="AA25" i="36"/>
  <c r="S25" i="36"/>
  <c r="S28" i="34"/>
  <c r="AA28" i="34"/>
  <c r="AB27" i="21"/>
  <c r="U27" i="21"/>
  <c r="S34" i="35"/>
  <c r="AA34" i="35"/>
  <c r="W46" i="34"/>
  <c r="AC46" i="34"/>
  <c r="C40" i="77"/>
  <c r="W45" i="34"/>
  <c r="AC45" i="34"/>
  <c r="AA27" i="33"/>
  <c r="S27" i="33"/>
  <c r="D121" i="80"/>
  <c r="K120" i="80"/>
  <c r="G5" i="3"/>
  <c r="B3" i="3" s="1"/>
  <c r="AZ163" i="3"/>
  <c r="AZ150" i="3"/>
  <c r="C19" i="71"/>
  <c r="D20" i="71"/>
  <c r="AA35" i="35"/>
  <c r="S35" i="35"/>
  <c r="T57" i="71"/>
  <c r="D57" i="71"/>
  <c r="S26" i="35"/>
  <c r="AA26" i="35"/>
  <c r="W31" i="39"/>
  <c r="AC31" i="39"/>
  <c r="AB28" i="34"/>
  <c r="U28" i="34"/>
  <c r="AC27" i="21"/>
  <c r="W27" i="21"/>
  <c r="AB34" i="35"/>
  <c r="U34" i="35"/>
  <c r="AC31" i="34"/>
  <c r="W31" i="34"/>
  <c r="AA45" i="34"/>
  <c r="S45" i="34"/>
  <c r="AA37" i="37"/>
  <c r="S37" i="37"/>
  <c r="AB27" i="33"/>
  <c r="U27" i="33"/>
  <c r="AZ583" i="3"/>
  <c r="J36" i="37"/>
  <c r="F105" i="37"/>
  <c r="G105" i="37" s="1"/>
  <c r="F36" i="37"/>
  <c r="AZ441" i="3"/>
  <c r="AZ296" i="3"/>
  <c r="AZ433" i="3"/>
  <c r="AZ514" i="3"/>
  <c r="AZ357" i="3"/>
  <c r="AZ434" i="3"/>
  <c r="AZ208" i="3"/>
  <c r="D68" i="71"/>
  <c r="C67" i="71"/>
  <c r="D67" i="71" s="1"/>
  <c r="D24" i="71"/>
  <c r="C23" i="71"/>
  <c r="D23" i="71" s="1"/>
  <c r="V25" i="71"/>
  <c r="E24" i="71"/>
  <c r="E23" i="71" s="1"/>
  <c r="AB47" i="34"/>
  <c r="U47" i="34"/>
  <c r="AB26" i="35"/>
  <c r="U26" i="35"/>
  <c r="AC28" i="34"/>
  <c r="W28" i="34"/>
  <c r="AC34" i="35"/>
  <c r="W34" i="35"/>
  <c r="AA31" i="34"/>
  <c r="S31" i="34"/>
  <c r="AC27" i="33"/>
  <c r="W27" i="33"/>
  <c r="D124" i="9"/>
  <c r="H110" i="9"/>
  <c r="D18" i="53" s="1"/>
  <c r="B35" i="72" s="1"/>
  <c r="D16" i="53"/>
  <c r="W17" i="37"/>
  <c r="D80" i="71"/>
  <c r="C79" i="71"/>
  <c r="D79" i="71" s="1"/>
  <c r="D84" i="71"/>
  <c r="C83" i="71"/>
  <c r="D83" i="71" s="1"/>
  <c r="AB32" i="36"/>
  <c r="U32" i="36"/>
  <c r="C41" i="71"/>
  <c r="D40" i="71"/>
  <c r="T61" i="71"/>
  <c r="D61" i="71"/>
  <c r="J26" i="35"/>
  <c r="E8" i="71"/>
  <c r="E7" i="71" s="1"/>
  <c r="E6" i="71" s="1"/>
  <c r="E5" i="71" s="1"/>
  <c r="V9" i="71"/>
  <c r="AB31" i="34"/>
  <c r="U31" i="34"/>
  <c r="AZ512" i="3"/>
  <c r="AZ315" i="3"/>
  <c r="AZ312" i="3"/>
  <c r="AZ386" i="3"/>
  <c r="AZ235" i="3"/>
  <c r="AZ295" i="3"/>
  <c r="U12" i="37"/>
  <c r="C36" i="71"/>
  <c r="D35" i="71"/>
  <c r="W9" i="35"/>
  <c r="AC9" i="35"/>
  <c r="S32" i="34"/>
  <c r="AA32" i="34"/>
  <c r="AZ453" i="3"/>
  <c r="AZ573" i="3"/>
  <c r="AZ509" i="3"/>
  <c r="AZ448" i="3"/>
  <c r="AZ578" i="3"/>
  <c r="AZ288" i="3"/>
  <c r="AZ421" i="3"/>
  <c r="AZ166" i="3"/>
  <c r="AZ158" i="3"/>
  <c r="AZ473" i="3"/>
  <c r="AZ119" i="3"/>
  <c r="F30" i="6"/>
  <c r="E28" i="6"/>
  <c r="D52" i="71"/>
  <c r="C53" i="71"/>
  <c r="AA9" i="35"/>
  <c r="S9" i="35"/>
  <c r="U32" i="34"/>
  <c r="AB32" i="34"/>
  <c r="AA46" i="33"/>
  <c r="S46" i="33"/>
  <c r="S19" i="37"/>
  <c r="AA19" i="37"/>
  <c r="AZ557" i="3"/>
  <c r="AZ545" i="3"/>
  <c r="AZ445" i="3"/>
  <c r="AZ384" i="3"/>
  <c r="AZ231" i="3"/>
  <c r="AZ274" i="3"/>
  <c r="AZ155" i="3"/>
  <c r="AZ144" i="3"/>
  <c r="AZ118" i="3"/>
  <c r="S21" i="71"/>
  <c r="B20" i="71"/>
  <c r="B19" i="71" s="1"/>
  <c r="B18" i="71" s="1"/>
  <c r="B17" i="71" s="1"/>
  <c r="AA47" i="34"/>
  <c r="S47" i="34"/>
  <c r="W25" i="35"/>
  <c r="AC25" i="35"/>
  <c r="W32" i="34"/>
  <c r="AC32" i="34"/>
  <c r="AB46" i="33"/>
  <c r="U46" i="33"/>
  <c r="S45" i="33"/>
  <c r="AA45" i="33"/>
  <c r="S14" i="34"/>
  <c r="AA14" i="34"/>
  <c r="AZ505" i="3"/>
  <c r="AZ304" i="3"/>
  <c r="AZ488" i="3"/>
  <c r="AZ230" i="3"/>
  <c r="AZ152" i="3"/>
  <c r="U17" i="37"/>
  <c r="AA17" i="37"/>
  <c r="S17" i="37"/>
  <c r="AA10" i="37"/>
  <c r="S10" i="37"/>
  <c r="AC10" i="37"/>
  <c r="W10" i="37"/>
  <c r="AB10" i="37"/>
  <c r="U10" i="37"/>
  <c r="F30" i="83"/>
  <c r="F48" i="83" s="1"/>
  <c r="F32" i="67"/>
  <c r="F60" i="67" s="1"/>
  <c r="F28" i="67"/>
  <c r="F31" i="12"/>
  <c r="F30" i="69"/>
  <c r="F48" i="69" s="1"/>
  <c r="F32" i="79"/>
  <c r="F60" i="79" s="1"/>
  <c r="F28" i="79"/>
  <c r="M18" i="79"/>
  <c r="F54" i="80"/>
  <c r="F52" i="80"/>
  <c r="F48" i="80"/>
  <c r="O52" i="80" s="1"/>
  <c r="F32" i="15"/>
  <c r="F60" i="15" s="1"/>
  <c r="F28" i="15"/>
  <c r="D68" i="9"/>
  <c r="F53" i="9"/>
  <c r="F30" i="11"/>
  <c r="M18" i="67"/>
  <c r="F30" i="81"/>
  <c r="F48" i="81" s="1"/>
  <c r="D68" i="80"/>
  <c r="F53" i="80"/>
  <c r="M18" i="15"/>
  <c r="F30" i="68"/>
  <c r="F48" i="68" s="1"/>
  <c r="F54" i="9"/>
  <c r="F52" i="9"/>
  <c r="F48" i="9"/>
  <c r="O52" i="9" s="1"/>
  <c r="K1" i="73"/>
  <c r="C15" i="12"/>
  <c r="M6" i="1"/>
  <c r="B113" i="43"/>
  <c r="M101" i="43"/>
  <c r="K101" i="43"/>
  <c r="I101" i="43"/>
  <c r="G101" i="43"/>
  <c r="E101" i="43"/>
  <c r="C101" i="43"/>
  <c r="J22" i="43"/>
  <c r="F22" i="43"/>
  <c r="N101" i="43"/>
  <c r="L101" i="43"/>
  <c r="J101" i="43"/>
  <c r="H101" i="43"/>
  <c r="F101" i="43"/>
  <c r="D101" i="43"/>
  <c r="G22" i="43"/>
  <c r="E22" i="43"/>
  <c r="AI11" i="43"/>
  <c r="AI13" i="43" s="1"/>
  <c r="AG11" i="43"/>
  <c r="AG13" i="43" s="1"/>
  <c r="AJ11" i="43"/>
  <c r="AJ13" i="43" s="1"/>
  <c r="AF11" i="43"/>
  <c r="AF13" i="43" s="1"/>
  <c r="AD11" i="43"/>
  <c r="AD13" i="43" s="1"/>
  <c r="AB11" i="43"/>
  <c r="AB13" i="43" s="1"/>
  <c r="Z11" i="43"/>
  <c r="Z13" i="43" s="1"/>
  <c r="Z7" i="43"/>
  <c r="AH11" i="43"/>
  <c r="AH13" i="43" s="1"/>
  <c r="AE11" i="43"/>
  <c r="AE13" i="43" s="1"/>
  <c r="AC11" i="43"/>
  <c r="AC13" i="43" s="1"/>
  <c r="AA11" i="43"/>
  <c r="AA13" i="43" s="1"/>
  <c r="Y11" i="43"/>
  <c r="Y13" i="43" s="1"/>
  <c r="BA13" i="3"/>
  <c r="BB5" i="3"/>
  <c r="E7" i="12"/>
  <c r="M18" i="80"/>
  <c r="B118" i="80" s="1"/>
  <c r="K7" i="1"/>
  <c r="G17" i="43"/>
  <c r="C16" i="43" s="1"/>
  <c r="C5" i="43" s="1"/>
  <c r="G19" i="43"/>
  <c r="C7" i="39"/>
  <c r="C67" i="39" s="1"/>
  <c r="C7" i="40"/>
  <c r="C63" i="40" s="1"/>
  <c r="C7" i="36"/>
  <c r="C46" i="36" s="1"/>
  <c r="C7" i="35"/>
  <c r="C48" i="35" s="1"/>
  <c r="C7" i="34"/>
  <c r="C59" i="34" s="1"/>
  <c r="C7" i="33"/>
  <c r="C58" i="33" s="1"/>
  <c r="C7" i="21"/>
  <c r="C58" i="21" s="1"/>
  <c r="C7" i="37"/>
  <c r="M47" i="80"/>
  <c r="M47" i="9"/>
  <c r="C42" i="1"/>
  <c r="J60" i="15"/>
  <c r="Q48" i="15" s="1"/>
  <c r="L57" i="15"/>
  <c r="L60" i="15"/>
  <c r="Q66" i="15" s="1"/>
  <c r="I54" i="15"/>
  <c r="J59" i="15"/>
  <c r="L56" i="15"/>
  <c r="J57" i="15"/>
  <c r="J55" i="15" s="1"/>
  <c r="J58" i="15" s="1"/>
  <c r="Q50" i="15" s="1"/>
  <c r="J53" i="15"/>
  <c r="Q52" i="15" s="1"/>
  <c r="F66" i="15"/>
  <c r="F51" i="67"/>
  <c r="F68" i="79"/>
  <c r="I1" i="73"/>
  <c r="B39" i="1" s="1"/>
  <c r="F11" i="67" s="1"/>
  <c r="F71" i="15"/>
  <c r="F65" i="67"/>
  <c r="N59" i="15"/>
  <c r="L58" i="15"/>
  <c r="Q60" i="15" s="1"/>
  <c r="L59" i="15"/>
  <c r="Q74" i="15" s="1"/>
  <c r="M59" i="15"/>
  <c r="N59" i="79"/>
  <c r="L59" i="79"/>
  <c r="Q74" i="79" s="1"/>
  <c r="M59" i="79"/>
  <c r="C27" i="79"/>
  <c r="B12" i="70"/>
  <c r="Q71" i="67"/>
  <c r="B11" i="70"/>
  <c r="C27" i="15"/>
  <c r="F51" i="15"/>
  <c r="C6" i="15"/>
  <c r="B13" i="70"/>
  <c r="Q71" i="15"/>
  <c r="F68" i="67"/>
  <c r="F68" i="15"/>
  <c r="B10" i="70"/>
  <c r="C27" i="67"/>
  <c r="C9" i="81"/>
  <c r="M7" i="15"/>
  <c r="J6" i="15" s="1"/>
  <c r="F50" i="15"/>
  <c r="F64" i="15"/>
  <c r="F64" i="79"/>
  <c r="Q71" i="79"/>
  <c r="F66" i="67"/>
  <c r="F64" i="67"/>
  <c r="B9" i="70"/>
  <c r="B20" i="31"/>
  <c r="B21" i="31" s="1"/>
  <c r="B8" i="70"/>
  <c r="F66" i="79"/>
  <c r="F51" i="79"/>
  <c r="L56" i="67"/>
  <c r="I54" i="67"/>
  <c r="J57" i="67"/>
  <c r="J55" i="67" s="1"/>
  <c r="J58" i="67" s="1"/>
  <c r="Q50" i="67" s="1"/>
  <c r="J53" i="67"/>
  <c r="F1" i="67" s="1"/>
  <c r="F65" i="15"/>
  <c r="F70" i="67"/>
  <c r="F65" i="79"/>
  <c r="C29" i="81"/>
  <c r="D27" i="81" s="1"/>
  <c r="C47" i="81"/>
  <c r="D45" i="81" s="1"/>
  <c r="F45" i="81"/>
  <c r="L59" i="67"/>
  <c r="Q74" i="67" s="1"/>
  <c r="M59" i="67"/>
  <c r="N59" i="67"/>
  <c r="L58" i="67"/>
  <c r="Q73" i="67" s="1"/>
  <c r="AA33" i="37"/>
  <c r="S33" i="37"/>
  <c r="AB33" i="37"/>
  <c r="U33" i="37"/>
  <c r="AE7" i="1"/>
  <c r="F5" i="73"/>
  <c r="M29" i="79"/>
  <c r="C36" i="83"/>
  <c r="C16" i="15"/>
  <c r="F41" i="67"/>
  <c r="F13" i="79"/>
  <c r="F43" i="79"/>
  <c r="J15" i="67"/>
  <c r="F27" i="83"/>
  <c r="F9" i="79"/>
  <c r="F7" i="79"/>
  <c r="L48" i="79"/>
  <c r="M29" i="67"/>
  <c r="D9" i="83"/>
  <c r="F43" i="67"/>
  <c r="G1" i="73"/>
  <c r="F7" i="67"/>
  <c r="C9" i="83" l="1"/>
  <c r="C47" i="83"/>
  <c r="D45" i="83" s="1"/>
  <c r="C29" i="83"/>
  <c r="D27" i="83" s="1"/>
  <c r="F45" i="83"/>
  <c r="L60" i="79"/>
  <c r="Q66" i="79" s="1"/>
  <c r="J57" i="79"/>
  <c r="J55" i="79" s="1"/>
  <c r="J58" i="79" s="1"/>
  <c r="Q50" i="79" s="1"/>
  <c r="I54" i="79"/>
  <c r="J60" i="79"/>
  <c r="Q48" i="79" s="1"/>
  <c r="L57" i="79"/>
  <c r="L58" i="79"/>
  <c r="Q60" i="79" s="1"/>
  <c r="J59" i="79"/>
  <c r="J53" i="79"/>
  <c r="F1" i="79" s="1"/>
  <c r="L56" i="79"/>
  <c r="T53" i="71"/>
  <c r="D53" i="71"/>
  <c r="J18" i="15"/>
  <c r="B16" i="71"/>
  <c r="B15" i="71" s="1"/>
  <c r="B14" i="71" s="1"/>
  <c r="B13" i="71" s="1"/>
  <c r="S17" i="71"/>
  <c r="AC26" i="35"/>
  <c r="W26" i="35"/>
  <c r="C41" i="77"/>
  <c r="B2" i="77"/>
  <c r="B3" i="77" s="1"/>
  <c r="D19" i="71"/>
  <c r="C18" i="71"/>
  <c r="D22" i="43"/>
  <c r="C33" i="15"/>
  <c r="E30" i="6"/>
  <c r="K14" i="1"/>
  <c r="M14" i="1" s="1"/>
  <c r="AF6" i="3"/>
  <c r="P6" i="3"/>
  <c r="E29" i="3"/>
  <c r="E45" i="3"/>
  <c r="E61" i="3"/>
  <c r="E77" i="3"/>
  <c r="E94" i="3"/>
  <c r="E110" i="3"/>
  <c r="E126" i="3"/>
  <c r="E577" i="3"/>
  <c r="E561" i="3"/>
  <c r="E545" i="3"/>
  <c r="E529" i="3"/>
  <c r="E513" i="3"/>
  <c r="E497" i="3"/>
  <c r="E481" i="3"/>
  <c r="E465" i="3"/>
  <c r="E449" i="3"/>
  <c r="E586" i="3"/>
  <c r="E570" i="3"/>
  <c r="E554" i="3"/>
  <c r="E538" i="3"/>
  <c r="E522" i="3"/>
  <c r="E506" i="3"/>
  <c r="E490" i="3"/>
  <c r="E474" i="3"/>
  <c r="E458" i="3"/>
  <c r="E442" i="3"/>
  <c r="E426" i="3"/>
  <c r="E410" i="3"/>
  <c r="E394" i="3"/>
  <c r="E378" i="3"/>
  <c r="E362" i="3"/>
  <c r="E346" i="3"/>
  <c r="E330" i="3"/>
  <c r="E314" i="3"/>
  <c r="E298" i="3"/>
  <c r="E282" i="3"/>
  <c r="E266" i="3"/>
  <c r="E250" i="3"/>
  <c r="E234" i="3"/>
  <c r="E218" i="3"/>
  <c r="E202" i="3"/>
  <c r="E186" i="3"/>
  <c r="E170" i="3"/>
  <c r="E154" i="3"/>
  <c r="E138" i="3"/>
  <c r="E425" i="3"/>
  <c r="E409" i="3"/>
  <c r="E393" i="3"/>
  <c r="E377" i="3"/>
  <c r="E361" i="3"/>
  <c r="E345" i="3"/>
  <c r="E329" i="3"/>
  <c r="E313" i="3"/>
  <c r="E297" i="3"/>
  <c r="E281" i="3"/>
  <c r="E265" i="3"/>
  <c r="E249" i="3"/>
  <c r="E233" i="3"/>
  <c r="E217" i="3"/>
  <c r="E201" i="3"/>
  <c r="E185" i="3"/>
  <c r="E169" i="3"/>
  <c r="E153" i="3"/>
  <c r="E137" i="3"/>
  <c r="E121" i="3"/>
  <c r="E105" i="3"/>
  <c r="K6" i="3"/>
  <c r="AA6" i="3"/>
  <c r="AS6" i="3"/>
  <c r="E20" i="3"/>
  <c r="E36" i="3"/>
  <c r="E52" i="3"/>
  <c r="E68" i="3"/>
  <c r="E84" i="3"/>
  <c r="E130" i="3"/>
  <c r="AD6" i="3"/>
  <c r="N6" i="3"/>
  <c r="E15" i="3"/>
  <c r="E31" i="3"/>
  <c r="E47" i="3"/>
  <c r="E63" i="3"/>
  <c r="E79" i="3"/>
  <c r="E96" i="3"/>
  <c r="E112" i="3"/>
  <c r="E128" i="3"/>
  <c r="E575" i="3"/>
  <c r="E559" i="3"/>
  <c r="E543" i="3"/>
  <c r="E527" i="3"/>
  <c r="E511" i="3"/>
  <c r="E495" i="3"/>
  <c r="E479" i="3"/>
  <c r="E463" i="3"/>
  <c r="E447" i="3"/>
  <c r="E584" i="3"/>
  <c r="E568" i="3"/>
  <c r="E552" i="3"/>
  <c r="E536" i="3"/>
  <c r="E520" i="3"/>
  <c r="E504" i="3"/>
  <c r="E488" i="3"/>
  <c r="E472" i="3"/>
  <c r="E456" i="3"/>
  <c r="E440" i="3"/>
  <c r="E424" i="3"/>
  <c r="E408" i="3"/>
  <c r="E392" i="3"/>
  <c r="E376" i="3"/>
  <c r="E360" i="3"/>
  <c r="E344" i="3"/>
  <c r="E328" i="3"/>
  <c r="E312" i="3"/>
  <c r="E296" i="3"/>
  <c r="E280" i="3"/>
  <c r="E264" i="3"/>
  <c r="E248" i="3"/>
  <c r="E232" i="3"/>
  <c r="E216" i="3"/>
  <c r="E200" i="3"/>
  <c r="E184" i="3"/>
  <c r="E168" i="3"/>
  <c r="E152" i="3"/>
  <c r="I3" i="6"/>
  <c r="AB6" i="3"/>
  <c r="L6" i="3"/>
  <c r="E17" i="3"/>
  <c r="E33" i="3"/>
  <c r="E49" i="3"/>
  <c r="E65" i="3"/>
  <c r="E81" i="3"/>
  <c r="E98" i="3"/>
  <c r="E114" i="3"/>
  <c r="E573" i="3"/>
  <c r="E557" i="3"/>
  <c r="E541" i="3"/>
  <c r="E525" i="3"/>
  <c r="E509" i="3"/>
  <c r="E493" i="3"/>
  <c r="E477" i="3"/>
  <c r="E461" i="3"/>
  <c r="E445" i="3"/>
  <c r="E582" i="3"/>
  <c r="E566" i="3"/>
  <c r="E550" i="3"/>
  <c r="E534" i="3"/>
  <c r="E518" i="3"/>
  <c r="E502" i="3"/>
  <c r="E486" i="3"/>
  <c r="E470" i="3"/>
  <c r="E454" i="3"/>
  <c r="E438" i="3"/>
  <c r="E422" i="3"/>
  <c r="E406" i="3"/>
  <c r="E390" i="3"/>
  <c r="E374" i="3"/>
  <c r="E358" i="3"/>
  <c r="E342" i="3"/>
  <c r="E326" i="3"/>
  <c r="E310" i="3"/>
  <c r="E294" i="3"/>
  <c r="E278" i="3"/>
  <c r="E262" i="3"/>
  <c r="E246" i="3"/>
  <c r="E230" i="3"/>
  <c r="E214" i="3"/>
  <c r="E198" i="3"/>
  <c r="E182" i="3"/>
  <c r="E166" i="3"/>
  <c r="E150" i="3"/>
  <c r="E134" i="3"/>
  <c r="E421" i="3"/>
  <c r="E405" i="3"/>
  <c r="E389" i="3"/>
  <c r="E373" i="3"/>
  <c r="E357" i="3"/>
  <c r="E341" i="3"/>
  <c r="E325" i="3"/>
  <c r="E309" i="3"/>
  <c r="E293" i="3"/>
  <c r="E277" i="3"/>
  <c r="E261" i="3"/>
  <c r="E245" i="3"/>
  <c r="E229" i="3"/>
  <c r="E213" i="3"/>
  <c r="E197" i="3"/>
  <c r="E181" i="3"/>
  <c r="E165" i="3"/>
  <c r="E149" i="3"/>
  <c r="E133" i="3"/>
  <c r="E117" i="3"/>
  <c r="E101" i="3"/>
  <c r="O6" i="3"/>
  <c r="AG6" i="3"/>
  <c r="E24" i="3"/>
  <c r="E40" i="3"/>
  <c r="E56" i="3"/>
  <c r="E72" i="3"/>
  <c r="E88" i="3"/>
  <c r="AL6" i="3"/>
  <c r="V6" i="3"/>
  <c r="E13" i="3"/>
  <c r="E23" i="3"/>
  <c r="E39" i="3"/>
  <c r="E55" i="3"/>
  <c r="E71" i="3"/>
  <c r="E87" i="3"/>
  <c r="E104" i="3"/>
  <c r="E120" i="3"/>
  <c r="E583" i="3"/>
  <c r="E567" i="3"/>
  <c r="E551" i="3"/>
  <c r="E535" i="3"/>
  <c r="E519" i="3"/>
  <c r="E503" i="3"/>
  <c r="E487" i="3"/>
  <c r="E471" i="3"/>
  <c r="E455" i="3"/>
  <c r="E439" i="3"/>
  <c r="E576" i="3"/>
  <c r="E560" i="3"/>
  <c r="E544" i="3"/>
  <c r="E528" i="3"/>
  <c r="E512" i="3"/>
  <c r="E496" i="3"/>
  <c r="E480" i="3"/>
  <c r="E464" i="3"/>
  <c r="E448" i="3"/>
  <c r="E432" i="3"/>
  <c r="E416" i="3"/>
  <c r="E400" i="3"/>
  <c r="E384" i="3"/>
  <c r="E368" i="3"/>
  <c r="E352" i="3"/>
  <c r="E336" i="3"/>
  <c r="E320" i="3"/>
  <c r="E304" i="3"/>
  <c r="E288" i="3"/>
  <c r="E272" i="3"/>
  <c r="AJ6" i="3"/>
  <c r="T6" i="3"/>
  <c r="E25" i="3"/>
  <c r="E41" i="3"/>
  <c r="E57" i="3"/>
  <c r="E73" i="3"/>
  <c r="E89" i="3"/>
  <c r="E106" i="3"/>
  <c r="E122" i="3"/>
  <c r="E581" i="3"/>
  <c r="E565" i="3"/>
  <c r="E549" i="3"/>
  <c r="E533" i="3"/>
  <c r="E517" i="3"/>
  <c r="E501" i="3"/>
  <c r="E485" i="3"/>
  <c r="E469" i="3"/>
  <c r="E453" i="3"/>
  <c r="E437" i="3"/>
  <c r="E574" i="3"/>
  <c r="E558" i="3"/>
  <c r="E542" i="3"/>
  <c r="E526" i="3"/>
  <c r="E510" i="3"/>
  <c r="E494" i="3"/>
  <c r="E478" i="3"/>
  <c r="E462" i="3"/>
  <c r="E446" i="3"/>
  <c r="E430" i="3"/>
  <c r="E414" i="3"/>
  <c r="E398" i="3"/>
  <c r="E382" i="3"/>
  <c r="E366" i="3"/>
  <c r="E350" i="3"/>
  <c r="E334" i="3"/>
  <c r="E318" i="3"/>
  <c r="E302" i="3"/>
  <c r="E286" i="3"/>
  <c r="E270" i="3"/>
  <c r="E254" i="3"/>
  <c r="E238" i="3"/>
  <c r="E222" i="3"/>
  <c r="E206" i="3"/>
  <c r="E190" i="3"/>
  <c r="E174" i="3"/>
  <c r="E158" i="3"/>
  <c r="E142" i="3"/>
  <c r="E429" i="3"/>
  <c r="E413" i="3"/>
  <c r="E397" i="3"/>
  <c r="E381" i="3"/>
  <c r="E365" i="3"/>
  <c r="E349" i="3"/>
  <c r="E333" i="3"/>
  <c r="E317" i="3"/>
  <c r="E301" i="3"/>
  <c r="E285" i="3"/>
  <c r="E269" i="3"/>
  <c r="E253" i="3"/>
  <c r="E237" i="3"/>
  <c r="E221" i="3"/>
  <c r="E205" i="3"/>
  <c r="E189" i="3"/>
  <c r="E173" i="3"/>
  <c r="E157" i="3"/>
  <c r="E141" i="3"/>
  <c r="E125" i="3"/>
  <c r="E109" i="3"/>
  <c r="E93" i="3"/>
  <c r="W6" i="3"/>
  <c r="AO6" i="3"/>
  <c r="E16" i="3"/>
  <c r="AH6" i="3"/>
  <c r="R6" i="3"/>
  <c r="E27" i="3"/>
  <c r="E43" i="3"/>
  <c r="E59" i="3"/>
  <c r="E75" i="3"/>
  <c r="E91" i="3"/>
  <c r="E108" i="3"/>
  <c r="E124" i="3"/>
  <c r="E579" i="3"/>
  <c r="E563" i="3"/>
  <c r="E547" i="3"/>
  <c r="E531" i="3"/>
  <c r="E515" i="3"/>
  <c r="E499" i="3"/>
  <c r="E483" i="3"/>
  <c r="E467" i="3"/>
  <c r="E451" i="3"/>
  <c r="E435" i="3"/>
  <c r="E572" i="3"/>
  <c r="AR6" i="3"/>
  <c r="E51" i="3"/>
  <c r="E116" i="3"/>
  <c r="E553" i="3"/>
  <c r="E489" i="3"/>
  <c r="E578" i="3"/>
  <c r="E530" i="3"/>
  <c r="E484" i="3"/>
  <c r="E444" i="3"/>
  <c r="E402" i="3"/>
  <c r="E356" i="3"/>
  <c r="E316" i="3"/>
  <c r="E274" i="3"/>
  <c r="E240" i="3"/>
  <c r="E208" i="3"/>
  <c r="E176" i="3"/>
  <c r="E144" i="3"/>
  <c r="E419" i="3"/>
  <c r="E395" i="3"/>
  <c r="E369" i="3"/>
  <c r="E343" i="3"/>
  <c r="E319" i="3"/>
  <c r="E291" i="3"/>
  <c r="E267" i="3"/>
  <c r="E241" i="3"/>
  <c r="E215" i="3"/>
  <c r="E191" i="3"/>
  <c r="E163" i="3"/>
  <c r="E139" i="3"/>
  <c r="E113" i="3"/>
  <c r="M6" i="3"/>
  <c r="AM6" i="3"/>
  <c r="E22" i="3"/>
  <c r="E44" i="3"/>
  <c r="E64" i="3"/>
  <c r="E86" i="3"/>
  <c r="E555" i="3"/>
  <c r="E423" i="3"/>
  <c r="E219" i="3"/>
  <c r="AK6" i="3"/>
  <c r="E62" i="3"/>
  <c r="E53" i="3"/>
  <c r="E118" i="3"/>
  <c r="E539" i="3"/>
  <c r="E475" i="3"/>
  <c r="E564" i="3"/>
  <c r="E524" i="3"/>
  <c r="E482" i="3"/>
  <c r="E436" i="3"/>
  <c r="E396" i="3"/>
  <c r="E354" i="3"/>
  <c r="E308" i="3"/>
  <c r="E268" i="3"/>
  <c r="E236" i="3"/>
  <c r="E204" i="3"/>
  <c r="E172" i="3"/>
  <c r="E140" i="3"/>
  <c r="E417" i="3"/>
  <c r="E391" i="3"/>
  <c r="E367" i="3"/>
  <c r="E339" i="3"/>
  <c r="E315" i="3"/>
  <c r="E289" i="3"/>
  <c r="E263" i="3"/>
  <c r="E239" i="3"/>
  <c r="E211" i="3"/>
  <c r="E187" i="3"/>
  <c r="E161" i="3"/>
  <c r="E135" i="3"/>
  <c r="E111" i="3"/>
  <c r="Q6" i="3"/>
  <c r="AQ6" i="3"/>
  <c r="E26" i="3"/>
  <c r="E46" i="3"/>
  <c r="E66" i="3"/>
  <c r="E90" i="3"/>
  <c r="E100" i="3"/>
  <c r="E401" i="3"/>
  <c r="E273" i="3"/>
  <c r="E171" i="3"/>
  <c r="AI6" i="3"/>
  <c r="E38" i="3"/>
  <c r="E364" i="3"/>
  <c r="E295" i="3"/>
  <c r="I6" i="3"/>
  <c r="E42" i="3"/>
  <c r="E67" i="3"/>
  <c r="E537" i="3"/>
  <c r="E473" i="3"/>
  <c r="E562" i="3"/>
  <c r="E516" i="3"/>
  <c r="E476" i="3"/>
  <c r="E434" i="3"/>
  <c r="E388" i="3"/>
  <c r="E348" i="3"/>
  <c r="E306" i="3"/>
  <c r="E260" i="3"/>
  <c r="E228" i="3"/>
  <c r="E196" i="3"/>
  <c r="E164" i="3"/>
  <c r="E136" i="3"/>
  <c r="E415" i="3"/>
  <c r="E387" i="3"/>
  <c r="E363" i="3"/>
  <c r="E337" i="3"/>
  <c r="E311" i="3"/>
  <c r="E287" i="3"/>
  <c r="E259" i="3"/>
  <c r="E235" i="3"/>
  <c r="E209" i="3"/>
  <c r="E183" i="3"/>
  <c r="E159" i="3"/>
  <c r="E131" i="3"/>
  <c r="E107" i="3"/>
  <c r="S6" i="3"/>
  <c r="E28" i="3"/>
  <c r="E48" i="3"/>
  <c r="E70" i="3"/>
  <c r="E92" i="3"/>
  <c r="X6" i="3"/>
  <c r="E569" i="3"/>
  <c r="E441" i="3"/>
  <c r="E452" i="3"/>
  <c r="E324" i="3"/>
  <c r="E244" i="3"/>
  <c r="E148" i="3"/>
  <c r="E351" i="3"/>
  <c r="E299" i="3"/>
  <c r="E195" i="3"/>
  <c r="E95" i="3"/>
  <c r="E80" i="3"/>
  <c r="J6" i="3"/>
  <c r="E491" i="3"/>
  <c r="E532" i="3"/>
  <c r="E404" i="3"/>
  <c r="E276" i="3"/>
  <c r="E178" i="3"/>
  <c r="E371" i="3"/>
  <c r="E271" i="3"/>
  <c r="E167" i="3"/>
  <c r="E82" i="3"/>
  <c r="AP6" i="3"/>
  <c r="E69" i="3"/>
  <c r="E587" i="3"/>
  <c r="E523" i="3"/>
  <c r="E459" i="3"/>
  <c r="E556" i="3"/>
  <c r="E514" i="3"/>
  <c r="E468" i="3"/>
  <c r="E428" i="3"/>
  <c r="E386" i="3"/>
  <c r="E340" i="3"/>
  <c r="E300" i="3"/>
  <c r="E258" i="3"/>
  <c r="E226" i="3"/>
  <c r="E194" i="3"/>
  <c r="E162" i="3"/>
  <c r="E132" i="3"/>
  <c r="E411" i="3"/>
  <c r="E385" i="3"/>
  <c r="E359" i="3"/>
  <c r="E335" i="3"/>
  <c r="E307" i="3"/>
  <c r="E283" i="3"/>
  <c r="E257" i="3"/>
  <c r="E231" i="3"/>
  <c r="E207" i="3"/>
  <c r="E179" i="3"/>
  <c r="E155" i="3"/>
  <c r="E129" i="3"/>
  <c r="E103" i="3"/>
  <c r="U6" i="3"/>
  <c r="E30" i="3"/>
  <c r="E50" i="3"/>
  <c r="E74" i="3"/>
  <c r="E37" i="3"/>
  <c r="E580" i="3"/>
  <c r="E450" i="3"/>
  <c r="E322" i="3"/>
  <c r="E210" i="3"/>
  <c r="E399" i="3"/>
  <c r="E243" i="3"/>
  <c r="E115" i="3"/>
  <c r="AN6" i="3"/>
  <c r="E19" i="3"/>
  <c r="E83" i="3"/>
  <c r="E585" i="3"/>
  <c r="E521" i="3"/>
  <c r="E457" i="3"/>
  <c r="E548" i="3"/>
  <c r="E508" i="3"/>
  <c r="E466" i="3"/>
  <c r="E420" i="3"/>
  <c r="E380" i="3"/>
  <c r="E338" i="3"/>
  <c r="E292" i="3"/>
  <c r="E256" i="3"/>
  <c r="E224" i="3"/>
  <c r="E192" i="3"/>
  <c r="E160" i="3"/>
  <c r="E433" i="3"/>
  <c r="E407" i="3"/>
  <c r="E383" i="3"/>
  <c r="E355" i="3"/>
  <c r="E331" i="3"/>
  <c r="E305" i="3"/>
  <c r="E279" i="3"/>
  <c r="E255" i="3"/>
  <c r="E227" i="3"/>
  <c r="E203" i="3"/>
  <c r="E177" i="3"/>
  <c r="E151" i="3"/>
  <c r="E127" i="3"/>
  <c r="E99" i="3"/>
  <c r="Y6" i="3"/>
  <c r="E32" i="3"/>
  <c r="E54" i="3"/>
  <c r="E76" i="3"/>
  <c r="E34" i="3"/>
  <c r="E58" i="3"/>
  <c r="E78" i="3"/>
  <c r="E35" i="3"/>
  <c r="E540" i="3"/>
  <c r="E370" i="3"/>
  <c r="E180" i="3"/>
  <c r="E375" i="3"/>
  <c r="E247" i="3"/>
  <c r="E145" i="3"/>
  <c r="E14" i="3"/>
  <c r="E492" i="3"/>
  <c r="E146" i="3"/>
  <c r="E321" i="3"/>
  <c r="E143" i="3"/>
  <c r="Z6" i="3"/>
  <c r="E21" i="3"/>
  <c r="E85" i="3"/>
  <c r="E571" i="3"/>
  <c r="E507" i="3"/>
  <c r="E443" i="3"/>
  <c r="E546" i="3"/>
  <c r="E500" i="3"/>
  <c r="E460" i="3"/>
  <c r="E418" i="3"/>
  <c r="E372" i="3"/>
  <c r="E332" i="3"/>
  <c r="E290" i="3"/>
  <c r="E252" i="3"/>
  <c r="E220" i="3"/>
  <c r="E188" i="3"/>
  <c r="E156" i="3"/>
  <c r="E431" i="3"/>
  <c r="E403" i="3"/>
  <c r="E379" i="3"/>
  <c r="E353" i="3"/>
  <c r="E327" i="3"/>
  <c r="E303" i="3"/>
  <c r="E275" i="3"/>
  <c r="E251" i="3"/>
  <c r="E225" i="3"/>
  <c r="E199" i="3"/>
  <c r="E175" i="3"/>
  <c r="E147" i="3"/>
  <c r="E123" i="3"/>
  <c r="E97" i="3"/>
  <c r="AE6" i="3"/>
  <c r="E505" i="3"/>
  <c r="E498" i="3"/>
  <c r="E412" i="3"/>
  <c r="E284" i="3"/>
  <c r="E212" i="3"/>
  <c r="E427" i="3"/>
  <c r="E323" i="3"/>
  <c r="E223" i="3"/>
  <c r="E119" i="3"/>
  <c r="E60" i="3"/>
  <c r="E102" i="3"/>
  <c r="E242" i="3"/>
  <c r="E347" i="3"/>
  <c r="E193" i="3"/>
  <c r="E18" i="3"/>
  <c r="D125" i="9"/>
  <c r="D11" i="52" s="1"/>
  <c r="H14" i="74"/>
  <c r="B7" i="74" s="1"/>
  <c r="C7" i="74" s="1"/>
  <c r="D10" i="52"/>
  <c r="T49" i="71"/>
  <c r="D49" i="71"/>
  <c r="D36" i="71"/>
  <c r="C37" i="71"/>
  <c r="AA36" i="37"/>
  <c r="S36" i="37"/>
  <c r="D41" i="71"/>
  <c r="T41" i="71"/>
  <c r="D17" i="53"/>
  <c r="B36" i="72" s="1"/>
  <c r="B34" i="72"/>
  <c r="AC36" i="37"/>
  <c r="W36" i="37"/>
  <c r="C33" i="71"/>
  <c r="D32" i="71"/>
  <c r="C30" i="11"/>
  <c r="C48" i="11"/>
  <c r="B40" i="1"/>
  <c r="F22" i="83" s="1"/>
  <c r="F41" i="83" s="1"/>
  <c r="F1" i="15"/>
  <c r="F69" i="67"/>
  <c r="F71" i="67"/>
  <c r="M7" i="67"/>
  <c r="J6" i="67" s="1"/>
  <c r="J18" i="67" s="1"/>
  <c r="F50" i="67"/>
  <c r="C49" i="67" s="1"/>
  <c r="C6" i="67"/>
  <c r="C32" i="67" s="1"/>
  <c r="G16" i="1"/>
  <c r="F10" i="40" s="1"/>
  <c r="K16" i="1"/>
  <c r="B29" i="1" s="1"/>
  <c r="H16" i="1"/>
  <c r="C34" i="69"/>
  <c r="C38" i="69" s="1"/>
  <c r="Q16" i="1"/>
  <c r="F27" i="11" s="1"/>
  <c r="C32" i="15"/>
  <c r="C6" i="79"/>
  <c r="M7" i="79"/>
  <c r="J6" i="79" s="1"/>
  <c r="J18" i="79" s="1"/>
  <c r="F50" i="79"/>
  <c r="C49" i="79" s="1"/>
  <c r="F71" i="79"/>
  <c r="M7" i="1"/>
  <c r="M16" i="1" s="1"/>
  <c r="E15" i="6"/>
  <c r="E8" i="6"/>
  <c r="E14" i="6"/>
  <c r="E13" i="6"/>
  <c r="E12" i="6"/>
  <c r="E11" i="6"/>
  <c r="E10" i="6"/>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F28" i="12"/>
  <c r="F27" i="69"/>
  <c r="F27" i="68"/>
  <c r="BA5" i="3"/>
  <c r="E27" i="6" s="1"/>
  <c r="AZ13" i="3"/>
  <c r="AZ5" i="3" s="1"/>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Q57" i="15"/>
  <c r="M11" i="15"/>
  <c r="J10" i="15" s="1"/>
  <c r="J5" i="15" s="1"/>
  <c r="J24" i="15" s="1"/>
  <c r="D5" i="43"/>
  <c r="Q61" i="15"/>
  <c r="Q61" i="79"/>
  <c r="Q57" i="79"/>
  <c r="M11" i="67"/>
  <c r="J10" i="67" s="1"/>
  <c r="Q73" i="15"/>
  <c r="Q52" i="79"/>
  <c r="M11" i="79"/>
  <c r="C30" i="83"/>
  <c r="C48" i="83"/>
  <c r="C24" i="12"/>
  <c r="C13" i="12"/>
  <c r="C30" i="69"/>
  <c r="C28" i="79"/>
  <c r="C48" i="81"/>
  <c r="C77" i="80"/>
  <c r="C74" i="80" s="1"/>
  <c r="C48" i="68"/>
  <c r="C28" i="67"/>
  <c r="C31" i="12"/>
  <c r="C48" i="69"/>
  <c r="C30" i="81"/>
  <c r="C28" i="15"/>
  <c r="C30" i="68"/>
  <c r="C77" i="9"/>
  <c r="C74" i="9" s="1"/>
  <c r="C36" i="68"/>
  <c r="C36" i="11"/>
  <c r="D58" i="21"/>
  <c r="E58" i="21" s="1"/>
  <c r="F58" i="21" s="1"/>
  <c r="G58" i="21" s="1"/>
  <c r="H58" i="21" s="1"/>
  <c r="I58" i="21" s="1"/>
  <c r="J58" i="21" s="1"/>
  <c r="K58" i="21" s="1"/>
  <c r="L58" i="21" s="1"/>
  <c r="M58" i="21" s="1"/>
  <c r="N58" i="21" s="1"/>
  <c r="O58" i="21" s="1"/>
  <c r="H7" i="21" s="1"/>
  <c r="F7" i="2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H7" i="36" s="1"/>
  <c r="C69" i="39"/>
  <c r="D67" i="39"/>
  <c r="C52" i="37"/>
  <c r="D52" i="37" s="1"/>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H7" i="33"/>
  <c r="F7" i="33"/>
  <c r="D48" i="35"/>
  <c r="E48" i="35" s="1"/>
  <c r="F48" i="35" s="1"/>
  <c r="G48" i="35" s="1"/>
  <c r="H48" i="35" s="1"/>
  <c r="I48" i="35" s="1"/>
  <c r="J48" i="35" s="1"/>
  <c r="K48" i="35" s="1"/>
  <c r="L48" i="35" s="1"/>
  <c r="M48" i="35" s="1"/>
  <c r="N48" i="35" s="1"/>
  <c r="O48" i="35" s="1"/>
  <c r="H7" i="35"/>
  <c r="C65" i="40"/>
  <c r="D63" i="40"/>
  <c r="P25" i="43"/>
  <c r="P21" i="43"/>
  <c r="O19" i="43"/>
  <c r="C19" i="43" s="1"/>
  <c r="P24" i="43"/>
  <c r="B66" i="40" s="1"/>
  <c r="P23" i="43"/>
  <c r="B70" i="39" s="1"/>
  <c r="P22" i="43"/>
  <c r="Q52" i="67"/>
  <c r="Q61" i="67"/>
  <c r="C49" i="15"/>
  <c r="F11" i="15"/>
  <c r="C53" i="15" s="1"/>
  <c r="F11" i="79"/>
  <c r="C53" i="79" s="1"/>
  <c r="L46" i="15"/>
  <c r="Q60" i="67"/>
  <c r="L46" i="79"/>
  <c r="C53" i="67"/>
  <c r="C10" i="67"/>
  <c r="C16" i="67"/>
  <c r="F41" i="79"/>
  <c r="AE6" i="1"/>
  <c r="C16" i="79"/>
  <c r="Q73" i="79" l="1"/>
  <c r="H7" i="37"/>
  <c r="T33" i="71"/>
  <c r="D33" i="71"/>
  <c r="D18" i="71"/>
  <c r="C17" i="71"/>
  <c r="J7" i="37"/>
  <c r="T37" i="71"/>
  <c r="D37" i="71"/>
  <c r="J7" i="21"/>
  <c r="C35" i="69"/>
  <c r="C24" i="83"/>
  <c r="H10" i="40"/>
  <c r="H6" i="3"/>
  <c r="J7" i="33"/>
  <c r="F7" i="34"/>
  <c r="AA7" i="34" s="1"/>
  <c r="R49" i="34" s="1"/>
  <c r="AC6" i="3"/>
  <c r="F7" i="37"/>
  <c r="S7" i="37" s="1"/>
  <c r="J7" i="34"/>
  <c r="B12" i="71"/>
  <c r="B11" i="71" s="1"/>
  <c r="B10" i="71" s="1"/>
  <c r="B9" i="71" s="1"/>
  <c r="S13" i="71"/>
  <c r="F25" i="12"/>
  <c r="C26" i="12" s="1"/>
  <c r="D25" i="12" s="1"/>
  <c r="C26" i="83"/>
  <c r="D22" i="83" s="1"/>
  <c r="F24" i="15"/>
  <c r="C24" i="15" s="1"/>
  <c r="C44" i="83"/>
  <c r="D41" i="83" s="1"/>
  <c r="F24" i="67"/>
  <c r="C24" i="67" s="1"/>
  <c r="F22" i="11"/>
  <c r="C26" i="11" s="1"/>
  <c r="D22" i="11" s="1"/>
  <c r="F22" i="81"/>
  <c r="C44" i="81" s="1"/>
  <c r="D41" i="81" s="1"/>
  <c r="F22" i="69"/>
  <c r="F22" i="68"/>
  <c r="F41" i="68" s="1"/>
  <c r="F24" i="79"/>
  <c r="C24" i="79" s="1"/>
  <c r="J26" i="15"/>
  <c r="J10" i="40"/>
  <c r="F10" i="39"/>
  <c r="S10" i="40"/>
  <c r="AA10" i="40"/>
  <c r="J10" i="39"/>
  <c r="H10" i="39"/>
  <c r="C48" i="15"/>
  <c r="C66" i="15" s="1"/>
  <c r="C5" i="67"/>
  <c r="C38" i="67" s="1"/>
  <c r="J5" i="67"/>
  <c r="C29" i="12"/>
  <c r="D28" i="12" s="1"/>
  <c r="J10" i="79"/>
  <c r="J5" i="79" s="1"/>
  <c r="C115" i="43"/>
  <c r="D113" i="43"/>
  <c r="E3" i="6"/>
  <c r="C30" i="37" s="1"/>
  <c r="AY6" i="3"/>
  <c r="C47" i="68"/>
  <c r="D45" i="68" s="1"/>
  <c r="C29" i="68"/>
  <c r="D27" i="68" s="1"/>
  <c r="F45" i="68"/>
  <c r="L16" i="1"/>
  <c r="C34" i="68"/>
  <c r="N16" i="1"/>
  <c r="C34" i="11"/>
  <c r="E56" i="40"/>
  <c r="E60" i="39"/>
  <c r="E58" i="40"/>
  <c r="E62" i="39"/>
  <c r="E51" i="40"/>
  <c r="E56" i="39"/>
  <c r="E16" i="6"/>
  <c r="F27" i="6"/>
  <c r="F31" i="6"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19" i="6"/>
  <c r="K20" i="6"/>
  <c r="C29" i="69"/>
  <c r="D27" i="69" s="1"/>
  <c r="F45" i="69"/>
  <c r="C47" i="69"/>
  <c r="D45" i="69" s="1"/>
  <c r="C47" i="11"/>
  <c r="D45" i="11" s="1"/>
  <c r="C29" i="11"/>
  <c r="D27" i="11" s="1"/>
  <c r="E57" i="40"/>
  <c r="E61" i="39"/>
  <c r="E59" i="40"/>
  <c r="E63" i="39"/>
  <c r="E60" i="40"/>
  <c r="E64" i="39"/>
  <c r="C32" i="79"/>
  <c r="C33" i="79"/>
  <c r="C26" i="69"/>
  <c r="D22" i="69" s="1"/>
  <c r="C10" i="79"/>
  <c r="C5" i="79" s="1"/>
  <c r="C38" i="79" s="1"/>
  <c r="C44" i="11"/>
  <c r="D41" i="11" s="1"/>
  <c r="C26" i="81"/>
  <c r="D22" i="81" s="1"/>
  <c r="AB7" i="21"/>
  <c r="T48" i="21" s="1"/>
  <c r="G48" i="21" s="1"/>
  <c r="U7" i="21"/>
  <c r="U7" i="36"/>
  <c r="AB7" i="36"/>
  <c r="T36" i="36" s="1"/>
  <c r="G36" i="36" s="1"/>
  <c r="J7" i="35"/>
  <c r="W7" i="33"/>
  <c r="AC7" i="33"/>
  <c r="V48" i="33" s="1"/>
  <c r="I48" i="33" s="1"/>
  <c r="U7" i="37"/>
  <c r="AB7" i="37"/>
  <c r="D69" i="39"/>
  <c r="E67" i="39"/>
  <c r="F7" i="36"/>
  <c r="H7" i="34"/>
  <c r="S7" i="21"/>
  <c r="AA7" i="21"/>
  <c r="R48" i="21" s="1"/>
  <c r="T4" i="43"/>
  <c r="V4" i="43" s="1"/>
  <c r="T15" i="43"/>
  <c r="V15" i="43" s="1"/>
  <c r="T13" i="43"/>
  <c r="V13" i="43" s="1"/>
  <c r="T9" i="43"/>
  <c r="V9" i="43" s="1"/>
  <c r="T6" i="43"/>
  <c r="V6" i="43" s="1"/>
  <c r="T3" i="43"/>
  <c r="V3" i="43" s="1"/>
  <c r="C29" i="43"/>
  <c r="T11" i="43"/>
  <c r="V11" i="43" s="1"/>
  <c r="T7" i="43"/>
  <c r="V7" i="43" s="1"/>
  <c r="C39" i="43"/>
  <c r="C37" i="43"/>
  <c r="C35" i="43"/>
  <c r="C33" i="43"/>
  <c r="T14" i="43"/>
  <c r="V14" i="43" s="1"/>
  <c r="T12" i="43"/>
  <c r="V12" i="43" s="1"/>
  <c r="T8" i="43"/>
  <c r="V8" i="43" s="1"/>
  <c r="T5" i="43"/>
  <c r="V5" i="43" s="1"/>
  <c r="T2" i="43"/>
  <c r="V2" i="43" s="1"/>
  <c r="T16" i="43"/>
  <c r="V16" i="43" s="1"/>
  <c r="T10" i="43"/>
  <c r="V10" i="43" s="1"/>
  <c r="C38" i="43"/>
  <c r="C36" i="43"/>
  <c r="C34" i="43"/>
  <c r="D65" i="40"/>
  <c r="E63" i="40"/>
  <c r="U7" i="35"/>
  <c r="AB7" i="35"/>
  <c r="T38" i="35" s="1"/>
  <c r="G38" i="35" s="1"/>
  <c r="F7" i="35"/>
  <c r="S7" i="33"/>
  <c r="AA7" i="33"/>
  <c r="R48" i="33" s="1"/>
  <c r="AB7" i="33"/>
  <c r="T48" i="33" s="1"/>
  <c r="G48" i="33" s="1"/>
  <c r="U7" i="33"/>
  <c r="AA7" i="37"/>
  <c r="AC7" i="37"/>
  <c r="W7" i="37"/>
  <c r="J7" i="36"/>
  <c r="W7" i="34"/>
  <c r="AC7" i="34"/>
  <c r="V49" i="34" s="1"/>
  <c r="I49" i="34" s="1"/>
  <c r="W7" i="21"/>
  <c r="AC7" i="21"/>
  <c r="V48" i="21" s="1"/>
  <c r="I48" i="21" s="1"/>
  <c r="C10" i="15"/>
  <c r="C5" i="15" s="1"/>
  <c r="C38" i="15" s="1"/>
  <c r="C48" i="79"/>
  <c r="C60" i="79" s="1"/>
  <c r="C48" i="67"/>
  <c r="C60" i="67" s="1"/>
  <c r="F69" i="79"/>
  <c r="F41" i="15"/>
  <c r="C24" i="81" l="1"/>
  <c r="S7" i="34"/>
  <c r="J30" i="37"/>
  <c r="H30" i="37"/>
  <c r="F30" i="37"/>
  <c r="E6" i="3"/>
  <c r="C16" i="71"/>
  <c r="T17" i="71"/>
  <c r="D17" i="71"/>
  <c r="U17" i="71" s="1"/>
  <c r="C23" i="11"/>
  <c r="U10" i="40"/>
  <c r="AB10" i="40"/>
  <c r="B8" i="71"/>
  <c r="B7" i="71" s="1"/>
  <c r="B6" i="71" s="1"/>
  <c r="B5" i="71" s="1"/>
  <c r="S9" i="71"/>
  <c r="F69" i="15"/>
  <c r="J29" i="15"/>
  <c r="C60" i="15"/>
  <c r="F41" i="81"/>
  <c r="C26" i="68"/>
  <c r="D22" i="68" s="1"/>
  <c r="C24" i="68"/>
  <c r="C44" i="68"/>
  <c r="D41" i="68" s="1"/>
  <c r="C44" i="69"/>
  <c r="D41" i="69" s="1"/>
  <c r="F41" i="69"/>
  <c r="AA10" i="39"/>
  <c r="S10" i="39"/>
  <c r="W10" i="40"/>
  <c r="AC10" i="40"/>
  <c r="U10" i="39"/>
  <c r="AB10" i="39"/>
  <c r="W10" i="39"/>
  <c r="AC10" i="39"/>
  <c r="J24" i="67"/>
  <c r="J26" i="67"/>
  <c r="J29" i="67" s="1"/>
  <c r="E65" i="39"/>
  <c r="J24" i="79"/>
  <c r="J26" i="79"/>
  <c r="J29" i="79" s="1"/>
  <c r="S6" i="1"/>
  <c r="M19" i="6"/>
  <c r="K27" i="6"/>
  <c r="F50" i="81"/>
  <c r="F50" i="83"/>
  <c r="F50" i="68"/>
  <c r="F50" i="69"/>
  <c r="F50" i="1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29" i="3"/>
  <c r="AY127" i="3"/>
  <c r="AY125" i="3"/>
  <c r="AY123" i="3"/>
  <c r="AY121" i="3"/>
  <c r="AY119" i="3"/>
  <c r="AY117" i="3"/>
  <c r="AY115" i="3"/>
  <c r="AY113" i="3"/>
  <c r="AY111" i="3"/>
  <c r="AY109" i="3"/>
  <c r="AY107" i="3"/>
  <c r="AY105" i="3"/>
  <c r="AY103" i="3"/>
  <c r="AY101" i="3"/>
  <c r="AY99" i="3"/>
  <c r="AY97" i="3"/>
  <c r="AY95" i="3"/>
  <c r="AY93"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S7" i="1"/>
  <c r="M20" i="6"/>
  <c r="I20" i="6" s="1"/>
  <c r="C35" i="11"/>
  <c r="C38" i="11"/>
  <c r="C35" i="68"/>
  <c r="C38" i="68"/>
  <c r="D37" i="11"/>
  <c r="C37" i="11" s="1"/>
  <c r="D19" i="11"/>
  <c r="C19" i="11" s="1"/>
  <c r="D3" i="34"/>
  <c r="D3" i="33"/>
  <c r="D3" i="21"/>
  <c r="D14" i="12"/>
  <c r="E6" i="6"/>
  <c r="C17" i="4"/>
  <c r="B4" i="52" s="1"/>
  <c r="B43" i="72" s="1"/>
  <c r="C66" i="79"/>
  <c r="C66" i="67"/>
  <c r="I52" i="21"/>
  <c r="J52" i="21" s="1"/>
  <c r="I53" i="34"/>
  <c r="J53" i="34" s="1"/>
  <c r="G53" i="33"/>
  <c r="H53" i="33" s="1"/>
  <c r="G52" i="33"/>
  <c r="H52" i="33" s="1"/>
  <c r="G42" i="35"/>
  <c r="H42" i="35" s="1"/>
  <c r="E65" i="40"/>
  <c r="F63" i="40"/>
  <c r="G34" i="43"/>
  <c r="I34" i="43" s="1"/>
  <c r="E34" i="43"/>
  <c r="G38" i="43"/>
  <c r="I38" i="43" s="1"/>
  <c r="E38" i="43"/>
  <c r="G33" i="43"/>
  <c r="I33" i="43" s="1"/>
  <c r="E33" i="43"/>
  <c r="G37" i="43"/>
  <c r="I37" i="43" s="1"/>
  <c r="E37" i="43"/>
  <c r="C30" i="43"/>
  <c r="E30" i="43" s="1"/>
  <c r="C27" i="43" s="1"/>
  <c r="E29" i="43"/>
  <c r="R50" i="34"/>
  <c r="E49" i="34"/>
  <c r="AA7" i="36"/>
  <c r="R36" i="36" s="1"/>
  <c r="S7" i="36"/>
  <c r="G40" i="36"/>
  <c r="H40" i="36" s="1"/>
  <c r="AC7" i="36"/>
  <c r="V36" i="36" s="1"/>
  <c r="I36" i="36" s="1"/>
  <c r="W7" i="36"/>
  <c r="R49" i="33"/>
  <c r="E48" i="33"/>
  <c r="I53" i="33" s="1"/>
  <c r="J53" i="33" s="1"/>
  <c r="AA7" i="35"/>
  <c r="R38" i="35" s="1"/>
  <c r="S7" i="35"/>
  <c r="G36" i="43"/>
  <c r="I36" i="43" s="1"/>
  <c r="E36" i="43"/>
  <c r="C26" i="43"/>
  <c r="G35" i="43"/>
  <c r="I35" i="43" s="1"/>
  <c r="E35" i="43"/>
  <c r="G39" i="43"/>
  <c r="I39" i="43" s="1"/>
  <c r="E39" i="43"/>
  <c r="R49" i="21"/>
  <c r="E48" i="21"/>
  <c r="AB7" i="34"/>
  <c r="T49" i="34" s="1"/>
  <c r="G49" i="34" s="1"/>
  <c r="U7" i="34"/>
  <c r="E69" i="39"/>
  <c r="F67" i="39"/>
  <c r="I52" i="33"/>
  <c r="J52" i="33" s="1"/>
  <c r="AC7" i="35"/>
  <c r="V38" i="35" s="1"/>
  <c r="I38" i="35" s="1"/>
  <c r="W7" i="35"/>
  <c r="G53" i="21"/>
  <c r="H53" i="21" s="1"/>
  <c r="G52" i="21"/>
  <c r="H52" i="21" s="1"/>
  <c r="E6" i="76"/>
  <c r="C14" i="67"/>
  <c r="C17" i="67"/>
  <c r="C17" i="79"/>
  <c r="C17" i="15"/>
  <c r="D10" i="81"/>
  <c r="D10" i="83"/>
  <c r="C15" i="71" l="1"/>
  <c r="D16" i="71"/>
  <c r="AA30" i="37"/>
  <c r="R42" i="37" s="1"/>
  <c r="S30" i="37"/>
  <c r="U30" i="37"/>
  <c r="AB30" i="37"/>
  <c r="T42" i="37" s="1"/>
  <c r="G42" i="37" s="1"/>
  <c r="W30" i="37"/>
  <c r="AC30" i="37"/>
  <c r="V42" i="37" s="1"/>
  <c r="I42" i="37" s="1"/>
  <c r="I46" i="37" s="1"/>
  <c r="J46" i="37" s="1"/>
  <c r="C15" i="67"/>
  <c r="C18" i="67"/>
  <c r="C33" i="11"/>
  <c r="C42" i="11" s="1"/>
  <c r="D19" i="81"/>
  <c r="D37" i="81" s="1"/>
  <c r="C37" i="81" s="1"/>
  <c r="C10" i="81"/>
  <c r="C8" i="81" s="1"/>
  <c r="C5" i="81" s="1"/>
  <c r="C10" i="83"/>
  <c r="C8" i="83" s="1"/>
  <c r="D19" i="83"/>
  <c r="D37" i="83" s="1"/>
  <c r="C37" i="83" s="1"/>
  <c r="AR7" i="1"/>
  <c r="AQ7" i="1"/>
  <c r="T7" i="1"/>
  <c r="E7" i="70"/>
  <c r="D10" i="11"/>
  <c r="C10" i="11" s="1"/>
  <c r="D20" i="12"/>
  <c r="C20" i="12" s="1"/>
  <c r="D10" i="69"/>
  <c r="D10" i="68"/>
  <c r="D17" i="12"/>
  <c r="C17" i="12" s="1"/>
  <c r="C14" i="12"/>
  <c r="C16" i="12" s="1"/>
  <c r="C20" i="11"/>
  <c r="C25" i="11" s="1"/>
  <c r="C24" i="11"/>
  <c r="L18" i="80"/>
  <c r="S20" i="6"/>
  <c r="AR6" i="1"/>
  <c r="S16" i="1"/>
  <c r="AQ6" i="1"/>
  <c r="T6" i="1"/>
  <c r="E6" i="70"/>
  <c r="E2" i="70" s="1"/>
  <c r="E61" i="40"/>
  <c r="D20" i="6"/>
  <c r="D29" i="6"/>
  <c r="D28" i="6"/>
  <c r="H26" i="6"/>
  <c r="D26" i="6"/>
  <c r="H25" i="6"/>
  <c r="D25" i="6"/>
  <c r="H24" i="6"/>
  <c r="D24" i="6"/>
  <c r="H23" i="6"/>
  <c r="D23" i="6"/>
  <c r="H22" i="6"/>
  <c r="D22" i="6"/>
  <c r="H21" i="6"/>
  <c r="D21" i="6"/>
  <c r="D19" i="6"/>
  <c r="D15" i="6"/>
  <c r="D14" i="6"/>
  <c r="D13" i="6"/>
  <c r="D12" i="6"/>
  <c r="D11" i="6"/>
  <c r="D10" i="6"/>
  <c r="D6" i="6"/>
  <c r="H20" i="6"/>
  <c r="D9" i="6"/>
  <c r="D8" i="6"/>
  <c r="D5" i="6"/>
  <c r="C18" i="4"/>
  <c r="M27" i="6"/>
  <c r="I19" i="6"/>
  <c r="E2" i="76"/>
  <c r="F69" i="39"/>
  <c r="G67" i="39"/>
  <c r="E53" i="21"/>
  <c r="F53" i="21" s="1"/>
  <c r="E52" i="21"/>
  <c r="F52" i="21" s="1"/>
  <c r="B2" i="43"/>
  <c r="E38" i="35"/>
  <c r="R39" i="35"/>
  <c r="C49" i="33"/>
  <c r="B2" i="33" s="1"/>
  <c r="B3" i="33" s="1"/>
  <c r="C48" i="33"/>
  <c r="I40" i="36"/>
  <c r="J40" i="36" s="1"/>
  <c r="G41" i="36"/>
  <c r="H41" i="36" s="1"/>
  <c r="I42" i="35"/>
  <c r="J42" i="35" s="1"/>
  <c r="G54" i="34"/>
  <c r="H54" i="34" s="1"/>
  <c r="G53" i="34"/>
  <c r="H53" i="34" s="1"/>
  <c r="C49" i="21"/>
  <c r="B2" i="21" s="1"/>
  <c r="B3" i="21" s="1"/>
  <c r="C48" i="21"/>
  <c r="E53" i="33"/>
  <c r="F53" i="33" s="1"/>
  <c r="E52" i="33"/>
  <c r="F52" i="33" s="1"/>
  <c r="E54" i="34"/>
  <c r="F54" i="34" s="1"/>
  <c r="E53" i="34"/>
  <c r="F53" i="34" s="1"/>
  <c r="F65" i="40"/>
  <c r="G63" i="40"/>
  <c r="I54" i="34"/>
  <c r="J54" i="34" s="1"/>
  <c r="I53" i="21"/>
  <c r="J53" i="21" s="1"/>
  <c r="E36" i="36"/>
  <c r="I41" i="36" s="1"/>
  <c r="J41" i="36" s="1"/>
  <c r="R37" i="36"/>
  <c r="C50" i="34"/>
  <c r="B2" i="34" s="1"/>
  <c r="B3" i="34" s="1"/>
  <c r="C49" i="34"/>
  <c r="G43" i="35"/>
  <c r="H43" i="35" s="1"/>
  <c r="C34" i="81"/>
  <c r="B6" i="76"/>
  <c r="C14" i="79"/>
  <c r="C34" i="83"/>
  <c r="C14" i="15"/>
  <c r="G47" i="37" l="1"/>
  <c r="H47" i="37" s="1"/>
  <c r="G46" i="37"/>
  <c r="H46" i="37" s="1"/>
  <c r="D16" i="6"/>
  <c r="E42" i="37"/>
  <c r="R43" i="37"/>
  <c r="C14" i="71"/>
  <c r="D15" i="71"/>
  <c r="R21" i="6"/>
  <c r="R22" i="6"/>
  <c r="R23" i="6"/>
  <c r="R24" i="6"/>
  <c r="R25" i="6"/>
  <c r="R26" i="6"/>
  <c r="D30" i="6"/>
  <c r="C39" i="11"/>
  <c r="C43" i="11" s="1"/>
  <c r="C41" i="11" s="1"/>
  <c r="C19" i="67"/>
  <c r="C20" i="67" s="1"/>
  <c r="C26" i="67" s="1"/>
  <c r="C22" i="11"/>
  <c r="C28" i="11"/>
  <c r="C27" i="11" s="1"/>
  <c r="C35" i="83"/>
  <c r="C38" i="83"/>
  <c r="C33" i="83" s="1"/>
  <c r="C15" i="15"/>
  <c r="C18" i="15"/>
  <c r="C18" i="79"/>
  <c r="C15" i="79"/>
  <c r="C35" i="81"/>
  <c r="C33" i="81" s="1"/>
  <c r="C38" i="81"/>
  <c r="L19" i="80"/>
  <c r="M19" i="80"/>
  <c r="C118" i="80" s="1"/>
  <c r="R20" i="6"/>
  <c r="R7" i="1" s="1"/>
  <c r="I27" i="6"/>
  <c r="L18" i="9"/>
  <c r="S19" i="6"/>
  <c r="S27" i="6" s="1"/>
  <c r="C4" i="52"/>
  <c r="B45" i="72" s="1"/>
  <c r="A7" i="51"/>
  <c r="B7" i="72" s="1"/>
  <c r="A10" i="51"/>
  <c r="B9" i="72" s="1"/>
  <c r="M19" i="9"/>
  <c r="C118" i="9" s="1"/>
  <c r="D27" i="6"/>
  <c r="D31" i="6" s="1"/>
  <c r="H19" i="6"/>
  <c r="H27" i="6" s="1"/>
  <c r="T16" i="1"/>
  <c r="C10" i="69"/>
  <c r="C8" i="69" s="1"/>
  <c r="C5" i="69" s="1"/>
  <c r="D19" i="69"/>
  <c r="C20" i="81"/>
  <c r="C23" i="81"/>
  <c r="C10" i="68"/>
  <c r="C8" i="68" s="1"/>
  <c r="C5" i="68" s="1"/>
  <c r="D19" i="68"/>
  <c r="D37" i="68" s="1"/>
  <c r="C37" i="68" s="1"/>
  <c r="C33" i="68" s="1"/>
  <c r="C18" i="12"/>
  <c r="C21" i="12" s="1"/>
  <c r="B2" i="76"/>
  <c r="B3" i="76" s="1"/>
  <c r="C36" i="36"/>
  <c r="C37" i="36"/>
  <c r="B2" i="36" s="1"/>
  <c r="B3" i="36" s="1"/>
  <c r="G65" i="40"/>
  <c r="H63" i="40"/>
  <c r="E43" i="35"/>
  <c r="F43" i="35" s="1"/>
  <c r="E42" i="35"/>
  <c r="F42" i="35" s="1"/>
  <c r="H67" i="39"/>
  <c r="G69" i="39"/>
  <c r="E41" i="36"/>
  <c r="F41" i="36" s="1"/>
  <c r="E40" i="36"/>
  <c r="F40" i="36" s="1"/>
  <c r="I43" i="35"/>
  <c r="J43" i="35" s="1"/>
  <c r="C38" i="35"/>
  <c r="C39" i="35"/>
  <c r="B2" i="35" s="1"/>
  <c r="B3" i="35" s="1"/>
  <c r="B3" i="43"/>
  <c r="M21" i="67"/>
  <c r="M21" i="79"/>
  <c r="F35" i="67"/>
  <c r="F35" i="79"/>
  <c r="C13" i="71" l="1"/>
  <c r="D14" i="71"/>
  <c r="C42" i="37"/>
  <c r="C43" i="37"/>
  <c r="E46" i="37"/>
  <c r="F46" i="37" s="1"/>
  <c r="E47" i="37"/>
  <c r="F47" i="37" s="1"/>
  <c r="I47" i="37"/>
  <c r="J47" i="37" s="1"/>
  <c r="C46" i="11"/>
  <c r="C45" i="11" s="1"/>
  <c r="C19" i="15"/>
  <c r="C20" i="15" s="1"/>
  <c r="C26" i="15" s="1"/>
  <c r="C31" i="11"/>
  <c r="C23" i="67"/>
  <c r="C29" i="67" s="1"/>
  <c r="C33" i="67" s="1"/>
  <c r="C34" i="67"/>
  <c r="F63" i="67"/>
  <c r="C62" i="67" s="1"/>
  <c r="J20" i="67"/>
  <c r="C49" i="11"/>
  <c r="C51" i="11" s="1"/>
  <c r="C19" i="79"/>
  <c r="C20" i="79" s="1"/>
  <c r="C26" i="79" s="1"/>
  <c r="C39" i="68"/>
  <c r="C43" i="68" s="1"/>
  <c r="C42" i="68"/>
  <c r="C91" i="9"/>
  <c r="C92" i="9" s="1"/>
  <c r="F63" i="79"/>
  <c r="C62" i="79" s="1"/>
  <c r="C34" i="79"/>
  <c r="C31" i="79" s="1"/>
  <c r="J20" i="79"/>
  <c r="C20" i="68"/>
  <c r="C25" i="68" s="1"/>
  <c r="C23" i="68"/>
  <c r="C28" i="81"/>
  <c r="C27" i="81" s="1"/>
  <c r="C25" i="81"/>
  <c r="C22" i="81" s="1"/>
  <c r="C23" i="69"/>
  <c r="I5" i="6"/>
  <c r="I6" i="6"/>
  <c r="R19" i="6"/>
  <c r="C22" i="12"/>
  <c r="C30" i="12" s="1"/>
  <c r="C28" i="12" s="1"/>
  <c r="D37" i="69"/>
  <c r="C37" i="69" s="1"/>
  <c r="C33" i="69" s="1"/>
  <c r="C19" i="69"/>
  <c r="C14" i="74"/>
  <c r="B2" i="74" s="1"/>
  <c r="D7" i="74" s="1"/>
  <c r="L19" i="9"/>
  <c r="C39" i="81"/>
  <c r="C43" i="81" s="1"/>
  <c r="C42" i="81"/>
  <c r="C42" i="83"/>
  <c r="C39" i="83"/>
  <c r="C43" i="83" s="1"/>
  <c r="H69" i="39"/>
  <c r="I67" i="39"/>
  <c r="H65" i="40"/>
  <c r="I63" i="40"/>
  <c r="B2" i="37" l="1"/>
  <c r="B3" i="37"/>
  <c r="C12" i="71"/>
  <c r="T13" i="71"/>
  <c r="D13" i="71"/>
  <c r="U13" i="71" s="1"/>
  <c r="C52" i="11"/>
  <c r="C56" i="11" s="1"/>
  <c r="C57" i="11" s="1"/>
  <c r="C57" i="67"/>
  <c r="C64" i="67" s="1"/>
  <c r="J59" i="67"/>
  <c r="J60" i="67" s="1"/>
  <c r="L46" i="67" s="1"/>
  <c r="J14" i="67"/>
  <c r="J22" i="67" s="1"/>
  <c r="C13" i="67"/>
  <c r="Q70" i="67" s="1"/>
  <c r="C31" i="67"/>
  <c r="J19" i="67"/>
  <c r="J17" i="67" s="1"/>
  <c r="Q49" i="67"/>
  <c r="C36" i="67"/>
  <c r="C46" i="68"/>
  <c r="C45" i="68" s="1"/>
  <c r="C46" i="81"/>
  <c r="C45" i="81" s="1"/>
  <c r="C22" i="68"/>
  <c r="C41" i="68"/>
  <c r="C39" i="69"/>
  <c r="C43" i="69" s="1"/>
  <c r="C42" i="69"/>
  <c r="C31" i="81"/>
  <c r="C46" i="83"/>
  <c r="C45" i="83" s="1"/>
  <c r="C41" i="83"/>
  <c r="C23" i="79"/>
  <c r="C29" i="79" s="1"/>
  <c r="C41" i="81"/>
  <c r="C20" i="69"/>
  <c r="C25" i="69" s="1"/>
  <c r="C24" i="69"/>
  <c r="C27" i="12"/>
  <c r="C25" i="12" s="1"/>
  <c r="C32" i="12" s="1"/>
  <c r="B2" i="12" s="1"/>
  <c r="B3" i="12" s="1"/>
  <c r="C23" i="15"/>
  <c r="C29" i="15" s="1"/>
  <c r="R6" i="1"/>
  <c r="R27" i="6"/>
  <c r="C28" i="69"/>
  <c r="C27" i="69" s="1"/>
  <c r="C28" i="68"/>
  <c r="C27" i="68" s="1"/>
  <c r="I65" i="40"/>
  <c r="J63" i="40"/>
  <c r="I69" i="39"/>
  <c r="J67" i="39"/>
  <c r="M21" i="15"/>
  <c r="F35" i="15"/>
  <c r="D12" i="71" l="1"/>
  <c r="C11" i="71"/>
  <c r="C37" i="67"/>
  <c r="C30" i="67" s="1"/>
  <c r="C39" i="67" s="1"/>
  <c r="Q48" i="67"/>
  <c r="C49" i="81"/>
  <c r="C51" i="81" s="1"/>
  <c r="C52" i="81" s="1"/>
  <c r="B2" i="81" s="1"/>
  <c r="C75" i="67"/>
  <c r="B2" i="11"/>
  <c r="B3" i="11" s="1"/>
  <c r="J13" i="67"/>
  <c r="J23" i="67" s="1"/>
  <c r="J16" i="67" s="1"/>
  <c r="J25" i="67" s="1"/>
  <c r="C56" i="67"/>
  <c r="C65" i="67" s="1"/>
  <c r="C61" i="67"/>
  <c r="C59" i="67" s="1"/>
  <c r="C49" i="68"/>
  <c r="C51" i="68" s="1"/>
  <c r="C31" i="68"/>
  <c r="C41" i="69"/>
  <c r="C22" i="69"/>
  <c r="C31" i="69" s="1"/>
  <c r="C46" i="69"/>
  <c r="C45" i="69" s="1"/>
  <c r="C49" i="83"/>
  <c r="C51" i="83" s="1"/>
  <c r="F63" i="15"/>
  <c r="C62" i="15" s="1"/>
  <c r="C34" i="15"/>
  <c r="C31" i="15" s="1"/>
  <c r="J20" i="15"/>
  <c r="C36" i="15"/>
  <c r="J19" i="15"/>
  <c r="J14" i="15"/>
  <c r="Q49" i="15"/>
  <c r="C13" i="15"/>
  <c r="C57" i="15"/>
  <c r="R16" i="1"/>
  <c r="C57" i="79"/>
  <c r="C36" i="79"/>
  <c r="J19" i="79"/>
  <c r="J17" i="79" s="1"/>
  <c r="J14" i="79"/>
  <c r="Q49" i="79"/>
  <c r="C13" i="79"/>
  <c r="J69" i="39"/>
  <c r="K67" i="39"/>
  <c r="J65" i="40"/>
  <c r="K63" i="40"/>
  <c r="C19" i="80"/>
  <c r="B3" i="81"/>
  <c r="Q69" i="67" l="1"/>
  <c r="Q68" i="67" s="1"/>
  <c r="C10" i="71"/>
  <c r="D11" i="71"/>
  <c r="C40" i="67"/>
  <c r="Q65" i="67" s="1"/>
  <c r="C49" i="69"/>
  <c r="C51" i="69" s="1"/>
  <c r="C52" i="69" s="1"/>
  <c r="C80" i="67"/>
  <c r="C79" i="67" s="1"/>
  <c r="C52" i="68"/>
  <c r="C57" i="68" s="1"/>
  <c r="C56" i="68" s="1"/>
  <c r="C58" i="67"/>
  <c r="C67" i="67" s="1"/>
  <c r="C68" i="67" s="1"/>
  <c r="C71" i="67" s="1"/>
  <c r="C102" i="80"/>
  <c r="C21" i="80"/>
  <c r="C57" i="81"/>
  <c r="C56" i="81" s="1"/>
  <c r="C75" i="79"/>
  <c r="Q70" i="79"/>
  <c r="C56" i="79"/>
  <c r="C65" i="79" s="1"/>
  <c r="C37" i="79"/>
  <c r="C30" i="79" s="1"/>
  <c r="C39" i="79" s="1"/>
  <c r="J22" i="79"/>
  <c r="J13" i="79"/>
  <c r="J23" i="79" s="1"/>
  <c r="C64" i="15"/>
  <c r="C61" i="15"/>
  <c r="C59" i="15" s="1"/>
  <c r="J17" i="15"/>
  <c r="C61" i="79"/>
  <c r="C59" i="79" s="1"/>
  <c r="C64" i="79"/>
  <c r="C75" i="15"/>
  <c r="Q70" i="15"/>
  <c r="C37" i="15"/>
  <c r="C30" i="15" s="1"/>
  <c r="C39" i="15" s="1"/>
  <c r="C56" i="15"/>
  <c r="C65" i="15" s="1"/>
  <c r="J13" i="15"/>
  <c r="J23" i="15" s="1"/>
  <c r="J22" i="15"/>
  <c r="K65" i="40"/>
  <c r="L63" i="40"/>
  <c r="K69" i="39"/>
  <c r="L67" i="39"/>
  <c r="L51" i="67"/>
  <c r="C20" i="80"/>
  <c r="L51" i="79"/>
  <c r="L51" i="15"/>
  <c r="B2" i="68" l="1"/>
  <c r="Q67" i="67"/>
  <c r="L57" i="67"/>
  <c r="L60" i="67" s="1"/>
  <c r="Q66" i="67" s="1"/>
  <c r="Q75" i="67" s="1"/>
  <c r="C9" i="71"/>
  <c r="D10" i="71"/>
  <c r="C103" i="80"/>
  <c r="Q56" i="67"/>
  <c r="C57" i="69"/>
  <c r="C56" i="69" s="1"/>
  <c r="B2" i="69"/>
  <c r="B3" i="69" s="1"/>
  <c r="Q47" i="67"/>
  <c r="Q53" i="67" s="1"/>
  <c r="C45" i="67"/>
  <c r="C46" i="67" s="1"/>
  <c r="C43" i="67"/>
  <c r="C83" i="67"/>
  <c r="C82" i="67" s="1"/>
  <c r="D2" i="67"/>
  <c r="B3" i="67" s="1"/>
  <c r="C58" i="79"/>
  <c r="C67" i="79" s="1"/>
  <c r="C68" i="79" s="1"/>
  <c r="C71" i="79" s="1"/>
  <c r="J16" i="15"/>
  <c r="J25" i="15" s="1"/>
  <c r="Q67" i="79"/>
  <c r="Q67" i="15"/>
  <c r="C40" i="79"/>
  <c r="Q69" i="79"/>
  <c r="Q68" i="79" s="1"/>
  <c r="C58" i="15"/>
  <c r="C67" i="15" s="1"/>
  <c r="C68" i="15" s="1"/>
  <c r="J16" i="79"/>
  <c r="J25" i="79" s="1"/>
  <c r="C80" i="79"/>
  <c r="C79" i="79" s="1"/>
  <c r="C40" i="15"/>
  <c r="Q69" i="15"/>
  <c r="Q68" i="15" s="1"/>
  <c r="C80" i="15"/>
  <c r="C79" i="15" s="1"/>
  <c r="L69" i="39"/>
  <c r="M67" i="39"/>
  <c r="L65" i="40"/>
  <c r="M63" i="40"/>
  <c r="Q57" i="67" l="1"/>
  <c r="B3" i="68"/>
  <c r="C8" i="71"/>
  <c r="T9" i="71"/>
  <c r="D9" i="71"/>
  <c r="U9" i="71" s="1"/>
  <c r="Q62" i="67"/>
  <c r="B2" i="67"/>
  <c r="C71" i="15"/>
  <c r="C46" i="15"/>
  <c r="B2" i="79"/>
  <c r="Q65" i="79"/>
  <c r="Q75" i="79" s="1"/>
  <c r="Q47" i="79"/>
  <c r="Q53" i="79" s="1"/>
  <c r="Q56" i="79"/>
  <c r="Q62" i="79" s="1"/>
  <c r="C43" i="79"/>
  <c r="C83" i="79"/>
  <c r="C82" i="79" s="1"/>
  <c r="Q47" i="15"/>
  <c r="Q53" i="15" s="1"/>
  <c r="Q56" i="15"/>
  <c r="Q62" i="15" s="1"/>
  <c r="Q65" i="15"/>
  <c r="Q75" i="15" s="1"/>
  <c r="B2" i="15"/>
  <c r="C43" i="15"/>
  <c r="C83" i="15"/>
  <c r="C82" i="15" s="1"/>
  <c r="C46" i="79"/>
  <c r="M65" i="40"/>
  <c r="N63" i="40"/>
  <c r="M69" i="39"/>
  <c r="N67" i="39"/>
  <c r="D34" i="80"/>
  <c r="D19" i="80"/>
  <c r="D35" i="9"/>
  <c r="AO6" i="1"/>
  <c r="D34" i="9"/>
  <c r="AO7" i="1"/>
  <c r="D35" i="80"/>
  <c r="D19" i="9"/>
  <c r="C7" i="71" l="1"/>
  <c r="D8" i="71"/>
  <c r="B6" i="70"/>
  <c r="D102" i="9"/>
  <c r="D21" i="9"/>
  <c r="D21" i="80"/>
  <c r="D102" i="80"/>
  <c r="G19" i="80"/>
  <c r="D22" i="80"/>
  <c r="B7" i="70"/>
  <c r="B3" i="15"/>
  <c r="B3" i="79"/>
  <c r="N69" i="39"/>
  <c r="O67" i="39"/>
  <c r="O69" i="39" s="1"/>
  <c r="N65" i="40"/>
  <c r="O63" i="40"/>
  <c r="O65" i="40" s="1"/>
  <c r="D20" i="80"/>
  <c r="D20" i="9"/>
  <c r="D7" i="71" l="1"/>
  <c r="C6" i="71"/>
  <c r="B2" i="70"/>
  <c r="B3" i="70" s="1"/>
  <c r="D103" i="9"/>
  <c r="D103" i="80"/>
  <c r="G20" i="80"/>
  <c r="G21" i="80"/>
  <c r="C32" i="80"/>
  <c r="F7" i="40"/>
  <c r="J7" i="40"/>
  <c r="H7" i="40"/>
  <c r="J7" i="39"/>
  <c r="F7" i="39"/>
  <c r="H7" i="39"/>
  <c r="C5" i="71" l="1"/>
  <c r="D6" i="71"/>
  <c r="H118" i="80"/>
  <c r="C35" i="80"/>
  <c r="F118" i="80" s="1"/>
  <c r="AB7" i="39"/>
  <c r="T47" i="39" s="1"/>
  <c r="G47" i="39" s="1"/>
  <c r="U7" i="39"/>
  <c r="W7" i="39"/>
  <c r="AC7" i="39"/>
  <c r="V47" i="39" s="1"/>
  <c r="I47" i="39" s="1"/>
  <c r="AC7" i="40"/>
  <c r="V42" i="40" s="1"/>
  <c r="I42" i="40" s="1"/>
  <c r="W7" i="40"/>
  <c r="S7" i="39"/>
  <c r="AA7" i="39"/>
  <c r="R47" i="39" s="1"/>
  <c r="U7" i="40"/>
  <c r="AB7" i="40"/>
  <c r="T42" i="40" s="1"/>
  <c r="G42" i="40" s="1"/>
  <c r="AA7" i="40"/>
  <c r="R42" i="40" s="1"/>
  <c r="S7" i="40"/>
  <c r="D5" i="71" l="1"/>
  <c r="M20" i="43"/>
  <c r="G118" i="80"/>
  <c r="F119" i="80"/>
  <c r="C34" i="80"/>
  <c r="D118" i="80" s="1"/>
  <c r="D119" i="80" s="1"/>
  <c r="H119" i="80"/>
  <c r="C104" i="80"/>
  <c r="I118" i="80"/>
  <c r="H101" i="80"/>
  <c r="G47" i="40"/>
  <c r="H47" i="40" s="1"/>
  <c r="G46" i="40"/>
  <c r="H46" i="40" s="1"/>
  <c r="R48" i="39"/>
  <c r="E47" i="39"/>
  <c r="I52" i="39" s="1"/>
  <c r="J52" i="39" s="1"/>
  <c r="I51" i="39"/>
  <c r="J51" i="39" s="1"/>
  <c r="R43" i="40"/>
  <c r="E42" i="40"/>
  <c r="I47" i="40" s="1"/>
  <c r="J47" i="40" s="1"/>
  <c r="I46" i="40"/>
  <c r="J46" i="40" s="1"/>
  <c r="G51" i="39"/>
  <c r="H51" i="39" s="1"/>
  <c r="G52" i="39"/>
  <c r="H52" i="39" s="1"/>
  <c r="C35" i="74" l="1"/>
  <c r="E118" i="80"/>
  <c r="H102" i="80"/>
  <c r="C33" i="74" s="1"/>
  <c r="C105" i="80"/>
  <c r="M48" i="80"/>
  <c r="H107" i="80"/>
  <c r="D45" i="80"/>
  <c r="E47" i="40"/>
  <c r="F47" i="40" s="1"/>
  <c r="E46" i="40"/>
  <c r="F46" i="40" s="1"/>
  <c r="E52" i="39"/>
  <c r="F52" i="39" s="1"/>
  <c r="E51" i="39"/>
  <c r="F51" i="39" s="1"/>
  <c r="C42" i="40"/>
  <c r="C43" i="40"/>
  <c r="C48" i="39"/>
  <c r="C47" i="39"/>
  <c r="E16" i="74"/>
  <c r="F16" i="74"/>
  <c r="H108" i="80" l="1"/>
  <c r="D122" i="80"/>
  <c r="D123" i="80" s="1"/>
  <c r="M49" i="80"/>
  <c r="C93" i="80"/>
  <c r="C86" i="80" s="1"/>
  <c r="C72" i="80"/>
  <c r="D55" i="80"/>
  <c r="M53" i="80" s="1"/>
  <c r="D52" i="80"/>
  <c r="C78" i="80"/>
  <c r="C73" i="80" s="1"/>
  <c r="C85" i="80"/>
  <c r="C64" i="80"/>
  <c r="C63" i="80" s="1"/>
  <c r="C67" i="80" s="1"/>
  <c r="D53" i="80"/>
  <c r="F61" i="40"/>
  <c r="B2" i="40" s="1"/>
  <c r="B3" i="40" s="1"/>
  <c r="B54" i="40"/>
  <c r="F54" i="40" s="1"/>
  <c r="B52" i="40"/>
  <c r="F52" i="40" s="1"/>
  <c r="B60" i="40"/>
  <c r="F60" i="40" s="1"/>
  <c r="B59" i="40"/>
  <c r="F59" i="40" s="1"/>
  <c r="B58" i="40"/>
  <c r="F58" i="40" s="1"/>
  <c r="B57" i="40"/>
  <c r="F57" i="40" s="1"/>
  <c r="B56" i="40"/>
  <c r="F56" i="40" s="1"/>
  <c r="B53" i="40"/>
  <c r="F53" i="40" s="1"/>
  <c r="B51" i="40"/>
  <c r="F51" i="40" s="1"/>
  <c r="B64" i="39"/>
  <c r="F64" i="39" s="1"/>
  <c r="B63" i="39"/>
  <c r="F63" i="39" s="1"/>
  <c r="B62" i="39"/>
  <c r="F62" i="39" s="1"/>
  <c r="B61" i="39"/>
  <c r="F61" i="39" s="1"/>
  <c r="B60" i="39"/>
  <c r="F60" i="39" s="1"/>
  <c r="B58" i="39"/>
  <c r="F58" i="39" s="1"/>
  <c r="B56" i="39"/>
  <c r="F56" i="39" s="1"/>
  <c r="F65" i="39" s="1"/>
  <c r="B2" i="39" s="1"/>
  <c r="B3" i="39" s="1"/>
  <c r="B59" i="39"/>
  <c r="F59" i="39" s="1"/>
  <c r="B57" i="39"/>
  <c r="F57" i="39" s="1"/>
  <c r="C6" i="83"/>
  <c r="D59" i="80" l="1"/>
  <c r="M55" i="80" s="1"/>
  <c r="C68" i="80"/>
  <c r="D54" i="80" s="1"/>
  <c r="C95" i="80"/>
  <c r="C79" i="80"/>
  <c r="L66" i="80"/>
  <c r="M66" i="80" s="1"/>
  <c r="L64" i="80"/>
  <c r="M64" i="80" s="1"/>
  <c r="L67" i="80"/>
  <c r="M67" i="80" s="1"/>
  <c r="L65" i="80"/>
  <c r="M65" i="80" s="1"/>
  <c r="L68" i="80"/>
  <c r="M68" i="80" s="1"/>
  <c r="L63" i="80"/>
  <c r="M63" i="80" s="1"/>
  <c r="M69" i="80" s="1"/>
  <c r="N69" i="80" s="1"/>
  <c r="C7" i="83"/>
  <c r="C5" i="83" s="1"/>
  <c r="C80" i="80" l="1"/>
  <c r="E80" i="80" s="1"/>
  <c r="E81" i="80" s="1"/>
  <c r="C81" i="80"/>
  <c r="C96" i="80"/>
  <c r="E96" i="80" s="1"/>
  <c r="E97" i="80" s="1"/>
  <c r="C97" i="80"/>
  <c r="D58" i="80" s="1"/>
  <c r="D56" i="80" s="1"/>
  <c r="M54" i="80" s="1"/>
  <c r="N57" i="80" s="1"/>
  <c r="C20" i="83"/>
  <c r="C25" i="83" s="1"/>
  <c r="C23" i="83"/>
  <c r="P57" i="80" l="1"/>
  <c r="N58" i="80"/>
  <c r="N59" i="80"/>
  <c r="C28" i="83"/>
  <c r="C27" i="83" s="1"/>
  <c r="C22" i="83"/>
  <c r="N61" i="80" l="1"/>
  <c r="H112" i="80" s="1"/>
  <c r="N60" i="80"/>
  <c r="H111" i="80"/>
  <c r="D126" i="80" s="1"/>
  <c r="D127" i="80" s="1"/>
  <c r="C31" i="83"/>
  <c r="C52" i="83" s="1"/>
  <c r="B2" i="83" s="1"/>
  <c r="C19" i="9"/>
  <c r="C57" i="83" l="1"/>
  <c r="C56" i="83" s="1"/>
  <c r="C102" i="9"/>
  <c r="C21" i="9"/>
  <c r="G19" i="9"/>
  <c r="D22" i="9"/>
  <c r="B3" i="83"/>
  <c r="C32" i="9" l="1"/>
  <c r="G21" i="9"/>
  <c r="C20" i="9"/>
  <c r="C103" i="9" l="1"/>
  <c r="G20" i="9"/>
  <c r="H118" i="9"/>
  <c r="C35" i="9"/>
  <c r="F118" i="9" s="1"/>
  <c r="D14" i="74" l="1"/>
  <c r="G14" i="74" s="1"/>
  <c r="F119" i="9"/>
  <c r="F5" i="52" s="1"/>
  <c r="B53" i="72" s="1"/>
  <c r="F4" i="52"/>
  <c r="B51" i="72" s="1"/>
  <c r="G118" i="9"/>
  <c r="G4" i="52" s="1"/>
  <c r="B52" i="72" s="1"/>
  <c r="C34" i="9"/>
  <c r="D118" i="9" s="1"/>
  <c r="H4" i="52"/>
  <c r="H119" i="9"/>
  <c r="H5" i="52" s="1"/>
  <c r="C104" i="9"/>
  <c r="H101" i="9"/>
  <c r="I118" i="9"/>
  <c r="C32" i="74" s="1"/>
  <c r="D45" i="9" l="1"/>
  <c r="M48" i="9"/>
  <c r="M49" i="9" s="1"/>
  <c r="H107" i="9"/>
  <c r="D5" i="53"/>
  <c r="F14" i="74"/>
  <c r="E14" i="74"/>
  <c r="E118" i="9"/>
  <c r="E4" i="52" s="1"/>
  <c r="B48" i="72" s="1"/>
  <c r="H102" i="9"/>
  <c r="D7" i="53" s="1"/>
  <c r="B21" i="72" s="1"/>
  <c r="C105" i="9"/>
  <c r="I4" i="52"/>
  <c r="D119" i="9"/>
  <c r="D5" i="52" s="1"/>
  <c r="B49" i="72" s="1"/>
  <c r="D4" i="52"/>
  <c r="B47" i="72" s="1"/>
  <c r="B20" i="72" l="1"/>
  <c r="D6" i="53"/>
  <c r="B22" i="72" s="1"/>
  <c r="L66" i="9"/>
  <c r="M66" i="9" s="1"/>
  <c r="L64" i="9"/>
  <c r="M64" i="9" s="1"/>
  <c r="L67" i="9"/>
  <c r="M67" i="9" s="1"/>
  <c r="L65" i="9"/>
  <c r="M65" i="9" s="1"/>
  <c r="L68" i="9"/>
  <c r="M68" i="9" s="1"/>
  <c r="L63" i="9"/>
  <c r="M63" i="9" s="1"/>
  <c r="D122" i="9"/>
  <c r="D13" i="53"/>
  <c r="H108" i="9"/>
  <c r="D15" i="53" s="1"/>
  <c r="B31" i="72" s="1"/>
  <c r="C78" i="9"/>
  <c r="C73" i="9" s="1"/>
  <c r="C93" i="9"/>
  <c r="C86" i="9" s="1"/>
  <c r="C72" i="9"/>
  <c r="D55" i="9"/>
  <c r="M53" i="9" s="1"/>
  <c r="D52" i="9"/>
  <c r="C85" i="9"/>
  <c r="C64" i="9"/>
  <c r="C63" i="9" s="1"/>
  <c r="C67" i="9" s="1"/>
  <c r="C68" i="9" s="1"/>
  <c r="D54" i="9" s="1"/>
  <c r="D53" i="9"/>
  <c r="D48" i="9" s="1"/>
  <c r="M52" i="9" s="1"/>
  <c r="C79" i="9" l="1"/>
  <c r="C80" i="9" s="1"/>
  <c r="E80" i="9" s="1"/>
  <c r="E81" i="9" s="1"/>
  <c r="C95" i="9"/>
  <c r="C96" i="9" s="1"/>
  <c r="E96" i="9" s="1"/>
  <c r="E97" i="9" s="1"/>
  <c r="M69" i="9"/>
  <c r="N69" i="9" s="1"/>
  <c r="D123" i="9"/>
  <c r="D9" i="52" s="1"/>
  <c r="D8" i="52"/>
  <c r="B30" i="72"/>
  <c r="D14" i="53"/>
  <c r="B32" i="72" s="1"/>
  <c r="C81" i="9" l="1"/>
  <c r="C97" i="9"/>
  <c r="D58" i="9" s="1"/>
  <c r="D56" i="9" s="1"/>
  <c r="M54" i="9" s="1"/>
  <c r="N57" i="9" s="1"/>
  <c r="N58" i="9" s="1"/>
  <c r="P57" i="9" l="1"/>
  <c r="N59" i="9"/>
  <c r="H111" i="9" s="1"/>
  <c r="N61" i="9" l="1"/>
  <c r="H112" i="9" s="1"/>
  <c r="D21" i="53" s="1"/>
  <c r="B39" i="72" s="1"/>
  <c r="N60" i="9"/>
  <c r="D19" i="53"/>
  <c r="D126" i="9"/>
  <c r="D127" i="9" l="1"/>
  <c r="D13" i="52" s="1"/>
  <c r="D12" i="52"/>
  <c r="B38" i="72"/>
  <c r="D20" i="53"/>
  <c r="B40" i="72" s="1"/>
  <c r="C34" i="74" l="1"/>
  <c r="B6" i="74" l="1"/>
  <c r="C6" i="74" s="1"/>
  <c r="D6" i="74" l="1"/>
  <c r="B8" i="74" l="1"/>
  <c r="D8" i="74" l="1"/>
  <c r="C8" i="74"/>
  <c r="F15" i="74" l="1"/>
  <c r="B5" i="74"/>
  <c r="D5" i="74" s="1"/>
  <c r="E15" i="74"/>
  <c r="C5"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<sst xmlns="http://schemas.openxmlformats.org/spreadsheetml/2006/main" count="8562" uniqueCount="2671">
  <si>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</si>
  <si>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</si>
  <si>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</si>
  <si>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</si>
  <si>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</si>
  <si>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</si>
  <si>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</si>
  <si>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</si>
  <si>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</si>
  <si>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</si>
  <si>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</si>
  <si>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</si>
  <si>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</si>
  <si>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</si>
  <si>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</si>
  <si>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</si>
  <si>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</si>
  <si>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</si>
  <si>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</si>
  <si>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</si>
  <si>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</si>
  <si>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</si>
  <si>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</si>
  <si>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</si>
  <si>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</si>
  <si>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</si>
  <si>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</si>
  <si>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</si>
  <si>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</si>
  <si>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</si>
  <si>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</si>
  <si>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</si>
  <si>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</si>
  <si>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</si>
  <si>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</si>
  <si>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</si>
  <si>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</si>
  <si>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</si>
  <si>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</si>
  <si>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</si>
  <si>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</si>
  <si>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</si>
  <si>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</si>
  <si>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</si>
  <si>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</si>
  <si>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</si>
  <si>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</si>
  <si>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</si>
  <si>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</si>
  <si>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</si>
  <si>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</si>
  <si>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</si>
  <si>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</si>
  <si>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</si>
  <si>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</si>
  <si>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</si>
  <si>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</si>
  <si>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</si>
  <si>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</si>
  <si>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</si>
  <si>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</si>
  <si>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</si>
  <si>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</si>
  <si>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</si>
  <si>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</si>
  <si>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</si>
  <si>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</si>
  <si>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</si>
  <si>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</si>
  <si>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</si>
  <si>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</si>
  <si>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</si>
  <si>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</si>
  <si>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</si>
  <si>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</si>
  <si>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</si>
  <si>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</si>
  <si>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</si>
  <si>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</si>
  <si>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</si>
  <si>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</si>
  <si>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</si>
  <si>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</si>
  <si>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</si>
  <si>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</si>
  <si>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</si>
  <si>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</si>
  <si>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</si>
  <si>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</si>
  <si>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</si>
  <si>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</si>
  <si>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</si>
  <si>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</si>
  <si>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</si>
  <si>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</si>
  <si>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</si>
  <si>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</si>
  <si>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</si>
  <si>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</si>
  <si>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</si>
  <si>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</si>
  <si>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</si>
  <si>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</si>
  <si>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</si>
  <si>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</si>
  <si>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</si>
  <si>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</si>
  <si>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</si>
  <si>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</si>
  <si>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</si>
  <si>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</si>
  <si>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</si>
  <si>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</si>
  <si>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</si>
  <si>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</si>
  <si>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</si>
  <si>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</si>
  <si>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</si>
  <si>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</si>
  <si>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</si>
  <si>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</si>
  <si>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</si>
  <si>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</si>
  <si>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</si>
  <si>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</si>
  <si>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</si>
  <si>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</si>
  <si>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</si>
  <si>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</si>
  <si>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</si>
  <si>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</si>
  <si>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</si>
  <si>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</si>
  <si>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</si>
  <si>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</si>
  <si>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</si>
  <si>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</si>
  <si>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</si>
  <si>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</si>
  <si>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</si>
  <si>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</si>
  <si>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</si>
  <si>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</si>
  <si>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</si>
  <si>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</si>
  <si>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</si>
  <si>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</si>
  <si>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</si>
  <si>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</si>
  <si>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</si>
  <si>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</si>
  <si>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</si>
  <si>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</si>
  <si>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</si>
  <si>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</si>
  <si>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</si>
  <si>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</si>
  <si>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</si>
  <si>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</si>
  <si>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</si>
  <si>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</si>
  <si>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</si>
  <si>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</si>
  <si>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</si>
  <si>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</si>
  <si>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</si>
  <si>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</si>
  <si>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</si>
  <si>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</si>
  <si>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</si>
  <si>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</si>
  <si>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</si>
  <si>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</si>
  <si>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</si>
  <si>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</si>
  <si>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</si>
  <si>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</si>
  <si>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</si>
  <si>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</si>
  <si>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</si>
  <si>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</si>
  <si>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</si>
  <si>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</si>
  <si>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</si>
  <si>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</si>
  <si>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</si>
  <si>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</si>
  <si>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</si>
  <si>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</si>
  <si>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</si>
  <si>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</si>
  <si>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</si>
  <si>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</si>
  <si>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</si>
  <si>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</si>
  <si>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</si>
  <si>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</si>
  <si>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</si>
  <si>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</si>
  <si>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</si>
  <si>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</si>
  <si>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</si>
  <si>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</si>
  <si>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</si>
  <si>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</si>
  <si>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</si>
  <si>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</si>
  <si>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</si>
  <si>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</si>
  <si>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</si>
  <si>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</si>
  <si>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</si>
  <si>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</si>
  <si>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</si>
  <si>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</si>
  <si>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</si>
  <si>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</si>
  <si>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</si>
  <si>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</si>
  <si>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</si>
  <si>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</si>
  <si>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</si>
  <si>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</si>
  <si>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</si>
  <si>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</si>
  <si>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</si>
  <si>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</si>
  <si>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</si>
  <si>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</si>
  <si>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</si>
  <si>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</si>
  <si>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</si>
  <si>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</si>
  <si>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</si>
  <si>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</si>
  <si>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</si>
  <si>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</si>
  <si>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</si>
  <si>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</si>
  <si>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</si>
  <si>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</si>
  <si>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</si>
  <si>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</si>
  <si>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</si>
  <si>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</si>
  <si>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</si>
  <si>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</si>
  <si>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</si>
  <si>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</si>
  <si>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</si>
  <si>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</si>
  <si>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</si>
  <si>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</si>
  <si>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</si>
  <si>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</si>
  <si>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</si>
  <si>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</si>
  <si>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</si>
  <si>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</si>
  <si>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</si>
  <si>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</si>
  <si>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</si>
  <si>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</si>
  <si>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</si>
  <si>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</si>
  <si>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</si>
  <si>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</si>
  <si>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</si>
  <si>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</si>
  <si>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</si>
  <si>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</si>
  <si>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</si>
  <si>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</si>
  <si>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</si>
  <si>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</si>
  <si>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</si>
  <si>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</si>
  <si>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</si>
  <si>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</si>
  <si>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</si>
  <si>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</si>
  <si>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</si>
  <si>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</si>
  <si>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</si>
  <si>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</si>
  <si>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</si>
  <si>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</si>
  <si>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</si>
  <si>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</si>
  <si>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</si>
  <si>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</si>
  <si>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</si>
  <si>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</si>
  <si>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</si>
  <si>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</si>
  <si>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</si>
  <si>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</si>
  <si>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</si>
  <si>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</si>
  <si>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</si>
  <si>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</si>
  <si>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</si>
  <si>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</si>
  <si>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</si>
  <si>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</si>
  <si>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</si>
  <si>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</si>
  <si>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</si>
  <si>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</si>
  <si>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 (车库)</t>
  </si>
  <si>
    <t>成本法 (地下车库)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</si>
  <si>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</si>
  <si>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</si>
  <si>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</si>
  <si>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</si>
  <si>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</si>
  <si>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</si>
  <si>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</si>
  <si>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</si>
  <si>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</si>
  <si>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</si>
  <si>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</si>
  <si>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</si>
  <si>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</si>
  <si>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</si>
  <si>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</si>
  <si>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</si>
  <si>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</si>
  <si>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</si>
  <si>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</si>
  <si>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</si>
  <si>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</si>
  <si>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</si>
  <si>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</si>
  <si>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</si>
  <si>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</si>
  <si>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</si>
  <si>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</si>
  <si>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</si>
  <si>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</si>
  <si>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</si>
  <si>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</si>
  <si>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</si>
  <si>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</si>
  <si>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</si>
  <si>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</si>
  <si>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</si>
  <si>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</si>
  <si>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</si>
  <si>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</si>
  <si>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</si>
  <si>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</si>
  <si>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</si>
  <si>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</si>
  <si>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</si>
  <si>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</si>
  <si>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</si>
  <si>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</si>
  <si>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</si>
  <si>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</si>
  <si>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</si>
  <si>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</si>
  <si>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</si>
  <si>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</si>
  <si>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</si>
  <si>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</si>
  <si>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</si>
  <si>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</si>
  <si>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</si>
  <si>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</si>
  <si>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</si>
  <si>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</si>
  <si>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</si>
  <si>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</si>
  <si>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</si>
  <si>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</si>
  <si>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</si>
  <si>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</si>
  <si>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</si>
  <si>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</si>
  <si>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</si>
  <si>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</si>
  <si>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</si>
  <si>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</si>
  <si>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</si>
  <si>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</si>
  <si>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</si>
  <si>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</si>
  <si>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</si>
  <si>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</si>
  <si>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</si>
  <si>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</si>
  <si>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</si>
  <si>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</si>
  <si>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</si>
  <si>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</si>
  <si>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</si>
  <si>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</si>
  <si>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</si>
  <si>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</si>
  <si>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</si>
  <si>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</si>
  <si>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</si>
  <si>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</si>
  <si>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</si>
  <si>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</si>
  <si>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</si>
  <si>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</si>
  <si>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</si>
  <si>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</si>
  <si>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</si>
  <si>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</si>
  <si>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</si>
  <si>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</si>
  <si>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</si>
  <si>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</si>
  <si>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</si>
  <si>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</si>
  <si>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</si>
  <si>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</si>
  <si>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</si>
  <si>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</si>
  <si>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建筑面积</t>
  </si>
  <si>
    <t>土地面积</t>
  </si>
  <si>
    <t>楼层</t>
  </si>
  <si>
    <t>合计</t>
  </si>
  <si>
    <t>用途</t>
  </si>
  <si>
    <t>办公</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</si>
  <si>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</si>
  <si>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</si>
  <si>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</si>
  <si>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</si>
  <si>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</si>
  <si>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</si>
  <si>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</si>
  <si>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</si>
  <si>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</si>
  <si>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</si>
  <si>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</si>
  <si>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</si>
  <si>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</si>
  <si>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</si>
  <si>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</si>
  <si>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</si>
  <si>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</si>
  <si>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</si>
  <si>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</si>
  <si>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</si>
  <si>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</si>
  <si>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</si>
  <si>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</si>
  <si>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</si>
  <si>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</si>
  <si>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</si>
  <si>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</si>
  <si>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</si>
  <si>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</si>
  <si>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</si>
  <si>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</si>
  <si>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</si>
  <si>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</si>
  <si>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</si>
  <si>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</si>
  <si>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</si>
  <si>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</si>
  <si>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</si>
  <si>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</si>
  <si>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</si>
  <si>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</si>
  <si>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</si>
  <si>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</si>
  <si>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</si>
  <si>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</si>
  <si>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</si>
  <si>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</si>
  <si>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</si>
  <si>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</si>
  <si>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</si>
  <si>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</si>
  <si>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</si>
  <si>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</si>
  <si>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</si>
  <si>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</si>
  <si>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</si>
  <si>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</si>
  <si>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</si>
  <si>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</si>
  <si>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</si>
  <si>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</si>
  <si>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</si>
  <si>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</si>
  <si>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</si>
  <si>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</si>
  <si>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</si>
  <si>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</si>
  <si>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</si>
  <si>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</si>
  <si>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</si>
  <si>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</si>
  <si>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</si>
  <si>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</si>
  <si>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</si>
  <si>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</si>
  <si>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</si>
  <si>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</si>
  <si>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</si>
  <si>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</si>
  <si>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</si>
  <si>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</si>
  <si>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</si>
  <si>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</si>
  <si>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</si>
  <si>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</si>
  <si>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</si>
  <si>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</si>
  <si>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</si>
  <si>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</si>
  <si>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</si>
  <si>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</si>
  <si>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</si>
  <si>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</si>
  <si>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</si>
  <si>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</si>
  <si>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</si>
  <si>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</si>
  <si>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</si>
  <si>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</si>
  <si>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</si>
  <si>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</si>
  <si>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</si>
  <si>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</si>
  <si>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</si>
  <si>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</si>
  <si>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主楼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</si>
  <si>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</si>
  <si>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</si>
  <si>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</si>
  <si>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</si>
  <si>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</si>
  <si>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</si>
  <si>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</si>
  <si>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</si>
  <si>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</si>
  <si>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</si>
  <si>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</si>
  <si>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</si>
  <si>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</si>
  <si>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</si>
  <si>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</si>
  <si>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</si>
  <si>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</si>
  <si>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</si>
  <si>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</si>
  <si>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</si>
  <si>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</si>
  <si>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</si>
  <si>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</si>
  <si>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</si>
  <si>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</si>
  <si>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</si>
  <si>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</si>
  <si>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</si>
  <si>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</si>
  <si>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</si>
  <si>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</si>
  <si>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</si>
  <si>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</si>
  <si>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</si>
  <si>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</si>
  <si>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</si>
  <si>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</si>
  <si>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</si>
  <si>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</si>
  <si>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</si>
  <si>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</si>
  <si>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</si>
  <si>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</si>
  <si>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</si>
  <si>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</si>
  <si>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</si>
  <si>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</si>
  <si>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</si>
  <si>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</si>
  <si>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</si>
  <si>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</si>
  <si>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</si>
  <si>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</si>
  <si>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</si>
  <si>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</si>
  <si>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</si>
  <si>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</si>
  <si>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</si>
  <si>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</si>
  <si>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</si>
  <si>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</si>
  <si>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</si>
  <si>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</si>
  <si>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</si>
  <si>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</si>
  <si>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</si>
  <si>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</si>
  <si>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</si>
  <si>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</si>
  <si>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</si>
  <si>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</si>
  <si>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</si>
  <si>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</si>
  <si>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</si>
  <si>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</si>
  <si>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</si>
  <si>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</si>
  <si>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</si>
  <si>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</si>
  <si>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</si>
  <si>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</si>
  <si>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</si>
  <si>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</si>
  <si>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</si>
  <si>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</si>
  <si>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</si>
  <si>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</si>
  <si>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</si>
  <si>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</si>
  <si>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</si>
  <si>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</si>
  <si>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</si>
  <si>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</si>
  <si>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</si>
  <si>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</si>
  <si>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</si>
  <si>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</si>
  <si>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</si>
  <si>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</si>
  <si>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</si>
  <si>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</si>
  <si>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</si>
  <si>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</si>
  <si>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</si>
  <si>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</si>
  <si>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</si>
  <si>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</si>
  <si>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</si>
  <si>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</si>
  <si>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</si>
  <si>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</si>
  <si>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</si>
  <si>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</si>
  <si>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</si>
  <si>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</si>
  <si>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</si>
  <si>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</si>
  <si>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</si>
  <si>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</si>
  <si>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</si>
  <si>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</si>
  <si>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</si>
  <si>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</si>
  <si>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</si>
  <si>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</si>
  <si>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一般</t>
  </si>
  <si>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</si>
  <si>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</si>
  <si>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</si>
  <si>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</si>
  <si>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</si>
  <si>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</si>
  <si>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</si>
  <si>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</si>
  <si>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</si>
  <si>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</si>
  <si>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</si>
  <si>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</si>
  <si>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</si>
  <si>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</si>
  <si>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</si>
  <si>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</si>
  <si>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</si>
  <si>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</si>
  <si>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</si>
  <si>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</si>
  <si>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</si>
  <si>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</si>
  <si>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</si>
  <si>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</si>
  <si>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</si>
  <si>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</si>
  <si>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</si>
  <si>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</si>
  <si>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</si>
  <si>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</si>
  <si>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</si>
  <si>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</si>
  <si>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</si>
  <si>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</si>
  <si>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</si>
  <si>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</si>
  <si>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</si>
  <si>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</si>
  <si>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</si>
  <si>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</si>
  <si>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</si>
  <si>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</si>
  <si>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</si>
  <si>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</si>
  <si>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</si>
  <si>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</si>
  <si>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</si>
  <si>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</si>
  <si>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</si>
  <si>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</si>
  <si>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</si>
  <si>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</si>
  <si>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</si>
  <si>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</si>
  <si>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</si>
  <si>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</si>
  <si>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</si>
  <si>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</si>
  <si>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</si>
  <si>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</si>
  <si>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</si>
  <si>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</si>
  <si>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</si>
  <si>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</si>
  <si>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</si>
  <si>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</si>
  <si>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</si>
  <si>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</si>
  <si>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</si>
  <si>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</si>
  <si>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</si>
  <si>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</si>
  <si>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</si>
  <si>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</si>
  <si>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</si>
  <si>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</si>
  <si>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</si>
  <si>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</si>
  <si>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</si>
  <si>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</si>
  <si>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</si>
  <si>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</si>
  <si>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</si>
  <si>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</si>
  <si>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</si>
  <si>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</si>
  <si>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</si>
  <si>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</si>
  <si>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</si>
  <si>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</si>
  <si>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</si>
  <si>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</si>
  <si>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</si>
  <si>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</si>
  <si>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</si>
  <si>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</si>
  <si>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</si>
  <si>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</si>
  <si>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</si>
  <si>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</si>
  <si>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</si>
  <si>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</si>
  <si>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</si>
  <si>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</si>
  <si>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</si>
  <si>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</si>
  <si>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</si>
  <si>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</si>
  <si>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</si>
  <si>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</si>
  <si>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</si>
  <si>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</si>
  <si>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</si>
  <si>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</si>
  <si>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</si>
  <si>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</si>
  <si>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</si>
  <si>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</si>
  <si>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</si>
  <si>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</si>
  <si>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</si>
  <si>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</si>
  <si>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</si>
  <si>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</si>
  <si>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</si>
  <si>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</si>
  <si>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</si>
  <si>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</si>
  <si>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</si>
  <si>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</si>
  <si>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</si>
  <si>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</si>
  <si>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</si>
  <si>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</si>
  <si>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</si>
  <si>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</si>
  <si>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</si>
  <si>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</si>
  <si>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</si>
  <si>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</si>
  <si>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</si>
  <si>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</si>
  <si>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</si>
  <si>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</si>
  <si>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</si>
  <si>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</si>
  <si>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</si>
  <si>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</si>
  <si>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</si>
  <si>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</si>
  <si>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</si>
  <si>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</si>
  <si>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</si>
  <si>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</si>
  <si>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</si>
  <si>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</si>
  <si>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</si>
  <si>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</si>
  <si>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</si>
  <si>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</si>
  <si>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</si>
  <si>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</si>
  <si>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</si>
  <si>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</si>
  <si>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</si>
  <si>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</si>
  <si>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</si>
  <si>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</si>
  <si>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</si>
  <si>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</si>
  <si>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</si>
  <si>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</si>
  <si>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</si>
  <si>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</si>
  <si>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</si>
  <si>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</si>
  <si>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</si>
  <si>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</si>
  <si>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</si>
  <si>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</si>
  <si>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</si>
  <si>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</si>
  <si>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</si>
  <si>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</si>
  <si>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</si>
  <si>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</si>
  <si>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</si>
  <si>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</si>
  <si>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</si>
  <si>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</si>
  <si>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</si>
  <si>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</si>
  <si>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</si>
  <si>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</si>
  <si>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</si>
  <si>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</si>
  <si>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</si>
  <si>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</si>
  <si>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</si>
  <si>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</si>
  <si>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</si>
  <si>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</si>
  <si>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</si>
  <si>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</si>
  <si>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</si>
  <si>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</si>
  <si>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</si>
  <si>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</si>
  <si>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</si>
  <si>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</si>
  <si>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</si>
  <si>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</si>
  <si>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</si>
  <si>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</si>
  <si>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</si>
  <si>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</si>
  <si>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</si>
  <si>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</si>
  <si>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</si>
  <si>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</si>
  <si>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</si>
  <si>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</si>
  <si>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</si>
  <si>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</si>
  <si>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</si>
  <si>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</si>
  <si>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</si>
  <si>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</si>
  <si>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</si>
  <si>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</si>
  <si>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</si>
  <si>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</si>
  <si>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</si>
  <si>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</si>
  <si>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</si>
  <si>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</si>
  <si>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</si>
  <si>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</si>
  <si>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</si>
  <si>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</si>
  <si>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</si>
  <si>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</si>
  <si>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</si>
  <si>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</si>
  <si>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</si>
  <si>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</si>
  <si>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</si>
  <si>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</si>
  <si>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</si>
  <si>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</si>
  <si>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</si>
  <si>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</si>
  <si>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</si>
  <si>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</si>
  <si>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</si>
  <si>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</si>
  <si>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</si>
  <si>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</si>
  <si>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</si>
  <si>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</si>
  <si>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</si>
  <si>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</si>
  <si>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</si>
  <si>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</si>
  <si>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</si>
  <si>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</si>
  <si>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</si>
  <si>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</si>
  <si>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</si>
  <si>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</si>
  <si>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</si>
  <si>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</si>
  <si>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</si>
  <si>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</si>
  <si>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</si>
  <si>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</si>
  <si>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</si>
  <si>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</si>
  <si>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</si>
  <si>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</si>
  <si>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</si>
  <si>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</si>
  <si>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</si>
  <si>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</si>
  <si>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</si>
  <si>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</si>
  <si>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</si>
  <si>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</si>
  <si>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</si>
  <si>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</si>
  <si>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</si>
  <si>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</si>
  <si>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</si>
  <si>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</si>
  <si>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</si>
  <si>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</si>
  <si>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</si>
  <si>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</si>
  <si>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</si>
  <si>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</si>
  <si>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</si>
  <si>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</si>
  <si>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</si>
  <si>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</si>
  <si>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</si>
  <si>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</si>
  <si>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</si>
  <si>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</si>
  <si>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</si>
  <si>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</si>
  <si>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</si>
  <si>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</si>
  <si>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</si>
  <si>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</si>
  <si>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</si>
  <si>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</si>
  <si>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</si>
  <si>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</si>
  <si>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</si>
  <si>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</si>
  <si>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</si>
  <si>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</si>
  <si>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</si>
  <si>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</si>
  <si>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</si>
  <si>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</si>
  <si>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</si>
  <si>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</si>
  <si>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</si>
  <si>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</si>
  <si>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</si>
  <si>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</si>
  <si>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</si>
  <si>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</si>
  <si>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</si>
  <si>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</si>
  <si>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</si>
  <si>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</si>
  <si>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</si>
  <si>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</si>
  <si>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</si>
  <si>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</si>
  <si>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</si>
  <si>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</si>
  <si>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</si>
  <si>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</si>
  <si>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</si>
  <si>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</si>
  <si>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</si>
  <si>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</si>
  <si>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</si>
  <si>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</si>
  <si>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工业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</si>
  <si>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</si>
  <si>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</si>
  <si>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</si>
  <si>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</si>
  <si>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</si>
  <si>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</si>
  <si>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</si>
  <si>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</si>
  <si>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</si>
  <si>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</si>
  <si>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</si>
  <si>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</si>
  <si>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</si>
  <si>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</si>
  <si>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</si>
  <si>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</si>
  <si>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</si>
  <si>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</si>
  <si>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</si>
  <si>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</si>
  <si>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</si>
  <si>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</si>
  <si>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</si>
  <si>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</si>
  <si>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</si>
  <si>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</si>
  <si>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</si>
  <si>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</si>
  <si>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</si>
  <si>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</si>
  <si>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</si>
  <si>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</si>
  <si>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</si>
  <si>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中区</t>
  </si>
  <si>
    <t>高区</t>
  </si>
  <si>
    <r>
      <rPr>
        <b/>
        <sz val="11"/>
        <rFont val="宋体"/>
        <family val="3"/>
        <charset val="134"/>
      </rPr>
      <t>实物状况</t>
    </r>
  </si>
  <si>
    <r>
      <rPr>
        <sz val="11"/>
        <color indexed="8"/>
        <rFont val="宋体"/>
        <family val="3"/>
        <charset val="134"/>
      </rPr>
      <t>建筑类型</t>
    </r>
  </si>
  <si>
    <t>独栋写字楼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</si>
  <si>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</si>
  <si>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</si>
  <si>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</si>
  <si>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钢混结构</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</si>
  <si>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</si>
  <si>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</si>
  <si>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</si>
  <si>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</si>
  <si>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</si>
  <si>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内部装修</t>
    </r>
  </si>
  <si>
    <t>普通装修</t>
  </si>
  <si>
    <t>简单装修</t>
  </si>
  <si>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</si>
  <si>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</si>
  <si>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</si>
  <si>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</si>
  <si>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</si>
  <si>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</si>
  <si>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</si>
  <si>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</si>
  <si>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</si>
  <si>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</si>
  <si>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</si>
  <si>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</si>
  <si>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</si>
  <si>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</si>
  <si>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</si>
  <si>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</si>
  <si>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</si>
  <si>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</si>
  <si>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</si>
  <si>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</si>
  <si>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</si>
  <si>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</si>
  <si>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</si>
  <si>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</si>
  <si>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</si>
  <si>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</si>
  <si>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</si>
  <si>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</si>
  <si>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</si>
  <si>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</si>
  <si>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</si>
  <si>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普通</t>
  </si>
  <si>
    <r>
      <rPr>
        <sz val="11"/>
        <rFont val="宋体"/>
        <family val="3"/>
        <charset val="134"/>
      </rPr>
      <t>内部装修维护状况</t>
    </r>
  </si>
  <si>
    <t>单价</t>
  </si>
  <si>
    <t>建成年代</t>
  </si>
  <si>
    <t>上地信息大厦</t>
  </si>
  <si>
    <t>精装</t>
  </si>
  <si>
    <r>
      <rPr>
        <sz val="11"/>
        <color theme="1"/>
        <rFont val="宋体"/>
        <family val="3"/>
        <charset val="134"/>
        <scheme val="minor"/>
      </rPr>
      <t>4</t>
    </r>
    <r>
      <rPr>
        <sz val="11"/>
        <color theme="1"/>
        <rFont val="宋体"/>
        <family val="3"/>
        <charset val="134"/>
        <scheme val="minor"/>
      </rPr>
      <t>-5元/㎡·天</t>
    </r>
  </si>
  <si>
    <t>金隅嘉华大厦</t>
  </si>
  <si>
    <r>
      <rPr>
        <sz val="11"/>
        <color theme="1"/>
        <rFont val="宋体"/>
        <family val="3"/>
        <charset val="134"/>
        <scheme val="minor"/>
      </rPr>
      <t>5-6</t>
    </r>
    <r>
      <rPr>
        <sz val="11"/>
        <color theme="1"/>
        <rFont val="宋体"/>
        <family val="3"/>
        <charset val="134"/>
        <scheme val="minor"/>
      </rPr>
      <t>元</t>
    </r>
    <r>
      <rPr>
        <sz val="11"/>
        <color theme="1"/>
        <rFont val="宋体"/>
        <family val="3"/>
        <charset val="134"/>
        <scheme val="minor"/>
      </rPr>
      <t>/</t>
    </r>
    <r>
      <rPr>
        <sz val="11"/>
        <color theme="1"/>
        <rFont val="宋体"/>
        <family val="3"/>
        <charset val="134"/>
        <scheme val="minor"/>
      </rPr>
      <t>㎡·天</t>
    </r>
  </si>
  <si>
    <t>硅谷亮城</t>
  </si>
  <si>
    <r>
      <rPr>
        <sz val="11"/>
        <color theme="1"/>
        <rFont val="宋体"/>
        <family val="3"/>
        <charset val="134"/>
        <scheme val="minor"/>
      </rPr>
      <t>5元</t>
    </r>
    <r>
      <rPr>
        <sz val="11"/>
        <color theme="1"/>
        <rFont val="宋体"/>
        <family val="3"/>
        <charset val="134"/>
        <scheme val="minor"/>
      </rPr>
      <t>/</t>
    </r>
    <r>
      <rPr>
        <sz val="11"/>
        <color theme="1"/>
        <rFont val="宋体"/>
        <family val="3"/>
        <charset val="134"/>
        <scheme val="minor"/>
      </rPr>
      <t>㎡·天左右</t>
    </r>
  </si>
  <si>
    <t>盈创动力</t>
  </si>
  <si>
    <t>简装</t>
  </si>
  <si>
    <t>上地实创大厦</t>
  </si>
  <si>
    <r>
      <rPr>
        <sz val="11"/>
        <color theme="1"/>
        <rFont val="宋体"/>
        <family val="3"/>
        <charset val="134"/>
        <scheme val="minor"/>
      </rPr>
      <t>5-6元/</t>
    </r>
    <r>
      <rPr>
        <sz val="11"/>
        <color theme="1"/>
        <rFont val="宋体"/>
        <family val="3"/>
        <charset val="134"/>
        <scheme val="minor"/>
      </rPr>
      <t>㎡·天左右</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</si>
  <si>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</si>
  <si>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</si>
  <si>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</si>
  <si>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</si>
  <si>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</si>
  <si>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</si>
  <si>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</si>
  <si>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</si>
  <si>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</si>
  <si>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</si>
  <si>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</si>
  <si>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</si>
  <si>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</si>
  <si>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</si>
  <si>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</si>
  <si>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</si>
  <si>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</si>
  <si>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</si>
  <si>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</si>
  <si>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</si>
  <si>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</si>
  <si>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</si>
  <si>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</si>
  <si>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</si>
  <si>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</si>
  <si>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</si>
  <si>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</si>
  <si>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</si>
  <si>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</si>
  <si>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</si>
  <si>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</si>
  <si>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</si>
  <si>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</si>
  <si>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</si>
  <si>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</si>
  <si>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</si>
  <si>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</si>
  <si>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</si>
  <si>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</si>
  <si>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</si>
  <si>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</si>
  <si>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</si>
  <si>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</si>
  <si>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</si>
  <si>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</si>
  <si>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</si>
  <si>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</si>
  <si>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</si>
  <si>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</si>
  <si>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</si>
  <si>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</si>
  <si>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</si>
  <si>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</si>
  <si>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</si>
  <si>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</si>
  <si>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</si>
  <si>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</si>
  <si>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</si>
  <si>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</si>
  <si>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</si>
  <si>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</si>
  <si>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</si>
  <si>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</si>
  <si>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</si>
  <si>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</si>
  <si>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</si>
  <si>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</si>
  <si>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</si>
  <si>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</si>
  <si>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</si>
  <si>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</si>
  <si>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</si>
  <si>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</si>
  <si>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</si>
  <si>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</si>
  <si>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</si>
  <si>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</si>
  <si>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</si>
  <si>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</si>
  <si>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</si>
  <si>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</si>
  <si>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</si>
  <si>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</si>
  <si>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</si>
  <si>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</si>
  <si>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</si>
  <si>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</si>
  <si>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</si>
  <si>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</si>
  <si>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</si>
  <si>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</si>
  <si>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</si>
  <si>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</si>
  <si>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</si>
  <si>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</si>
  <si>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</si>
  <si>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</si>
  <si>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</si>
  <si>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</si>
  <si>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</si>
  <si>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</si>
  <si>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</si>
  <si>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</si>
  <si>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</si>
  <si>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</si>
  <si>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</si>
  <si>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</si>
  <si>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</si>
  <si>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</si>
  <si>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</si>
  <si>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</si>
  <si>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</si>
  <si>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</si>
  <si>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</si>
  <si>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</si>
  <si>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</si>
  <si>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</si>
  <si>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</si>
  <si>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</si>
  <si>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</si>
  <si>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</si>
  <si>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</si>
  <si>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</si>
  <si>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</si>
  <si>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</si>
  <si>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</si>
  <si>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</si>
  <si>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</si>
  <si>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</si>
  <si>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</si>
  <si>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</si>
  <si>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</si>
  <si>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</si>
  <si>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</si>
  <si>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</si>
  <si>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</si>
  <si>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</si>
  <si>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</si>
  <si>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</si>
  <si>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</si>
  <si>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</si>
  <si>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</si>
  <si>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</si>
  <si>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</si>
  <si>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</si>
  <si>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</si>
  <si>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</si>
  <si>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</si>
  <si>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</si>
  <si>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</si>
  <si>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</si>
  <si>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</si>
  <si>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</si>
  <si>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</si>
  <si>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</si>
  <si>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</si>
  <si>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</si>
  <si>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</si>
  <si>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</si>
  <si>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</si>
  <si>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</si>
  <si>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</si>
  <si>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</si>
  <si>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</si>
  <si>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</si>
  <si>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</si>
  <si>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</si>
  <si>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</si>
  <si>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</si>
  <si>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</si>
  <si>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</si>
  <si>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</si>
  <si>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</si>
  <si>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</si>
  <si>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</si>
  <si>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</si>
  <si>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</si>
  <si>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</si>
  <si>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</si>
  <si>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</si>
  <si>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</si>
  <si>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</si>
  <si>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</si>
  <si>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</si>
  <si>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</si>
  <si>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</si>
  <si>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</si>
  <si>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</si>
  <si>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</si>
  <si>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</si>
  <si>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</si>
  <si>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</si>
  <si>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</si>
  <si>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</si>
  <si>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</si>
  <si>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</si>
  <si>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</si>
  <si>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</si>
  <si>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</si>
  <si>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</si>
  <si>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</si>
  <si>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</si>
  <si>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</si>
  <si>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</si>
  <si>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</si>
  <si>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</si>
  <si>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</si>
  <si>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</si>
  <si>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</si>
  <si>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</si>
  <si>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</si>
  <si>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</si>
  <si>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</si>
  <si>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</si>
  <si>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</si>
  <si>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</si>
  <si>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</si>
  <si>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</si>
  <si>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</si>
  <si>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</si>
  <si>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</si>
  <si>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</si>
  <si>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</si>
  <si>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</si>
  <si>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</si>
  <si>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</si>
  <si>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</si>
  <si>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</si>
  <si>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</si>
  <si>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</si>
  <si>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</si>
  <si>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</si>
  <si>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</si>
  <si>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</si>
  <si>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</si>
  <si>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</si>
  <si>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</si>
  <si>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</si>
  <si>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</si>
  <si>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</si>
  <si>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</si>
  <si>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</si>
  <si>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</si>
  <si>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</si>
  <si>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</si>
  <si>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</si>
  <si>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</si>
  <si>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</si>
  <si>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</si>
  <si>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</si>
  <si>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</si>
  <si>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</si>
  <si>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</si>
  <si>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</si>
  <si>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</si>
  <si>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</si>
  <si>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</si>
  <si>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</si>
  <si>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</si>
  <si>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</si>
  <si>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</si>
  <si>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</si>
  <si>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</si>
  <si>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</si>
  <si>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</si>
  <si>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</si>
  <si>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</si>
  <si>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</si>
  <si>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</si>
  <si>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</si>
  <si>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</si>
  <si>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</si>
  <si>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</si>
  <si>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</si>
  <si>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</si>
  <si>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</si>
  <si>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</si>
  <si>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</si>
  <si>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</si>
  <si>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</si>
  <si>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</si>
  <si>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</si>
  <si>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</si>
  <si>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</si>
  <si>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</si>
  <si>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</si>
  <si>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</si>
  <si>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</si>
  <si>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</si>
  <si>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</si>
  <si>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</si>
  <si>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</si>
  <si>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</si>
  <si>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</si>
  <si>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</si>
  <si>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</si>
  <si>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</si>
  <si>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</si>
  <si>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</si>
  <si>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</si>
  <si>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</si>
  <si>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</si>
  <si>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</si>
  <si>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</si>
  <si>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</si>
  <si>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</si>
  <si>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</si>
  <si>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</si>
  <si>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</si>
  <si>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</si>
  <si>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</si>
  <si>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</si>
  <si>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</si>
  <si>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</si>
  <si>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</si>
  <si>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</si>
  <si>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</si>
  <si>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</si>
  <si>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</si>
  <si>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</si>
  <si>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</si>
  <si>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</si>
  <si>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</si>
  <si>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</si>
  <si>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</si>
  <si>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</si>
  <si>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</si>
  <si>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</si>
  <si>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</si>
  <si>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</si>
  <si>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</si>
  <si>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</si>
  <si>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</si>
  <si>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</si>
  <si>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</si>
  <si>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</si>
  <si>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</si>
  <si>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</si>
  <si>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</si>
  <si>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</si>
  <si>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</si>
  <si>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</si>
  <si>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</si>
  <si>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</si>
  <si>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</si>
  <si>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</si>
  <si>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</si>
  <si>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</si>
  <si>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</si>
  <si>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</si>
  <si>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</si>
  <si>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</si>
  <si>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</si>
  <si>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</si>
  <si>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</si>
  <si>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</si>
  <si>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</si>
  <si>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</si>
  <si>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</si>
  <si>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</si>
  <si>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</si>
  <si>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</si>
  <si>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</si>
  <si>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</si>
  <si>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</si>
  <si>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</si>
  <si>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</si>
  <si>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</si>
  <si>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</si>
  <si>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</si>
  <si>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</si>
  <si>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</si>
  <si>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</si>
  <si>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</si>
  <si>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</si>
  <si>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</si>
  <si>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</si>
  <si>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</si>
  <si>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</si>
  <si>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</si>
  <si>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</si>
  <si>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</si>
  <si>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</si>
  <si>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</si>
  <si>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</si>
  <si>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</si>
  <si>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</si>
  <si>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</si>
  <si>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</si>
  <si>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</si>
  <si>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</si>
  <si>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</si>
  <si>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</si>
  <si>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</si>
  <si>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</si>
  <si>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</si>
  <si>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</si>
  <si>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</si>
  <si>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</si>
  <si>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</si>
  <si>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</si>
  <si>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</si>
  <si>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</si>
  <si>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</si>
  <si>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</si>
  <si>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</si>
  <si>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</si>
  <si>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</si>
  <si>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</si>
  <si>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</si>
  <si>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</si>
  <si>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</si>
  <si>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</si>
  <si>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</si>
  <si>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</si>
  <si>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</si>
  <si>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</si>
  <si>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</si>
  <si>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</si>
  <si>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</si>
  <si>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</si>
  <si>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</si>
  <si>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</si>
  <si>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</si>
  <si>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</si>
  <si>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</si>
  <si>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</si>
  <si>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</si>
  <si>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</si>
  <si>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</si>
  <si>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</si>
  <si>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</si>
  <si>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</si>
  <si>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</si>
  <si>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</si>
  <si>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</si>
  <si>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</si>
  <si>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</si>
  <si>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</si>
  <si>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</si>
  <si>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</si>
  <si>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</si>
  <si>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</si>
  <si>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</si>
  <si>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</si>
  <si>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</si>
  <si>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</si>
  <si>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</si>
  <si>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</si>
  <si>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</si>
  <si>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</si>
  <si>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</si>
  <si>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</si>
  <si>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</si>
  <si>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</si>
  <si>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</si>
  <si>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</si>
  <si>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</si>
  <si>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</si>
  <si>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</si>
  <si>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</si>
  <si>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</si>
  <si>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</si>
  <si>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</si>
  <si>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</si>
  <si>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</si>
  <si>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</si>
  <si>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</si>
  <si>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</si>
  <si>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</si>
  <si>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</si>
  <si>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</si>
  <si>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</si>
  <si>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</si>
  <si>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</si>
  <si>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</si>
  <si>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</si>
  <si>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</si>
  <si>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</si>
  <si>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</si>
  <si>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</si>
  <si>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</si>
  <si>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</si>
  <si>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</si>
  <si>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</si>
  <si>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</si>
  <si>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</si>
  <si>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</si>
  <si>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</si>
  <si>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</si>
  <si>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</si>
  <si>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</si>
  <si>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</si>
  <si>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</si>
  <si>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</si>
  <si>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</si>
  <si>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</si>
  <si>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</si>
  <si>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</si>
  <si>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</si>
  <si>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</si>
  <si>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</si>
  <si>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</si>
  <si>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</si>
  <si>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</si>
  <si>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</si>
  <si>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</si>
  <si>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</si>
  <si>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</si>
  <si>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</si>
  <si>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</si>
  <si>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</si>
  <si>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</si>
  <si>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</si>
  <si>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</si>
  <si>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</si>
  <si>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</si>
  <si>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</si>
  <si>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</si>
  <si>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</si>
  <si>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</si>
  <si>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</si>
  <si>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</si>
  <si>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</si>
  <si>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</si>
  <si>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</si>
  <si>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</si>
  <si>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</si>
  <si>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</si>
  <si>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</si>
  <si>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</si>
  <si>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</si>
  <si>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</si>
  <si>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</si>
  <si>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</si>
  <si>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</si>
  <si>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</si>
  <si>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</si>
  <si>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</si>
  <si>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</si>
  <si>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</si>
  <si>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</si>
  <si>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</si>
  <si>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</si>
  <si>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</si>
  <si>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</si>
  <si>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</si>
  <si>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</si>
  <si>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</si>
  <si>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</si>
  <si>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</si>
  <si>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</si>
  <si>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</si>
  <si>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</si>
  <si>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</si>
  <si>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</si>
  <si>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</si>
  <si>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</si>
  <si>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</si>
  <si>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</si>
  <si>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</si>
  <si>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</si>
  <si>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</si>
  <si>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</si>
  <si>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</si>
  <si>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</si>
  <si>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</si>
  <si>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</si>
  <si>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</si>
  <si>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</si>
  <si>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</si>
  <si>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</si>
  <si>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</si>
  <si>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</si>
  <si>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</si>
  <si>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</si>
  <si>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</si>
  <si>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</si>
  <si>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</si>
  <si>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</si>
  <si>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</si>
  <si>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</si>
  <si>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</si>
  <si>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</si>
  <si>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</si>
  <si>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</si>
  <si>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</si>
  <si>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</si>
  <si>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</si>
  <si>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</si>
  <si>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</si>
  <si>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</si>
  <si>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</si>
  <si>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</si>
  <si>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</si>
  <si>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</si>
  <si>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</si>
  <si>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</si>
  <si>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</si>
  <si>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</si>
  <si>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</si>
  <si>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</si>
  <si>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</si>
  <si>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</si>
  <si>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</si>
  <si>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</si>
  <si>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</si>
  <si>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</si>
  <si>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</si>
  <si>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</si>
  <si>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</si>
  <si>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</si>
  <si>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</si>
  <si>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</si>
  <si>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</si>
  <si>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</si>
  <si>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</si>
  <si>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</si>
  <si>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</si>
  <si>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</si>
  <si>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</si>
  <si>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</si>
  <si>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</si>
  <si>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</si>
  <si>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</si>
  <si>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</si>
  <si>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</si>
  <si>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</si>
  <si>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</si>
  <si>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</si>
  <si>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</si>
  <si>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</si>
  <si>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</si>
  <si>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</si>
  <si>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</si>
  <si>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</si>
  <si>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</si>
  <si>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</si>
  <si>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</si>
  <si>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</si>
  <si>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</si>
  <si>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</si>
  <si>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</si>
  <si>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</si>
  <si>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</si>
  <si>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</si>
  <si>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</si>
  <si>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</si>
  <si>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</si>
  <si>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</si>
  <si>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</si>
  <si>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</si>
  <si>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</si>
  <si>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</si>
  <si>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</si>
  <si>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</si>
  <si>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</si>
  <si>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</si>
  <si>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</si>
  <si>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</si>
  <si>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</si>
  <si>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</si>
  <si>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</si>
  <si>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</si>
  <si>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</si>
  <si>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</si>
  <si>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</si>
  <si>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</si>
  <si>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</si>
  <si>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</si>
  <si>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</si>
  <si>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</si>
  <si>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</si>
  <si>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</si>
  <si>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</si>
  <si>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</si>
  <si>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</si>
  <si>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</si>
  <si>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</si>
  <si>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</si>
  <si>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</si>
  <si>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</si>
  <si>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</si>
  <si>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</si>
  <si>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</si>
  <si>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</si>
  <si>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</si>
  <si>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</si>
  <si>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</si>
  <si>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</si>
  <si>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</si>
  <si>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</si>
  <si>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</si>
  <si>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</si>
  <si>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</si>
  <si>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</si>
  <si>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</si>
  <si>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</si>
  <si>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</si>
  <si>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</si>
  <si>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</si>
  <si>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</si>
  <si>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</si>
  <si>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</si>
  <si>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</si>
  <si>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</si>
  <si>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</si>
  <si>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</si>
  <si>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</si>
  <si>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</si>
  <si>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</si>
  <si>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</si>
  <si>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</si>
  <si>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</si>
  <si>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</si>
  <si>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</si>
  <si>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</si>
  <si>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</si>
  <si>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</si>
  <si>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</si>
  <si>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</si>
  <si>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</si>
  <si>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</si>
  <si>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</si>
  <si>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</si>
  <si>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</si>
  <si>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</si>
  <si>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</si>
  <si>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</si>
  <si>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</si>
  <si>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</si>
  <si>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</si>
  <si>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</si>
  <si>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</si>
  <si>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</si>
  <si>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</si>
  <si>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</si>
  <si>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</si>
  <si>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</si>
  <si>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</si>
  <si>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</si>
  <si>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</si>
  <si>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</si>
  <si>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</si>
  <si>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</si>
  <si>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</si>
  <si>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</si>
  <si>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</si>
  <si>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</si>
  <si>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</si>
  <si>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</si>
  <si>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</si>
  <si>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</si>
  <si>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</si>
  <si>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</si>
  <si>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</si>
  <si>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</si>
  <si>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</si>
  <si>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</si>
  <si>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</si>
  <si>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</si>
  <si>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</si>
  <si>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</si>
  <si>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</si>
  <si>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</si>
  <si>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</si>
  <si>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</si>
  <si>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</si>
  <si>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</si>
  <si>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</si>
  <si>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</si>
  <si>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</si>
  <si>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</si>
  <si>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</si>
  <si>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</si>
  <si>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</si>
  <si>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</si>
  <si>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</si>
  <si>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</si>
  <si>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</si>
  <si>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</si>
  <si>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</si>
  <si>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</si>
  <si>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</si>
  <si>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</si>
  <si>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</si>
  <si>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</si>
  <si>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</si>
  <si>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</si>
  <si>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</si>
  <si>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</si>
  <si>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</si>
  <si>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</si>
  <si>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</si>
  <si>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</si>
  <si>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</si>
  <si>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</si>
  <si>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</si>
  <si>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</si>
  <si>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</si>
  <si>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</si>
  <si>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</si>
  <si>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</si>
  <si>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</si>
  <si>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</si>
  <si>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</si>
  <si>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</si>
  <si>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</si>
  <si>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</si>
  <si>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</si>
  <si>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</si>
  <si>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</si>
  <si>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</si>
  <si>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</si>
  <si>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</si>
  <si>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</si>
  <si>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</si>
  <si>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</si>
  <si>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</si>
  <si>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</si>
  <si>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</si>
  <si>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</si>
  <si>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</si>
  <si>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</si>
  <si>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</si>
  <si>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</si>
  <si>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</si>
  <si>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</si>
  <si>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</si>
  <si>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</si>
  <si>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</si>
  <si>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</si>
  <si>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</si>
  <si>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</si>
  <si>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</si>
  <si>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</si>
  <si>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</si>
  <si>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</si>
  <si>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</si>
  <si>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</si>
  <si>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</si>
  <si>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</si>
  <si>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</si>
  <si>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</si>
  <si>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</si>
  <si>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</si>
  <si>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</si>
  <si>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</si>
  <si>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</si>
  <si>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</si>
  <si>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</si>
  <si>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</si>
  <si>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</si>
  <si>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</si>
  <si>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</si>
  <si>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</si>
  <si>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</si>
  <si>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</si>
  <si>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</si>
  <si>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</si>
  <si>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</si>
  <si>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</si>
  <si>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</si>
  <si>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</si>
  <si>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</si>
  <si>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</si>
  <si>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</si>
  <si>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</si>
  <si>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</si>
  <si>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</si>
  <si>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</si>
  <si>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</si>
  <si>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</si>
  <si>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</si>
  <si>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</si>
  <si>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</si>
  <si>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</si>
  <si>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</si>
  <si>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</si>
  <si>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</si>
  <si>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</si>
  <si>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</si>
  <si>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</si>
  <si>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</si>
  <si>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</si>
  <si>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</si>
  <si>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</si>
  <si>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</si>
  <si>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</si>
  <si>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</si>
  <si>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</si>
  <si>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</si>
  <si>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</si>
  <si>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</si>
  <si>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</si>
  <si>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</si>
  <si>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</si>
  <si>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</si>
  <si>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</si>
  <si>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</si>
  <si>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</si>
  <si>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</si>
  <si>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</si>
  <si>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</si>
  <si>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</si>
  <si>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</si>
  <si>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</si>
  <si>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</si>
  <si>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</si>
  <si>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</si>
  <si>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</si>
  <si>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</si>
  <si>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</si>
  <si>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</si>
  <si>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</si>
  <si>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</si>
  <si>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</si>
  <si>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</si>
  <si>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</si>
  <si>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</si>
  <si>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</si>
  <si>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</si>
  <si>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</si>
  <si>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</si>
  <si>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</si>
  <si>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</si>
  <si>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</si>
  <si>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</si>
  <si>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</si>
  <si>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</si>
  <si>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</si>
  <si>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</si>
  <si>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</si>
  <si>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</si>
  <si>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</si>
  <si>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</si>
  <si>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</si>
  <si>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</si>
  <si>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</si>
  <si>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</si>
  <si>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</si>
  <si>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</si>
  <si>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</si>
  <si>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</si>
  <si>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</si>
  <si>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</si>
  <si>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</si>
  <si>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</si>
  <si>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</si>
  <si>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</si>
  <si>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</si>
  <si>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</si>
  <si>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</si>
  <si>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</si>
  <si>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</si>
  <si>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</si>
  <si>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</si>
  <si>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</si>
  <si>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</si>
  <si>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</si>
  <si>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</si>
  <si>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</si>
  <si>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</si>
  <si>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</si>
  <si>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</si>
  <si>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</si>
  <si>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</si>
  <si>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</si>
  <si>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</si>
  <si>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</si>
  <si>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</si>
  <si>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</si>
  <si>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</si>
  <si>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</si>
  <si>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</si>
  <si>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</si>
  <si>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</si>
  <si>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</si>
  <si>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</si>
  <si>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</si>
  <si>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</si>
  <si>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</si>
  <si>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</si>
  <si>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</si>
  <si>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</si>
  <si>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</si>
  <si>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</si>
  <si>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</si>
  <si>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</si>
  <si>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</si>
  <si>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</si>
  <si>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</si>
  <si>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</si>
  <si>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</si>
  <si>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</si>
  <si>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</si>
  <si>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</si>
  <si>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</si>
  <si>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</si>
  <si>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</si>
  <si>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</si>
  <si>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</si>
  <si>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</si>
  <si>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</si>
  <si>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</si>
  <si>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</si>
  <si>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</si>
  <si>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</si>
  <si>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</si>
  <si>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</si>
  <si>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</si>
  <si>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</si>
  <si>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</si>
  <si>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</si>
  <si>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</si>
  <si>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</si>
  <si>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</si>
  <si>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</si>
  <si>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</si>
  <si>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</si>
  <si>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</si>
  <si>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</si>
  <si>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</si>
  <si>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</si>
  <si>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</si>
  <si>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</si>
  <si>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</si>
  <si>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</si>
  <si>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</si>
  <si>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</si>
  <si>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</si>
  <si>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</si>
  <si>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</si>
  <si>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</si>
  <si>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</si>
  <si>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</si>
  <si>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</si>
  <si>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</si>
  <si>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</si>
  <si>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</si>
  <si>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</si>
  <si>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</si>
  <si>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</si>
  <si>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</si>
  <si>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</si>
  <si>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</si>
  <si>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</si>
  <si>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</si>
  <si>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</si>
  <si>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</si>
  <si>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</si>
  <si>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</si>
  <si>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</si>
  <si>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</si>
  <si>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</si>
  <si>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</si>
  <si>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</si>
  <si>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</si>
  <si>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</si>
  <si>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</si>
  <si>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</si>
  <si>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</si>
  <si>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</si>
  <si>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</si>
  <si>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</si>
  <si>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</si>
  <si>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</si>
  <si>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</si>
  <si>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</si>
  <si>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</si>
  <si>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</si>
  <si>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</si>
  <si>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</si>
  <si>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</si>
  <si>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</si>
  <si>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</si>
  <si>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</si>
  <si>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</si>
  <si>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</si>
  <si>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</si>
  <si>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</si>
  <si>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</si>
  <si>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</si>
  <si>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</si>
  <si>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</si>
  <si>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</si>
  <si>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</si>
  <si>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</si>
  <si>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</si>
  <si>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</si>
  <si>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</si>
  <si>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</si>
  <si>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</si>
  <si>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</si>
  <si>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</si>
  <si>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</si>
  <si>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</si>
  <si>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</si>
  <si>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</si>
  <si>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</si>
  <si>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</si>
  <si>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</si>
  <si>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</si>
  <si>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</si>
  <si>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</si>
  <si>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</si>
  <si>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</si>
  <si>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</si>
  <si>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</si>
  <si>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</si>
  <si>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</si>
  <si>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</si>
  <si>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</si>
  <si>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</si>
  <si>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</si>
  <si>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</si>
  <si>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</si>
  <si>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</si>
  <si>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</si>
  <si>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</si>
  <si>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</si>
  <si>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</si>
  <si>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</si>
  <si>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</si>
  <si>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</si>
  <si>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</si>
  <si>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</si>
  <si>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</si>
  <si>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</si>
  <si>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</si>
  <si>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</si>
  <si>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</si>
  <si>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</si>
  <si>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</si>
  <si>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</si>
  <si>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</si>
  <si>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</si>
  <si>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</si>
  <si>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</si>
  <si>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</si>
  <si>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</si>
  <si>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</si>
  <si>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</si>
  <si>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</si>
  <si>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</si>
  <si>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</si>
  <si>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</si>
  <si>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</si>
  <si>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</si>
  <si>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</si>
  <si>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</si>
  <si>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</si>
  <si>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</si>
  <si>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</si>
  <si>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</si>
  <si>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</si>
  <si>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</si>
  <si>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</si>
  <si>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</si>
  <si>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</si>
  <si>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</si>
  <si>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</si>
  <si>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</si>
  <si>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</si>
  <si>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</si>
  <si>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</si>
  <si>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</si>
  <si>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</si>
  <si>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</si>
  <si>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</si>
  <si>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</si>
  <si>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</si>
  <si>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</si>
  <si>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</si>
  <si>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</si>
  <si>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</si>
  <si>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</si>
  <si>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</si>
  <si>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</si>
  <si>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</si>
  <si>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</si>
  <si>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</si>
  <si>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</si>
  <si>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</si>
  <si>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</si>
  <si>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</si>
  <si>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</si>
  <si>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</si>
  <si>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</si>
  <si>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</si>
  <si>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</si>
  <si>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</si>
  <si>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</si>
  <si>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</si>
  <si>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</si>
  <si>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</si>
  <si>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</si>
  <si>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</si>
  <si>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</si>
  <si>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</si>
  <si>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</si>
  <si>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</si>
  <si>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</si>
  <si>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</si>
  <si>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</si>
  <si>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</si>
  <si>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</si>
  <si>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</si>
  <si>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</si>
  <si>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</si>
  <si>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</si>
  <si>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</si>
  <si>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</si>
  <si>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</si>
  <si>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</si>
  <si>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</si>
  <si>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</si>
  <si>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</si>
  <si>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</si>
  <si>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</si>
  <si>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</si>
  <si>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</si>
  <si>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</si>
  <si>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</si>
  <si>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</si>
  <si>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</si>
  <si>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</si>
  <si>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</si>
  <si>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</si>
  <si>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</si>
  <si>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</si>
  <si>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</si>
  <si>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</si>
  <si>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</si>
  <si>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</si>
  <si>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</si>
  <si>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</si>
  <si>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</si>
  <si>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</si>
  <si>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</si>
  <si>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</si>
  <si>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</si>
  <si>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</si>
  <si>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</si>
  <si>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</si>
  <si>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</si>
  <si>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</si>
  <si>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</si>
  <si>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</si>
  <si>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</si>
  <si>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</si>
  <si>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</si>
  <si>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</si>
  <si>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</si>
  <si>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</si>
  <si>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</si>
  <si>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</si>
  <si>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</si>
  <si>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</si>
  <si>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</si>
  <si>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</si>
  <si>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</si>
  <si>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</si>
  <si>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</si>
  <si>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</si>
  <si>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</si>
  <si>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</si>
  <si>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</si>
  <si>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</si>
  <si>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</si>
  <si>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</si>
  <si>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</si>
  <si>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</si>
  <si>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</si>
  <si>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</si>
  <si>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</si>
  <si>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</si>
  <si>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</si>
  <si>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</si>
  <si>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</si>
  <si>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</si>
  <si>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</si>
  <si>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</si>
  <si>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</si>
  <si>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</si>
  <si>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</si>
  <si>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</si>
  <si>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</si>
  <si>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</si>
  <si>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</si>
  <si>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</si>
  <si>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</si>
  <si>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</si>
  <si>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</si>
  <si>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</si>
  <si>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</si>
  <si>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</si>
  <si>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</si>
  <si>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</si>
  <si>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</si>
  <si>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</si>
  <si>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</si>
  <si>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</si>
  <si>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</si>
  <si>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</si>
  <si>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</si>
  <si>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</si>
  <si>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</si>
  <si>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</si>
  <si>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</si>
  <si>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</si>
  <si>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</si>
  <si>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</si>
  <si>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</si>
  <si>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</si>
  <si>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</si>
  <si>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</si>
  <si>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</si>
  <si>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</si>
  <si>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</si>
  <si>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</si>
  <si>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</si>
  <si>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</si>
  <si>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</si>
  <si>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</si>
  <si>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</si>
  <si>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</si>
  <si>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</si>
  <si>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</si>
  <si>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</si>
  <si>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</si>
  <si>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</si>
  <si>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</si>
  <si>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</si>
  <si>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</si>
  <si>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</si>
  <si>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</si>
  <si>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</si>
  <si>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</si>
  <si>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</si>
  <si>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</si>
  <si>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</si>
  <si>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</si>
  <si>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</si>
  <si>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</si>
  <si>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</si>
  <si>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</si>
  <si>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</si>
  <si>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</si>
  <si>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</si>
  <si>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</si>
  <si>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</si>
  <si>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</si>
  <si>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</si>
  <si>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</si>
  <si>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</si>
  <si>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</si>
  <si>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</si>
  <si>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</si>
  <si>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</si>
  <si>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</si>
  <si>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</si>
  <si>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</si>
  <si>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</si>
  <si>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</si>
  <si>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</si>
  <si>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</si>
  <si>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</si>
  <si>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</si>
  <si>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</si>
  <si>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</si>
  <si>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</si>
  <si>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</si>
  <si>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</si>
  <si>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</si>
  <si>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</si>
  <si>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</si>
  <si>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</si>
  <si>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</si>
  <si>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</si>
  <si>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</si>
  <si>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</si>
  <si>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</si>
  <si>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</si>
  <si>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</si>
  <si>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</si>
  <si>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</si>
  <si>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</si>
  <si>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</si>
  <si>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</si>
  <si>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</si>
  <si>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</si>
  <si>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</si>
  <si>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</si>
  <si>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</si>
  <si>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</si>
  <si>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</si>
  <si>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</si>
  <si>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</si>
  <si>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</si>
  <si>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</si>
  <si>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</si>
  <si>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</si>
  <si>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</si>
  <si>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</si>
  <si>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</si>
  <si>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</si>
  <si>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</si>
  <si>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</si>
  <si>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</si>
  <si>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</si>
  <si>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</si>
  <si>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</si>
  <si>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</si>
  <si>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</si>
  <si>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</si>
  <si>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</si>
  <si>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</si>
  <si>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</si>
  <si>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</si>
  <si>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</si>
  <si>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</si>
  <si>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</si>
  <si>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</si>
  <si>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</si>
  <si>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</si>
  <si>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</si>
  <si>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</si>
  <si>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</si>
  <si>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</si>
  <si>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</si>
  <si>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</si>
  <si>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</si>
  <si>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</si>
  <si>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</si>
  <si>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</si>
  <si>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</si>
  <si>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</si>
  <si>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</si>
  <si>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</si>
  <si>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</si>
  <si>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</si>
  <si>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</si>
  <si>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</si>
  <si>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</si>
  <si>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</si>
  <si>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</si>
  <si>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</si>
  <si>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</si>
  <si>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</si>
  <si>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</si>
  <si>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</si>
  <si>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</si>
  <si>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</si>
  <si>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</si>
  <si>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</si>
  <si>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</si>
  <si>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</si>
  <si>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</si>
  <si>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</si>
  <si>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</si>
  <si>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</si>
  <si>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</si>
  <si>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</si>
  <si>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</si>
  <si>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</si>
  <si>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</si>
  <si>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</si>
  <si>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</si>
  <si>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</si>
  <si>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</si>
  <si>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</si>
  <si>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</si>
  <si>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</si>
  <si>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</si>
  <si>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</si>
  <si>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</si>
  <si>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</si>
  <si>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</si>
  <si>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</si>
  <si>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</si>
  <si>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</si>
  <si>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</si>
  <si>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</si>
  <si>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</si>
  <si>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</si>
  <si>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</si>
  <si>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</si>
  <si>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</si>
  <si>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</si>
  <si>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</si>
  <si>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</si>
  <si>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</si>
  <si>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</si>
  <si>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</si>
  <si>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</si>
  <si>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</si>
  <si>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</si>
  <si>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</si>
  <si>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</si>
  <si>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</si>
  <si>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</si>
  <si>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</si>
  <si>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</si>
  <si>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</si>
  <si>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</si>
  <si>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</si>
  <si>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</si>
  <si>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</si>
  <si>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</si>
  <si>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</si>
  <si>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</si>
  <si>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</si>
  <si>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</si>
  <si>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</si>
  <si>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</si>
  <si>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</si>
  <si>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</si>
  <si>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</si>
  <si>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</si>
  <si>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</si>
  <si>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</si>
  <si>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</si>
  <si>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</si>
  <si>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</si>
  <si>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</si>
  <si>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</si>
  <si>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</si>
  <si>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</si>
  <si>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</si>
  <si>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</si>
  <si>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</si>
  <si>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</si>
  <si>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成本法 (主楼)</t>
    <phoneticPr fontId="210" type="noConversion"/>
  </si>
  <si>
    <t>创业路6号-自主创意大厦</t>
    <phoneticPr fontId="210" type="noConversion"/>
  </si>
  <si>
    <t>上地西路-快手总部</t>
    <phoneticPr fontId="210" type="noConversion"/>
  </si>
  <si>
    <t>办公</t>
    <phoneticPr fontId="210" type="noConversion"/>
  </si>
  <si>
    <t>车库</t>
    <phoneticPr fontId="210" type="noConversion"/>
  </si>
  <si>
    <t>单价</t>
    <phoneticPr fontId="210" type="noConversion"/>
  </si>
  <si>
    <t>北京格林彩虹假肢矫形器技术有限公司</t>
    <phoneticPr fontId="210" type="noConversion"/>
  </si>
  <si>
    <t>北京市</t>
  </si>
  <si>
    <t>否</t>
  </si>
  <si>
    <t>现房</t>
  </si>
  <si>
    <t>工业项目</t>
  </si>
  <si>
    <t>4#-06</t>
    <phoneticPr fontId="81" type="noConversion"/>
  </si>
  <si>
    <r>
      <t>72</t>
    </r>
    <r>
      <rPr>
        <sz val="10"/>
        <color indexed="8"/>
        <rFont val="宋体"/>
        <family val="3"/>
        <charset val="134"/>
      </rPr>
      <t>号楼</t>
    </r>
    <phoneticPr fontId="81" type="noConversion"/>
  </si>
  <si>
    <t>办公楼</t>
    <phoneticPr fontId="210" type="noConversion"/>
  </si>
  <si>
    <t>位于通州区台湖镇星湖科技园，该园区建设成熟，周边有新华联工业园、台铭企业花园等项目，产业集聚程度较好</t>
    <phoneticPr fontId="210" type="noConversion"/>
  </si>
  <si>
    <t>周边路网密集，行车出入便捷，周边有通11、通12、通68路等公共线路及地铁7号线经过，交通状况较好；</t>
    <phoneticPr fontId="210" type="noConversion"/>
  </si>
  <si>
    <t>周边2公里内的公共服务配套设施较齐备，有购物场所（华联超市）、医院（台湖镇口子社区卫生服务站）、银行（工商银行）、学校（台湖镇中心幼儿园）、餐饮等公共服务配套设施</t>
    <phoneticPr fontId="210" type="noConversion"/>
  </si>
  <si>
    <t>区域内污染物排放及治理状况较好，周边无危险设施及污染源，环境状况较好</t>
    <phoneticPr fontId="210" type="noConversion"/>
  </si>
  <si>
    <t>经略天则</t>
    <phoneticPr fontId="210" type="noConversion"/>
  </si>
  <si>
    <t>经略天则</t>
    <phoneticPr fontId="210" type="noConversion"/>
  </si>
  <si>
    <t>30-40（含）</t>
  </si>
  <si>
    <t>比较法-工业</t>
  </si>
  <si>
    <t>项目全部</t>
  </si>
  <si>
    <t>含地下</t>
    <phoneticPr fontId="210" type="noConversion"/>
  </si>
  <si>
    <t>含</t>
    <phoneticPr fontId="210" type="noConversion"/>
  </si>
  <si>
    <t>不含</t>
    <phoneticPr fontId="210" type="noConversion"/>
  </si>
  <si>
    <r>
      <rPr>
        <sz val="10"/>
        <rFont val="宋体"/>
        <family val="3"/>
        <charset val="134"/>
      </rPr>
      <t>通州区口子村东</t>
    </r>
    <r>
      <rPr>
        <sz val="10"/>
        <rFont val="Arial"/>
        <family val="2"/>
      </rPr>
      <t>1</t>
    </r>
    <r>
      <rPr>
        <sz val="10"/>
        <rFont val="宋体"/>
        <family val="3"/>
        <charset val="134"/>
      </rPr>
      <t>号院</t>
    </r>
    <r>
      <rPr>
        <sz val="10"/>
        <rFont val="Arial"/>
        <family val="2"/>
      </rPr>
      <t>72</t>
    </r>
    <r>
      <rPr>
        <sz val="10"/>
        <rFont val="宋体"/>
        <family val="3"/>
        <charset val="134"/>
      </rPr>
      <t>号楼</t>
    </r>
    <r>
      <rPr>
        <sz val="10"/>
        <rFont val="Arial"/>
        <family val="2"/>
      </rPr>
      <t>-1</t>
    </r>
    <r>
      <rPr>
        <sz val="10"/>
        <rFont val="宋体"/>
        <family val="3"/>
        <charset val="134"/>
      </rPr>
      <t>至</t>
    </r>
    <r>
      <rPr>
        <sz val="10"/>
        <rFont val="Arial"/>
        <family val="2"/>
      </rPr>
      <t>3</t>
    </r>
    <r>
      <rPr>
        <sz val="10"/>
        <rFont val="宋体"/>
        <family val="3"/>
        <charset val="134"/>
      </rPr>
      <t>层</t>
    </r>
    <r>
      <rPr>
        <sz val="10"/>
        <rFont val="Arial"/>
        <family val="2"/>
      </rPr>
      <t>101</t>
    </r>
    <phoneticPr fontId="81" type="noConversion"/>
  </si>
  <si>
    <t>台铭国际企业花园</t>
    <phoneticPr fontId="81" type="noConversion"/>
  </si>
  <si>
    <t>新华联工业园</t>
    <phoneticPr fontId="8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</si>
</sst>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0%"/>
    <numFmt numFmtId="177" formatCode="yyyy/m/d;@"/>
    <numFmt numFmtId="178" formatCode="0_ "/>
    <numFmt numFmtId="179" formatCode="0.00_ "/>
    <numFmt numFmtId="180" formatCode="yyyy&quot;年&quot;m&quot;月&quot;;@"/>
    <numFmt numFmtId="181" formatCode="0.0_ "/>
    <numFmt numFmtId="182" formatCode="0.0%"/>
    <numFmt numFmtId="183" formatCode="0.0000%"/>
    <numFmt numFmtId="184" formatCode="0_);[Red]\(0\)"/>
    <numFmt numFmtId="185" formatCode="0.000_ "/>
    <numFmt numFmtId="186" formatCode="0.000_);[Red]\(0.000\)"/>
    <numFmt numFmtId="187" formatCode="0.0000_ "/>
    <numFmt numFmtId="188" formatCode="0.0_);[Red]\(0.0\)"/>
    <numFmt numFmtId="189" formatCode="yyyy&quot;年&quot;m&quot;月&quot;d&quot;日&quot;;@"/>
    <numFmt numFmtId="190" formatCode="0.00_);[Red]\(0.00\)"/>
    <numFmt numFmtId="191" formatCode="0_ ;[Red]\-0\ "/>
    <numFmt numFmtId="192" formatCode="[$-F800]dddd\,\ mmmm\ dd\,\ yyyy"/>
    <numFmt numFmtId="193" formatCode="0;_쐀"/>
    <numFmt numFmtId="194" formatCode="0.0000;_쐀"/>
    <numFmt numFmtId="195" formatCode="[DBNum2][$-804]General"/>
    <numFmt numFmtId="196" formatCode="[DBNum1][$-804]General"/>
    <numFmt numFmtId="197" formatCode="[DBNum1][$-804]yyyy&quot;年&quot;m&quot;月&quot;d&quot;日&quot;;@"/>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indexed="8"/>
      <name val="宋体"/>
      <family val="3"/>
      <charset val="134"/>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3" tint="0.399975585192419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8" fillId="0" borderId="0">
      <alignment vertical="center"/>
    </xf>
    <xf numFmtId="0" fontId="8" fillId="0" borderId="0">
      <alignment vertical="center"/>
    </xf>
    <xf numFmtId="0" fontId="14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5" fillId="0" borderId="0"/>
    <xf numFmtId="0" fontId="8" fillId="0" borderId="0">
      <alignment vertical="center"/>
    </xf>
    <xf numFmtId="0" fontId="8" fillId="0" borderId="0">
      <alignment vertical="center"/>
    </xf>
    <xf numFmtId="0" fontId="103" fillId="0" borderId="0"/>
  </cellStyleXfs>
  <cellXfs count="358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2" applyFont="1" applyFill="1"/>
    <xf numFmtId="0" fontId="9" fillId="0" borderId="0" xfId="12" applyFont="1"/>
    <xf numFmtId="0" fontId="0" fillId="0" borderId="0" xfId="0" applyAlignment="1"/>
    <xf numFmtId="0" fontId="10" fillId="2" borderId="5" xfId="12" applyFont="1" applyFill="1" applyBorder="1"/>
    <xf numFmtId="0" fontId="11" fillId="2" borderId="6" xfId="12" applyFont="1" applyFill="1" applyBorder="1" applyAlignment="1">
      <alignment horizontal="center"/>
    </xf>
    <xf numFmtId="14" fontId="10" fillId="2" borderId="6" xfId="12" applyNumberFormat="1" applyFont="1" applyFill="1" applyBorder="1" applyAlignment="1" applyProtection="1">
      <alignment horizontal="center"/>
    </xf>
    <xf numFmtId="0" fontId="10" fillId="2" borderId="6" xfId="12" applyFont="1" applyFill="1" applyBorder="1" applyAlignment="1" applyProtection="1">
      <alignment horizontal="center"/>
    </xf>
    <xf numFmtId="10" fontId="10" fillId="2" borderId="6" xfId="12" applyNumberFormat="1" applyFont="1" applyFill="1" applyBorder="1" applyAlignment="1">
      <alignment horizontal="center"/>
    </xf>
    <xf numFmtId="0" fontId="12" fillId="2" borderId="0" xfId="0" applyFont="1" applyFill="1" applyAlignment="1"/>
    <xf numFmtId="0" fontId="13" fillId="2" borderId="0" xfId="12" applyFont="1" applyFill="1"/>
    <xf numFmtId="0" fontId="9" fillId="2" borderId="7" xfId="12" applyFont="1" applyFill="1" applyBorder="1"/>
    <xf numFmtId="0" fontId="14" fillId="2" borderId="8" xfId="12" applyFont="1" applyFill="1" applyBorder="1" applyAlignment="1">
      <alignment horizontal="center" vertical="center" wrapText="1"/>
    </xf>
    <xf numFmtId="0" fontId="9" fillId="2" borderId="9" xfId="12" applyFont="1" applyFill="1" applyBorder="1" applyAlignment="1">
      <alignment horizontal="center"/>
    </xf>
    <xf numFmtId="0" fontId="14" fillId="2" borderId="7" xfId="12" applyFont="1" applyFill="1" applyBorder="1" applyAlignment="1">
      <alignment horizontal="center" vertical="center" wrapText="1"/>
    </xf>
    <xf numFmtId="0" fontId="9" fillId="2" borderId="8" xfId="12" applyNumberFormat="1" applyFont="1" applyFill="1" applyBorder="1" applyAlignment="1">
      <alignment horizontal="center"/>
    </xf>
    <xf numFmtId="0" fontId="9" fillId="2" borderId="10" xfId="12" applyFont="1" applyFill="1" applyBorder="1"/>
    <xf numFmtId="0" fontId="14" fillId="2" borderId="1" xfId="12" applyFont="1" applyFill="1" applyBorder="1" applyAlignment="1">
      <alignment horizontal="center" vertical="center" wrapText="1"/>
    </xf>
    <xf numFmtId="0" fontId="9"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9" fillId="2" borderId="1" xfId="12" applyNumberFormat="1" applyFont="1" applyFill="1" applyBorder="1" applyAlignment="1">
      <alignment horizontal="center"/>
    </xf>
    <xf numFmtId="0" fontId="9" fillId="2" borderId="12" xfId="12" applyFont="1" applyFill="1" applyBorder="1"/>
    <xf numFmtId="0" fontId="14" fillId="2" borderId="13" xfId="12" applyFont="1" applyFill="1" applyBorder="1" applyAlignment="1">
      <alignment horizontal="center" vertical="center" wrapText="1"/>
    </xf>
    <xf numFmtId="0" fontId="9"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9" fillId="2" borderId="13" xfId="12" applyNumberFormat="1" applyFont="1" applyFill="1" applyBorder="1" applyAlignment="1">
      <alignment horizontal="center"/>
    </xf>
    <xf numFmtId="0" fontId="9" fillId="2" borderId="0" xfId="12" applyNumberFormat="1" applyFont="1" applyFill="1" applyAlignment="1">
      <alignment horizontal="center"/>
    </xf>
    <xf numFmtId="0" fontId="9" fillId="2" borderId="0" xfId="12" applyFont="1" applyFill="1" applyAlignment="1">
      <alignment horizontal="right"/>
    </xf>
    <xf numFmtId="14" fontId="9"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1" fillId="2" borderId="15" xfId="12" applyFont="1" applyFill="1" applyBorder="1" applyAlignment="1">
      <alignment horizontal="center" vertical="center"/>
    </xf>
    <xf numFmtId="0" fontId="11" fillId="2" borderId="15" xfId="12" applyFont="1" applyFill="1" applyBorder="1" applyAlignment="1">
      <alignment vertical="center"/>
    </xf>
    <xf numFmtId="0" fontId="11" fillId="2" borderId="2" xfId="12" applyFont="1" applyFill="1" applyBorder="1" applyAlignment="1">
      <alignment vertical="center"/>
    </xf>
    <xf numFmtId="0" fontId="11" fillId="2" borderId="4" xfId="12" applyFont="1" applyFill="1" applyBorder="1" applyAlignment="1">
      <alignment vertical="center"/>
    </xf>
    <xf numFmtId="0" fontId="11" fillId="2" borderId="3" xfId="12" applyFont="1" applyFill="1" applyBorder="1" applyAlignment="1">
      <alignment vertical="center"/>
    </xf>
    <xf numFmtId="0" fontId="14" fillId="2" borderId="0" xfId="12" applyFont="1" applyFill="1"/>
    <xf numFmtId="0" fontId="11" fillId="2" borderId="16" xfId="12" applyFont="1" applyFill="1" applyBorder="1" applyAlignment="1">
      <alignment horizontal="center" vertical="center" wrapText="1"/>
    </xf>
    <xf numFmtId="0" fontId="11" fillId="2" borderId="16" xfId="12" applyFont="1" applyFill="1" applyBorder="1" applyAlignment="1">
      <alignment vertical="center" wrapText="1"/>
    </xf>
    <xf numFmtId="0" fontId="9"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77"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4" fontId="9" fillId="2" borderId="1" xfId="12" applyNumberFormat="1" applyFont="1" applyFill="1" applyBorder="1" applyAlignment="1">
      <alignment horizontal="center" wrapText="1"/>
    </xf>
    <xf numFmtId="0" fontId="9" fillId="2" borderId="1" xfId="12"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178" fontId="11" fillId="2" borderId="5"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79" fontId="22" fillId="2" borderId="1" xfId="12" applyNumberFormat="1" applyFont="1" applyFill="1" applyBorder="1" applyAlignment="1">
      <alignment horizontal="center"/>
    </xf>
    <xf numFmtId="0" fontId="10"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2" applyFont="1" applyFill="1" applyBorder="1" applyAlignment="1">
      <alignment horizontal="center" wrapText="1"/>
    </xf>
    <xf numFmtId="14" fontId="9"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78"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78" fontId="31" fillId="0" borderId="1" xfId="11" applyNumberFormat="1" applyFont="1" applyFill="1" applyBorder="1" applyAlignment="1" applyProtection="1">
      <alignment horizontal="center"/>
      <protection locked="0"/>
    </xf>
    <xf numFmtId="179"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78"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78"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78"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9"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78"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78"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2"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3"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78"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2" fontId="31"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0"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pplyProtection="1">
      <alignment horizontal="left" vertical="center"/>
    </xf>
    <xf numFmtId="0" fontId="47" fillId="2" borderId="74" xfId="7" applyFont="1" applyFill="1" applyBorder="1" applyAlignment="1" applyProtection="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2" fillId="8" borderId="75" xfId="4" applyFont="1" applyFill="1" applyBorder="1" applyAlignment="1">
      <alignment horizontal="left" vertical="center"/>
    </xf>
    <xf numFmtId="0" fontId="42" fillId="8" borderId="0" xfId="4" applyFont="1" applyFill="1" applyBorder="1" applyAlignment="1">
      <alignment horizontal="left" vertical="center"/>
    </xf>
    <xf numFmtId="0" fontId="48"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2" fillId="0" borderId="75" xfId="4" applyFont="1" applyFill="1" applyBorder="1" applyAlignment="1">
      <alignment horizontal="left" vertical="center"/>
    </xf>
    <xf numFmtId="0" fontId="42"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pplyProtection="1">
      <alignment horizontal="left" vertical="center" wrapText="1"/>
    </xf>
    <xf numFmtId="0" fontId="49" fillId="9" borderId="78"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pplyProtection="1">
      <alignment horizontal="left" vertical="center" wrapText="1"/>
    </xf>
    <xf numFmtId="0" fontId="49" fillId="10" borderId="79" xfId="4" applyFont="1" applyFill="1" applyBorder="1" applyAlignment="1" applyProtection="1">
      <alignment horizontal="left" vertical="center" wrapText="1"/>
    </xf>
    <xf numFmtId="184" fontId="42" fillId="10" borderId="79" xfId="4" applyNumberFormat="1" applyFont="1" applyFill="1" applyBorder="1" applyAlignment="1" applyProtection="1">
      <alignment horizontal="left" vertical="center" wrapText="1"/>
    </xf>
    <xf numFmtId="184" fontId="42" fillId="10" borderId="80" xfId="4" applyNumberFormat="1"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85"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pplyProtection="1">
      <alignment horizontal="left" vertical="center" wrapText="1"/>
    </xf>
    <xf numFmtId="0" fontId="49" fillId="10" borderId="89" xfId="4" applyFont="1" applyFill="1" applyBorder="1" applyAlignment="1" applyProtection="1">
      <alignment horizontal="left" vertical="center" wrapText="1"/>
    </xf>
    <xf numFmtId="0" fontId="43" fillId="8"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9" borderId="0" xfId="4" applyFont="1" applyFill="1" applyBorder="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pplyProtection="1">
      <alignment horizontal="left" vertical="center" wrapText="1"/>
    </xf>
    <xf numFmtId="0" fontId="49"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pplyProtection="1">
      <alignment horizontal="left" vertical="center" wrapText="1"/>
    </xf>
    <xf numFmtId="0" fontId="49" fillId="10" borderId="92"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0" fontId="49"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9"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0" fontId="6" fillId="0" borderId="0" xfId="4" applyFont="1" applyFill="1" applyAlignment="1">
      <alignment horizontal="left" vertical="center"/>
    </xf>
    <xf numFmtId="182" fontId="6" fillId="0" borderId="75" xfId="4" applyNumberFormat="1" applyFont="1" applyBorder="1" applyAlignment="1">
      <alignment horizontal="left" vertical="center"/>
    </xf>
    <xf numFmtId="182"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1"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pplyProtection="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pplyProtection="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1" fontId="6" fillId="0" borderId="21" xfId="4" applyNumberFormat="1" applyFont="1" applyBorder="1" applyAlignment="1">
      <alignment horizontal="left" vertical="center"/>
    </xf>
    <xf numFmtId="181"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1" borderId="79"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1" fillId="0" borderId="96" xfId="9" applyNumberFormat="1" applyFont="1" applyBorder="1" applyAlignment="1" applyProtection="1">
      <alignment vertical="center"/>
    </xf>
    <xf numFmtId="0" fontId="51" fillId="0" borderId="96" xfId="9" applyNumberFormat="1" applyFont="1" applyBorder="1" applyAlignment="1" applyProtection="1">
      <alignment vertical="center"/>
    </xf>
    <xf numFmtId="179"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xf>
    <xf numFmtId="179" fontId="52" fillId="2" borderId="1" xfId="9" applyNumberFormat="1" applyFont="1" applyFill="1" applyBorder="1" applyAlignment="1" applyProtection="1">
      <alignment horizontal="center" vertical="center" wrapText="1"/>
    </xf>
    <xf numFmtId="0" fontId="52"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48" xfId="0" applyFont="1" applyFill="1" applyBorder="1" applyAlignment="1" applyProtection="1">
      <alignment horizontal="left" vertical="center" wrapText="1"/>
    </xf>
    <xf numFmtId="0" fontId="54" fillId="2" borderId="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32" xfId="0" applyFont="1" applyFill="1" applyBorder="1" applyAlignment="1" applyProtection="1">
      <alignment horizontal="left" vertical="center"/>
    </xf>
    <xf numFmtId="0" fontId="54" fillId="2" borderId="108" xfId="0" applyFont="1" applyFill="1" applyBorder="1" applyAlignment="1" applyProtection="1">
      <alignment horizontal="left" vertical="center"/>
    </xf>
    <xf numFmtId="0" fontId="54" fillId="2" borderId="9"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54" fillId="2" borderId="33" xfId="0" applyFont="1" applyFill="1" applyBorder="1" applyAlignment="1" applyProtection="1">
      <alignment horizontal="left" vertical="center"/>
    </xf>
    <xf numFmtId="0" fontId="54" fillId="2" borderId="62"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9" xfId="0" applyFon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110"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54" fillId="2" borderId="40" xfId="0" applyFont="1" applyFill="1" applyBorder="1" applyAlignment="1" applyProtection="1">
      <alignment horizontal="left" vertical="center" wrapText="1"/>
    </xf>
    <xf numFmtId="0" fontId="54" fillId="2" borderId="0" xfId="0" applyFont="1" applyFill="1" applyAlignment="1" applyProtection="1">
      <alignment horizontal="center" vertical="center"/>
    </xf>
    <xf numFmtId="0" fontId="54" fillId="2" borderId="1" xfId="0" applyFont="1" applyFill="1" applyBorder="1" applyAlignment="1" applyProtection="1">
      <alignment horizontal="center" vertical="center"/>
    </xf>
    <xf numFmtId="9" fontId="54" fillId="2" borderId="1" xfId="0" applyNumberFormat="1" applyFont="1" applyFill="1" applyBorder="1" applyAlignment="1" applyProtection="1">
      <alignment horizontal="center" vertical="center"/>
    </xf>
    <xf numFmtId="9" fontId="54" fillId="2"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1"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7"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7"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7" fontId="31" fillId="2" borderId="64" xfId="0" applyNumberFormat="1" applyFont="1" applyFill="1" applyBorder="1" applyAlignment="1" applyProtection="1">
      <alignment horizontal="center" vertical="center" wrapText="1"/>
    </xf>
    <xf numFmtId="187" fontId="31" fillId="2" borderId="50" xfId="0" applyNumberFormat="1" applyFont="1" applyFill="1" applyBorder="1" applyAlignment="1" applyProtection="1">
      <alignment horizontal="center" vertical="center" wrapText="1"/>
    </xf>
    <xf numFmtId="0" fontId="31" fillId="2" borderId="114"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1"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3"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12"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7"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7"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5"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78" fontId="56" fillId="0" borderId="1" xfId="0" applyNumberFormat="1" applyFont="1" applyFill="1" applyBorder="1" applyAlignment="1" applyProtection="1">
      <alignment horizontal="center" vertical="center" wrapText="1"/>
      <protection locked="0"/>
    </xf>
    <xf numFmtId="0" fontId="56" fillId="2"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5"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0" applyFont="1" applyFill="1" applyBorder="1" applyAlignment="1" applyProtection="1">
      <alignment horizontal="center" vertical="center" wrapText="1"/>
    </xf>
    <xf numFmtId="10" fontId="56"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0" applyFont="1" applyFill="1" applyBorder="1" applyAlignment="1" applyProtection="1">
      <alignment horizontal="center" vertical="center" wrapText="1"/>
    </xf>
    <xf numFmtId="10" fontId="56" fillId="0" borderId="62"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8"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pplyProtection="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pplyProtection="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8" fontId="44" fillId="0" borderId="1" xfId="10" applyNumberFormat="1" applyFont="1" applyFill="1" applyBorder="1" applyAlignment="1" applyProtection="1">
      <alignment horizontal="center" vertical="center"/>
      <protection locked="0"/>
    </xf>
    <xf numFmtId="178" fontId="44" fillId="2" borderId="1" xfId="10" applyNumberFormat="1" applyFont="1" applyFill="1" applyBorder="1" applyAlignment="1" applyProtection="1">
      <alignment horizontal="center" vertical="center"/>
    </xf>
    <xf numFmtId="187" fontId="44"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56"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44" fillId="2" borderId="1" xfId="0" applyNumberFormat="1"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79"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82"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78"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4"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8"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8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4"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2"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4"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2" fontId="56" fillId="2" borderId="2" xfId="0" applyNumberFormat="1" applyFont="1" applyFill="1" applyBorder="1" applyAlignment="1" applyProtection="1">
      <alignment horizontal="center" vertical="center"/>
    </xf>
    <xf numFmtId="182"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0"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4"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8"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68" fillId="3" borderId="1" xfId="0" applyNumberFormat="1" applyFont="1" applyFill="1" applyBorder="1" applyAlignment="1" applyProtection="1">
      <alignment horizontal="center" vertical="center"/>
      <protection locked="0"/>
    </xf>
    <xf numFmtId="179" fontId="31"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78"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88" fontId="69" fillId="2" borderId="95" xfId="0" applyNumberFormat="1" applyFont="1" applyFill="1" applyBorder="1" applyAlignment="1" applyProtection="1">
      <alignment horizontal="center" vertical="center"/>
    </xf>
    <xf numFmtId="182"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8" fontId="69" fillId="2" borderId="0" xfId="0" applyNumberFormat="1" applyFont="1" applyFill="1" applyBorder="1" applyAlignment="1" applyProtection="1">
      <alignment horizontal="center" vertical="center"/>
      <protection locked="0"/>
    </xf>
    <xf numFmtId="182"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8" fontId="56" fillId="2" borderId="4" xfId="0" applyNumberFormat="1" applyFont="1" applyFill="1" applyBorder="1" applyAlignment="1" applyProtection="1">
      <alignment horizontal="center" vertical="center"/>
    </xf>
    <xf numFmtId="182" fontId="56" fillId="11" borderId="0" xfId="0" applyNumberFormat="1" applyFont="1" applyFill="1" applyBorder="1" applyAlignment="1" applyProtection="1">
      <alignment vertical="center" wrapText="1"/>
      <protection locked="0"/>
    </xf>
    <xf numFmtId="190" fontId="56" fillId="2" borderId="42" xfId="0" applyNumberFormat="1" applyFont="1" applyFill="1" applyBorder="1" applyAlignment="1" applyProtection="1">
      <alignment horizontal="left" vertical="center" wrapText="1"/>
    </xf>
    <xf numFmtId="18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82"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2" fontId="56" fillId="2" borderId="0" xfId="0" applyNumberFormat="1" applyFont="1" applyFill="1" applyAlignment="1" applyProtection="1">
      <alignment horizontal="center" vertical="center"/>
      <protection locked="0"/>
    </xf>
    <xf numFmtId="188" fontId="56" fillId="2" borderId="0" xfId="0" applyNumberFormat="1" applyFont="1" applyFill="1" applyBorder="1" applyAlignment="1" applyProtection="1">
      <alignment horizontal="center"/>
    </xf>
    <xf numFmtId="182"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8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86"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86"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3" xfId="0" applyNumberFormat="1" applyFont="1" applyFill="1" applyBorder="1" applyAlignment="1" applyProtection="1">
      <alignment vertical="center"/>
    </xf>
    <xf numFmtId="0" fontId="62" fillId="2" borderId="10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78" fontId="31" fillId="2" borderId="2" xfId="11"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8" fontId="56" fillId="2" borderId="0" xfId="0" applyNumberFormat="1" applyFont="1" applyFill="1" applyBorder="1" applyAlignment="1" applyProtection="1">
      <alignment horizontal="center"/>
      <protection locked="0"/>
    </xf>
    <xf numFmtId="182"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112"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1"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0"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3" xfId="0" applyNumberFormat="1" applyFont="1" applyFill="1" applyBorder="1" applyAlignment="1" applyProtection="1">
      <alignment vertical="center" wrapText="1"/>
    </xf>
    <xf numFmtId="180" fontId="62" fillId="2" borderId="108" xfId="0" applyNumberFormat="1" applyFont="1" applyFill="1" applyBorder="1" applyAlignment="1" applyProtection="1">
      <alignment horizontal="center" vertical="center" wrapText="1"/>
    </xf>
    <xf numFmtId="180"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xf>
    <xf numFmtId="182"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82"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4"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protection locked="0"/>
    </xf>
    <xf numFmtId="182"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2" borderId="113"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7" fillId="2" borderId="111" xfId="0" applyNumberFormat="1" applyFont="1" applyFill="1" applyBorder="1" applyAlignment="1" applyProtection="1">
      <alignment vertical="center" wrapText="1"/>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62" fillId="2" borderId="34" xfId="0" applyNumberFormat="1" applyFont="1" applyFill="1" applyBorder="1" applyAlignment="1" applyProtection="1">
      <alignment horizontal="center" vertical="center" wrapText="1"/>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0" fontId="62" fillId="2" borderId="113"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2"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2" fillId="2" borderId="39" xfId="0" applyNumberFormat="1" applyFont="1" applyFill="1" applyBorder="1" applyAlignment="1" applyProtection="1">
      <alignment horizontal="center" vertical="center" wrapText="1"/>
    </xf>
    <xf numFmtId="188"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xf>
    <xf numFmtId="190" fontId="56" fillId="13" borderId="42" xfId="0" applyNumberFormat="1" applyFont="1" applyFill="1" applyBorder="1" applyAlignment="1" applyProtection="1">
      <alignment horizontal="left" vertical="center" wrapText="1"/>
    </xf>
    <xf numFmtId="188"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2" borderId="0"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187"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1" fontId="28" fillId="2" borderId="11" xfId="0" applyNumberFormat="1" applyFont="1" applyFill="1" applyBorder="1" applyAlignment="1" applyProtection="1">
      <alignment horizontal="center" vertical="center"/>
    </xf>
    <xf numFmtId="181"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1"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1"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3" applyFont="1" applyAlignment="1">
      <alignment horizontal="left"/>
    </xf>
    <xf numFmtId="0" fontId="9" fillId="0" borderId="0" xfId="13" applyFont="1" applyAlignment="1">
      <alignment horizontal="right"/>
    </xf>
    <xf numFmtId="0" fontId="81" fillId="0" borderId="0" xfId="13" applyFont="1" applyAlignment="1">
      <alignment horizontal="left"/>
    </xf>
    <xf numFmtId="0" fontId="81" fillId="0" borderId="0" xfId="13" applyFont="1" applyFill="1" applyAlignment="1" applyProtection="1">
      <alignment horizontal="left"/>
      <protection locked="0"/>
    </xf>
    <xf numFmtId="0" fontId="81" fillId="0" borderId="0" xfId="13" applyFont="1" applyAlignment="1" applyProtection="1">
      <alignment horizontal="left"/>
      <protection locked="0"/>
    </xf>
    <xf numFmtId="0" fontId="82" fillId="0" borderId="0" xfId="13" applyFont="1" applyAlignment="1" applyProtection="1">
      <alignment horizontal="left"/>
      <protection locked="0"/>
    </xf>
    <xf numFmtId="0" fontId="82" fillId="0" borderId="0" xfId="13" applyFont="1" applyAlignment="1" applyProtection="1">
      <alignment horizontal="left" vertical="center"/>
      <protection locked="0"/>
    </xf>
    <xf numFmtId="49" fontId="83" fillId="2" borderId="96" xfId="13" applyNumberFormat="1" applyFont="1" applyFill="1" applyBorder="1" applyAlignment="1" applyProtection="1"/>
    <xf numFmtId="0" fontId="64" fillId="2" borderId="0" xfId="13" applyFont="1" applyFill="1" applyAlignment="1" applyProtection="1">
      <alignment horizontal="center" vertical="center"/>
    </xf>
    <xf numFmtId="0" fontId="31" fillId="2" borderId="0" xfId="13" applyFont="1" applyFill="1" applyBorder="1" applyAlignment="1" applyProtection="1">
      <alignment vertical="center"/>
    </xf>
    <xf numFmtId="49" fontId="28" fillId="2" borderId="0" xfId="13" applyNumberFormat="1" applyFont="1" applyFill="1" applyBorder="1" applyAlignment="1" applyProtection="1">
      <alignment horizontal="center"/>
    </xf>
    <xf numFmtId="0" fontId="28" fillId="2"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2" borderId="1" xfId="11" applyFont="1" applyFill="1" applyBorder="1" applyAlignment="1" applyProtection="1">
      <alignment vertical="center"/>
    </xf>
    <xf numFmtId="184" fontId="39" fillId="2" borderId="1" xfId="13" applyNumberFormat="1" applyFont="1" applyFill="1" applyBorder="1" applyAlignment="1" applyProtection="1">
      <alignment horizontal="right" vertical="center"/>
    </xf>
    <xf numFmtId="49" fontId="31" fillId="2" borderId="0" xfId="13" applyNumberFormat="1" applyFont="1" applyFill="1" applyBorder="1" applyAlignment="1" applyProtection="1"/>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9" fillId="0" borderId="0" xfId="13" applyFont="1" applyAlignment="1" applyProtection="1">
      <alignment horizontal="left"/>
      <protection locked="0"/>
    </xf>
    <xf numFmtId="0" fontId="30" fillId="2" borderId="15" xfId="11" applyFont="1" applyFill="1" applyBorder="1" applyAlignment="1" applyProtection="1">
      <alignment vertical="center"/>
    </xf>
    <xf numFmtId="0" fontId="39" fillId="2" borderId="15" xfId="13" applyFont="1" applyFill="1" applyBorder="1" applyAlignment="1" applyProtection="1">
      <alignment horizontal="right" vertical="center"/>
    </xf>
    <xf numFmtId="0" fontId="9" fillId="2"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2"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9" fillId="2" borderId="50" xfId="13" applyFont="1" applyFill="1" applyBorder="1" applyAlignment="1" applyProtection="1">
      <alignment vertical="center"/>
    </xf>
    <xf numFmtId="0" fontId="30" fillId="0" borderId="109" xfId="13" applyFont="1" applyFill="1" applyBorder="1" applyAlignment="1" applyProtection="1">
      <alignment horizontal="left" vertical="center"/>
      <protection locked="0"/>
    </xf>
    <xf numFmtId="0" fontId="30" fillId="2" borderId="25" xfId="13" applyFont="1" applyFill="1" applyBorder="1" applyAlignment="1">
      <alignment vertical="center"/>
    </xf>
    <xf numFmtId="0" fontId="30" fillId="2" borderId="116"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120" xfId="13" applyFont="1" applyFill="1" applyBorder="1" applyAlignment="1">
      <alignment horizontal="left" vertical="center"/>
    </xf>
    <xf numFmtId="0" fontId="30" fillId="2" borderId="96" xfId="13" applyFont="1" applyFill="1" applyBorder="1" applyAlignment="1">
      <alignment horizontal="left" vertical="center"/>
    </xf>
    <xf numFmtId="0" fontId="30" fillId="2" borderId="112" xfId="13" applyFont="1" applyFill="1" applyBorder="1" applyAlignment="1">
      <alignment horizontal="left" vertical="center"/>
    </xf>
    <xf numFmtId="184" fontId="30" fillId="2" borderId="34" xfId="13" applyNumberFormat="1" applyFont="1" applyFill="1" applyBorder="1" applyAlignment="1">
      <alignment horizontal="left" vertical="center"/>
    </xf>
    <xf numFmtId="10" fontId="30" fillId="2" borderId="96" xfId="13" applyNumberFormat="1" applyFont="1" applyFill="1" applyBorder="1" applyAlignment="1">
      <alignment horizontal="left" vertical="center"/>
    </xf>
    <xf numFmtId="184" fontId="30" fillId="2" borderId="117" xfId="13" applyNumberFormat="1" applyFont="1" applyFill="1" applyBorder="1" applyAlignment="1">
      <alignment horizontal="left" vertical="center"/>
    </xf>
    <xf numFmtId="184" fontId="30" fillId="0" borderId="0" xfId="13" applyNumberFormat="1"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82" fontId="30" fillId="2" borderId="1" xfId="13" applyNumberFormat="1" applyFont="1" applyFill="1" applyBorder="1" applyAlignment="1">
      <alignment horizontal="left" vertical="center"/>
    </xf>
    <xf numFmtId="49" fontId="31" fillId="2" borderId="10" xfId="13" applyNumberFormat="1"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184" fontId="31" fillId="2" borderId="1" xfId="13" applyNumberFormat="1" applyFont="1" applyFill="1" applyBorder="1" applyAlignment="1">
      <alignment horizontal="left" vertical="center"/>
    </xf>
    <xf numFmtId="182" fontId="31" fillId="2" borderId="1" xfId="13" applyNumberFormat="1" applyFont="1" applyFill="1" applyBorder="1" applyAlignment="1">
      <alignment horizontal="left" vertical="center"/>
    </xf>
    <xf numFmtId="0" fontId="9" fillId="2" borderId="4" xfId="13" applyFont="1" applyFill="1" applyBorder="1" applyAlignment="1">
      <alignment horizontal="right" vertical="center"/>
    </xf>
    <xf numFmtId="190" fontId="31" fillId="0" borderId="1" xfId="13" applyNumberFormat="1" applyFont="1" applyFill="1" applyBorder="1" applyAlignment="1" applyProtection="1">
      <alignment horizontal="left" vertical="center"/>
      <protection locked="0"/>
    </xf>
    <xf numFmtId="182" fontId="31" fillId="2" borderId="4" xfId="13" applyNumberFormat="1" applyFont="1" applyFill="1" applyBorder="1" applyAlignment="1">
      <alignment horizontal="right" vertical="center"/>
    </xf>
    <xf numFmtId="178" fontId="31" fillId="0" borderId="1" xfId="13" applyNumberFormat="1" applyFont="1" applyFill="1" applyBorder="1" applyAlignment="1" applyProtection="1">
      <alignment horizontal="left" vertical="center"/>
      <protection locked="0"/>
    </xf>
    <xf numFmtId="184" fontId="31" fillId="0" borderId="1" xfId="13" applyNumberFormat="1" applyFont="1" applyFill="1" applyBorder="1" applyAlignment="1" applyProtection="1">
      <alignment horizontal="left" vertical="center"/>
      <protection locked="0"/>
    </xf>
    <xf numFmtId="182" fontId="31" fillId="0" borderId="1" xfId="13" applyNumberFormat="1" applyFont="1" applyFill="1" applyBorder="1" applyAlignment="1" applyProtection="1">
      <alignment horizontal="left" vertical="center"/>
      <protection locked="0"/>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182" fontId="30" fillId="0" borderId="13" xfId="13" applyNumberFormat="1" applyFont="1" applyFill="1" applyBorder="1" applyAlignment="1" applyProtection="1">
      <alignment horizontal="left" vertical="center"/>
      <protection locked="0"/>
    </xf>
    <xf numFmtId="0" fontId="30" fillId="2" borderId="14" xfId="13" applyFont="1" applyFill="1" applyBorder="1" applyAlignment="1">
      <alignment vertical="center"/>
    </xf>
    <xf numFmtId="184" fontId="30" fillId="2" borderId="96" xfId="13" applyNumberFormat="1" applyFont="1" applyFill="1" applyBorder="1" applyAlignment="1">
      <alignment horizontal="left" vertical="center"/>
    </xf>
    <xf numFmtId="182" fontId="30" fillId="0" borderId="96" xfId="13" applyNumberFormat="1" applyFont="1" applyFill="1" applyBorder="1" applyAlignment="1" applyProtection="1">
      <alignment horizontal="left" vertical="center"/>
      <protection locked="0"/>
    </xf>
    <xf numFmtId="0" fontId="30" fillId="2" borderId="23" xfId="13" applyFont="1" applyFill="1" applyBorder="1" applyAlignment="1">
      <alignment vertical="center"/>
    </xf>
    <xf numFmtId="0" fontId="30" fillId="2" borderId="118" xfId="13" applyFont="1" applyFill="1" applyBorder="1" applyAlignment="1">
      <alignment vertical="center"/>
    </xf>
    <xf numFmtId="0" fontId="30" fillId="2" borderId="117" xfId="13" applyFont="1" applyFill="1" applyBorder="1" applyAlignment="1">
      <alignment horizontal="left" vertical="center"/>
    </xf>
    <xf numFmtId="0" fontId="30" fillId="2" borderId="142" xfId="13" applyFont="1" applyFill="1" applyBorder="1" applyAlignment="1">
      <alignment horizontal="left" vertical="center"/>
    </xf>
    <xf numFmtId="0" fontId="84" fillId="0" borderId="2" xfId="13" applyFont="1" applyFill="1" applyBorder="1" applyAlignment="1" applyProtection="1">
      <alignment horizontal="left" vertical="center"/>
      <protection locked="0"/>
    </xf>
    <xf numFmtId="0" fontId="84" fillId="0" borderId="142" xfId="13" applyFont="1" applyFill="1" applyBorder="1" applyAlignment="1" applyProtection="1">
      <alignment horizontal="left" vertical="center"/>
      <protection locked="0"/>
    </xf>
    <xf numFmtId="0" fontId="84"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2" borderId="41" xfId="13" applyFont="1" applyFill="1" applyBorder="1" applyAlignment="1">
      <alignment horizontal="left" vertical="center"/>
    </xf>
    <xf numFmtId="0" fontId="31" fillId="2" borderId="1" xfId="13" applyFont="1" applyFill="1" applyBorder="1" applyAlignment="1">
      <alignment horizontal="left" vertical="center"/>
    </xf>
    <xf numFmtId="184" fontId="31" fillId="2" borderId="2" xfId="13" applyNumberFormat="1" applyFont="1" applyFill="1" applyBorder="1" applyAlignment="1">
      <alignment horizontal="left" vertical="center"/>
    </xf>
    <xf numFmtId="184" fontId="31" fillId="2" borderId="142" xfId="13" applyNumberFormat="1" applyFont="1" applyFill="1" applyBorder="1" applyAlignment="1">
      <alignment horizontal="left" vertical="center"/>
    </xf>
    <xf numFmtId="184" fontId="31" fillId="2" borderId="4" xfId="13" applyNumberFormat="1" applyFont="1" applyFill="1" applyBorder="1" applyAlignment="1">
      <alignment horizontal="left" vertical="center"/>
    </xf>
    <xf numFmtId="0" fontId="31" fillId="2"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2" borderId="41" xfId="13" applyFont="1" applyFill="1" applyBorder="1" applyAlignment="1">
      <alignment horizontal="right" vertical="center"/>
    </xf>
    <xf numFmtId="0" fontId="31" fillId="2" borderId="1" xfId="13" applyFont="1" applyFill="1" applyBorder="1" applyAlignment="1">
      <alignment horizontal="right" vertical="center"/>
    </xf>
    <xf numFmtId="184" fontId="31" fillId="2" borderId="2" xfId="13" applyNumberFormat="1" applyFont="1" applyFill="1" applyBorder="1" applyAlignment="1">
      <alignment horizontal="right" vertical="center"/>
    </xf>
    <xf numFmtId="182" fontId="31" fillId="0" borderId="142" xfId="13" applyNumberFormat="1" applyFont="1" applyFill="1" applyBorder="1" applyAlignment="1" applyProtection="1">
      <alignment horizontal="right" vertical="center"/>
      <protection locked="0"/>
    </xf>
    <xf numFmtId="182" fontId="31" fillId="0" borderId="4" xfId="13" applyNumberFormat="1" applyFont="1" applyFill="1" applyBorder="1" applyAlignment="1" applyProtection="1">
      <alignment horizontal="right" vertical="center"/>
      <protection locked="0"/>
    </xf>
    <xf numFmtId="0" fontId="31" fillId="2" borderId="11" xfId="13" applyFont="1" applyFill="1" applyBorder="1" applyAlignment="1">
      <alignment horizontal="right" vertical="center"/>
    </xf>
    <xf numFmtId="182" fontId="31" fillId="2" borderId="2" xfId="13" applyNumberFormat="1" applyFont="1" applyFill="1" applyBorder="1" applyAlignment="1">
      <alignment horizontal="right" vertical="center"/>
    </xf>
    <xf numFmtId="0" fontId="9" fillId="0" borderId="0" xfId="13" applyFont="1" applyAlignment="1" applyProtection="1">
      <alignment horizontal="right"/>
      <protection locked="0"/>
    </xf>
    <xf numFmtId="182" fontId="31" fillId="2" borderId="142" xfId="13" applyNumberFormat="1" applyFont="1" applyFill="1" applyBorder="1" applyAlignment="1">
      <alignment horizontal="right" vertical="center"/>
    </xf>
    <xf numFmtId="182" fontId="31" fillId="0" borderId="2" xfId="13" applyNumberFormat="1" applyFont="1" applyFill="1" applyBorder="1" applyAlignment="1" applyProtection="1">
      <alignment horizontal="right" vertical="center"/>
      <protection locked="0"/>
    </xf>
    <xf numFmtId="0" fontId="31" fillId="2" borderId="142"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42"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82" fontId="31" fillId="0" borderId="2" xfId="13" applyNumberFormat="1" applyFont="1" applyFill="1" applyBorder="1" applyAlignment="1" applyProtection="1">
      <alignment horizontal="left" vertical="center"/>
      <protection locked="0"/>
    </xf>
    <xf numFmtId="182" fontId="31" fillId="0" borderId="142" xfId="13" applyNumberFormat="1" applyFont="1" applyFill="1" applyBorder="1" applyAlignment="1" applyProtection="1">
      <alignment horizontal="left" vertical="center"/>
      <protection locked="0"/>
    </xf>
    <xf numFmtId="182" fontId="31" fillId="0" borderId="4" xfId="13" applyNumberFormat="1" applyFont="1" applyFill="1" applyBorder="1" applyAlignment="1" applyProtection="1">
      <alignment horizontal="left" vertical="center"/>
      <protection locked="0"/>
    </xf>
    <xf numFmtId="190" fontId="31" fillId="0" borderId="0" xfId="13" applyNumberFormat="1" applyFont="1" applyFill="1" applyBorder="1" applyAlignment="1" applyProtection="1">
      <alignment horizontal="left" vertical="center"/>
      <protection locked="0"/>
    </xf>
    <xf numFmtId="0" fontId="31" fillId="2" borderId="13" xfId="13" applyFont="1" applyFill="1" applyBorder="1" applyAlignment="1">
      <alignment horizontal="left" vertical="center"/>
    </xf>
    <xf numFmtId="190" fontId="31" fillId="0" borderId="33" xfId="13" applyNumberFormat="1" applyFont="1" applyFill="1" applyBorder="1" applyAlignment="1" applyProtection="1">
      <alignment horizontal="left" vertical="center"/>
      <protection locked="0"/>
    </xf>
    <xf numFmtId="190" fontId="31" fillId="0" borderId="143" xfId="13" applyNumberFormat="1" applyFont="1" applyFill="1" applyBorder="1" applyAlignment="1" applyProtection="1">
      <alignment horizontal="left" vertical="center"/>
      <protection locked="0"/>
    </xf>
    <xf numFmtId="190" fontId="31" fillId="0" borderId="62" xfId="13" applyNumberFormat="1" applyFont="1" applyFill="1" applyBorder="1" applyAlignment="1" applyProtection="1">
      <alignment horizontal="left" vertical="center"/>
      <protection locked="0"/>
    </xf>
    <xf numFmtId="190" fontId="31" fillId="2"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2" borderId="10" xfId="13" applyFont="1" applyFill="1" applyBorder="1" applyAlignment="1">
      <alignment horizontal="left" vertical="center"/>
    </xf>
    <xf numFmtId="184" fontId="31" fillId="2" borderId="1" xfId="13" applyNumberFormat="1" applyFont="1" applyFill="1" applyBorder="1" applyAlignment="1">
      <alignment horizontal="left"/>
    </xf>
    <xf numFmtId="0" fontId="31" fillId="2" borderId="1" xfId="13" applyFont="1" applyFill="1" applyBorder="1" applyAlignment="1">
      <alignment horizontal="left"/>
    </xf>
    <xf numFmtId="0" fontId="31" fillId="2" borderId="11" xfId="13" applyFont="1" applyFill="1" applyBorder="1" applyAlignment="1">
      <alignment horizontal="left"/>
    </xf>
    <xf numFmtId="0" fontId="31" fillId="2" borderId="12" xfId="13" applyFont="1" applyFill="1" applyBorder="1" applyAlignment="1">
      <alignment horizontal="left" vertical="center"/>
    </xf>
    <xf numFmtId="184" fontId="31" fillId="2" borderId="13" xfId="13" applyNumberFormat="1" applyFont="1" applyFill="1" applyBorder="1" applyAlignment="1">
      <alignment horizontal="left" vertical="center"/>
    </xf>
    <xf numFmtId="0" fontId="31" fillId="2" borderId="13" xfId="13" applyFont="1" applyFill="1" applyBorder="1" applyAlignment="1">
      <alignment horizontal="left"/>
    </xf>
    <xf numFmtId="0" fontId="31" fillId="2" borderId="14" xfId="13" applyFont="1" applyFill="1" applyBorder="1" applyAlignment="1">
      <alignment horizontal="left" vertical="center"/>
    </xf>
    <xf numFmtId="0" fontId="9" fillId="0" borderId="0" xfId="13" applyFont="1" applyFill="1" applyAlignment="1" applyProtection="1">
      <alignment horizontal="left"/>
      <protection locked="0"/>
    </xf>
    <xf numFmtId="0" fontId="30" fillId="3" borderId="49" xfId="13" applyFont="1" applyFill="1" applyBorder="1" applyAlignment="1" applyProtection="1">
      <alignment vertical="center"/>
      <protection locked="0"/>
    </xf>
    <xf numFmtId="0" fontId="30" fillId="3"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78" fontId="6"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42" fillId="2" borderId="41" xfId="13" applyFont="1" applyFill="1" applyBorder="1" applyAlignment="1" applyProtection="1">
      <alignment vertical="center"/>
      <protection locked="0"/>
    </xf>
    <xf numFmtId="0" fontId="42" fillId="2" borderId="3" xfId="13" applyFont="1" applyFill="1" applyBorder="1" applyAlignment="1" applyProtection="1">
      <alignment vertical="center"/>
      <protection locked="0"/>
    </xf>
    <xf numFmtId="0" fontId="30" fillId="2" borderId="3" xfId="13" applyFont="1" applyFill="1" applyBorder="1" applyAlignment="1" applyProtection="1">
      <alignment vertical="center"/>
      <protection locked="0"/>
    </xf>
    <xf numFmtId="0" fontId="30" fillId="2" borderId="10" xfId="13" applyFont="1" applyFill="1" applyBorder="1" applyAlignment="1" applyProtection="1">
      <alignment horizontal="left" vertical="center" wrapText="1"/>
      <protection locked="0"/>
    </xf>
    <xf numFmtId="0" fontId="31" fillId="2" borderId="2" xfId="13" applyFont="1" applyFill="1" applyBorder="1" applyAlignment="1" applyProtection="1">
      <alignment vertical="center"/>
      <protection locked="0"/>
    </xf>
    <xf numFmtId="0" fontId="31" fillId="2"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2" borderId="2" xfId="13" applyFont="1" applyFill="1" applyBorder="1" applyAlignment="1" applyProtection="1">
      <alignment vertical="center"/>
      <protection locked="0"/>
    </xf>
    <xf numFmtId="0" fontId="42"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78" fontId="31"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wrapText="1"/>
      <protection locked="0"/>
    </xf>
    <xf numFmtId="0" fontId="30" fillId="2" borderId="3" xfId="13" applyFont="1" applyFill="1" applyBorder="1" applyAlignment="1" applyProtection="1">
      <alignment vertical="center" wrapText="1"/>
      <protection locked="0"/>
    </xf>
    <xf numFmtId="0" fontId="30" fillId="2" borderId="4" xfId="13" applyFont="1" applyFill="1" applyBorder="1" applyAlignment="1" applyProtection="1">
      <alignment vertical="center" wrapText="1"/>
      <protection locked="0"/>
    </xf>
    <xf numFmtId="0" fontId="42" fillId="2" borderId="48" xfId="13" applyFont="1" applyFill="1" applyBorder="1" applyAlignment="1" applyProtection="1">
      <alignment vertical="center"/>
      <protection locked="0"/>
    </xf>
    <xf numFmtId="0" fontId="42" fillId="2" borderId="95" xfId="13" applyFont="1" applyFill="1" applyBorder="1" applyAlignment="1" applyProtection="1">
      <alignment vertical="center"/>
      <protection locked="0"/>
    </xf>
    <xf numFmtId="0" fontId="42"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42" fillId="2" borderId="34" xfId="13" applyFont="1" applyFill="1" applyBorder="1" applyAlignment="1" applyProtection="1">
      <alignment vertical="center"/>
      <protection locked="0"/>
    </xf>
    <xf numFmtId="0" fontId="42" fillId="2" borderId="96" xfId="13" applyFont="1" applyFill="1" applyBorder="1" applyAlignment="1" applyProtection="1">
      <alignment vertical="center"/>
      <protection locked="0"/>
    </xf>
    <xf numFmtId="0" fontId="42" fillId="2" borderId="112" xfId="13" applyFont="1" applyFill="1" applyBorder="1" applyAlignment="1" applyProtection="1">
      <alignment vertical="center"/>
      <protection locked="0"/>
    </xf>
    <xf numFmtId="0" fontId="42" fillId="0" borderId="1" xfId="13" applyFont="1" applyFill="1" applyBorder="1" applyAlignment="1" applyProtection="1">
      <alignment horizontal="left" vertical="center"/>
      <protection locked="0"/>
    </xf>
    <xf numFmtId="0" fontId="13" fillId="2" borderId="111" xfId="13" applyFont="1" applyFill="1" applyBorder="1" applyAlignment="1" applyProtection="1">
      <alignment horizontal="left" vertical="center" wrapText="1"/>
      <protection locked="0"/>
    </xf>
    <xf numFmtId="0" fontId="11" fillId="2" borderId="20" xfId="13" applyFont="1" applyFill="1" applyBorder="1" applyAlignment="1" applyProtection="1">
      <alignment vertical="center"/>
      <protection locked="0"/>
    </xf>
    <xf numFmtId="0" fontId="9" fillId="2" borderId="20" xfId="13" applyFont="1" applyFill="1" applyBorder="1" applyAlignment="1" applyProtection="1">
      <alignment vertical="center"/>
      <protection locked="0"/>
    </xf>
    <xf numFmtId="0" fontId="85"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2" borderId="20" xfId="13" applyFont="1" applyFill="1" applyBorder="1" applyAlignment="1" applyProtection="1">
      <alignment vertical="center"/>
      <protection locked="0"/>
    </xf>
    <xf numFmtId="0" fontId="30" fillId="3"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2" borderId="11" xfId="13" applyFont="1" applyFill="1" applyBorder="1" applyAlignment="1" applyProtection="1">
      <alignment horizontal="left" vertical="center"/>
      <protection locked="0"/>
    </xf>
    <xf numFmtId="178" fontId="6" fillId="0" borderId="11" xfId="11" applyNumberFormat="1" applyFont="1" applyBorder="1" applyAlignment="1" applyProtection="1">
      <alignment horizontal="left" vertical="center"/>
      <protection locked="0" hidden="1"/>
    </xf>
    <xf numFmtId="178" fontId="31" fillId="2"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2"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78" fontId="30" fillId="2" borderId="1" xfId="13" applyNumberFormat="1" applyFont="1" applyFill="1" applyBorder="1" applyAlignment="1" applyProtection="1">
      <alignment horizontal="left" vertical="center"/>
      <protection locked="0"/>
    </xf>
    <xf numFmtId="178" fontId="31" fillId="0" borderId="11" xfId="13" applyNumberFormat="1" applyFont="1" applyFill="1" applyBorder="1" applyAlignment="1" applyProtection="1">
      <alignment horizontal="left" vertical="center"/>
      <protection locked="0"/>
    </xf>
    <xf numFmtId="0" fontId="42"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42" fillId="0" borderId="1" xfId="13" applyNumberFormat="1" applyFont="1" applyFill="1" applyBorder="1" applyAlignment="1" applyProtection="1">
      <alignment horizontal="left" vertical="center"/>
      <protection locked="0"/>
    </xf>
    <xf numFmtId="182" fontId="6" fillId="0" borderId="13" xfId="13" applyNumberFormat="1" applyFont="1" applyFill="1" applyBorder="1" applyAlignment="1" applyProtection="1">
      <alignment horizontal="left" vertical="center"/>
      <protection locked="0"/>
    </xf>
    <xf numFmtId="0" fontId="86" fillId="0" borderId="115"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78" fontId="31" fillId="2" borderId="1" xfId="13" applyNumberFormat="1" applyFont="1" applyFill="1" applyBorder="1" applyAlignment="1" applyProtection="1">
      <alignment horizontal="left" vertical="center"/>
      <protection locked="0"/>
    </xf>
    <xf numFmtId="0" fontId="31" fillId="2" borderId="15" xfId="13" applyFont="1" applyFill="1" applyBorder="1" applyAlignment="1" applyProtection="1">
      <alignment horizontal="left" vertical="center"/>
      <protection locked="0"/>
    </xf>
    <xf numFmtId="0" fontId="30" fillId="2" borderId="2" xfId="13" applyFont="1" applyFill="1" applyBorder="1" applyAlignment="1" applyProtection="1">
      <alignment horizontal="left" vertical="center"/>
      <protection locked="0"/>
    </xf>
    <xf numFmtId="0" fontId="82" fillId="0" borderId="0" xfId="13"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8"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8"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7"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4"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7" fillId="2" borderId="114" xfId="0" applyFont="1" applyFill="1" applyBorder="1" applyAlignment="1" applyProtection="1">
      <alignment vertical="center" wrapText="1"/>
    </xf>
    <xf numFmtId="0" fontId="37" fillId="2" borderId="114" xfId="0" applyFont="1" applyFill="1" applyBorder="1" applyAlignment="1" applyProtection="1">
      <alignment vertical="center"/>
    </xf>
    <xf numFmtId="0" fontId="37" fillId="2" borderId="15"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79"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2"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2"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2"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12" xfId="0" applyNumberFormat="1" applyFont="1" applyFill="1" applyBorder="1" applyAlignment="1" applyProtection="1">
      <alignment vertical="center"/>
    </xf>
    <xf numFmtId="0" fontId="37" fillId="2" borderId="112"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6"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79"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79"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2"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4" xfId="0" applyFont="1" applyFill="1" applyBorder="1" applyAlignment="1" applyProtection="1">
      <alignment vertical="center"/>
    </xf>
    <xf numFmtId="0" fontId="37"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2"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1" fontId="31" fillId="2"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2"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4" fontId="31" fillId="2" borderId="1" xfId="0" applyNumberFormat="1" applyFont="1" applyFill="1" applyBorder="1" applyAlignment="1" applyProtection="1">
      <alignment horizontal="center"/>
    </xf>
    <xf numFmtId="182"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1" applyFont="1" applyFill="1" applyBorder="1" applyAlignment="1" applyProtection="1">
      <alignment horizontal="left" vertical="center"/>
      <protection locked="0"/>
    </xf>
    <xf numFmtId="0" fontId="41" fillId="3" borderId="4" xfId="11" applyFont="1" applyFill="1" applyBorder="1" applyAlignment="1" applyProtection="1">
      <alignment vertical="center"/>
    </xf>
    <xf numFmtId="0" fontId="41" fillId="11" borderId="0" xfId="11"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1"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4"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4" fontId="37"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4"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78" fontId="37" fillId="2" borderId="1" xfId="0" applyNumberFormat="1" applyFont="1" applyFill="1" applyBorder="1" applyAlignment="1" applyProtection="1">
      <alignment horizontal="center" vertical="center"/>
    </xf>
    <xf numFmtId="179"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1" applyFont="1" applyFill="1" applyBorder="1" applyAlignment="1" applyProtection="1">
      <alignment vertical="center"/>
    </xf>
    <xf numFmtId="178" fontId="72" fillId="2" borderId="1" xfId="11" applyNumberFormat="1" applyFont="1" applyFill="1" applyBorder="1" applyAlignment="1" applyProtection="1">
      <alignment horizontal="center" vertical="center"/>
    </xf>
    <xf numFmtId="0" fontId="72" fillId="2" borderId="1" xfId="11" applyFont="1" applyFill="1" applyBorder="1" applyAlignment="1" applyProtection="1">
      <alignment vertical="center"/>
    </xf>
    <xf numFmtId="178" fontId="72" fillId="2" borderId="1" xfId="11" applyNumberFormat="1" applyFont="1" applyFill="1" applyBorder="1" applyAlignment="1" applyProtection="1">
      <alignment vertical="center"/>
    </xf>
    <xf numFmtId="10" fontId="72" fillId="2" borderId="1" xfId="11"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78" fontId="72" fillId="2" borderId="0" xfId="0" applyNumberFormat="1" applyFont="1" applyFill="1" applyBorder="1" applyAlignment="1" applyProtection="1">
      <alignment horizontal="center" vertical="center"/>
    </xf>
    <xf numFmtId="178" fontId="72" fillId="2" borderId="3" xfId="11"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78"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8" fontId="37" fillId="2" borderId="0" xfId="0" applyNumberFormat="1" applyFont="1" applyFill="1" applyBorder="1" applyAlignment="1" applyProtection="1">
      <alignment horizontal="center" vertical="center"/>
    </xf>
    <xf numFmtId="0" fontId="72" fillId="2" borderId="1" xfId="11" applyFont="1" applyFill="1" applyBorder="1" applyAlignment="1" applyProtection="1">
      <alignment vertical="center" wrapText="1"/>
    </xf>
    <xf numFmtId="178"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8"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1" applyFont="1" applyFill="1" applyBorder="1" applyAlignment="1" applyProtection="1">
      <alignment vertical="center"/>
    </xf>
    <xf numFmtId="178"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8"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8" fontId="72" fillId="2" borderId="33" xfId="0" applyNumberFormat="1" applyFont="1" applyFill="1" applyBorder="1" applyAlignment="1" applyProtection="1">
      <alignment vertical="center"/>
    </xf>
    <xf numFmtId="178"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4"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1"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4"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78"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1" applyNumberFormat="1" applyFont="1" applyFill="1" applyBorder="1" applyAlignment="1" applyProtection="1">
      <alignment horizontal="center" vertical="center"/>
    </xf>
    <xf numFmtId="9" fontId="30" fillId="13" borderId="2" xfId="11" applyNumberFormat="1" applyFont="1" applyFill="1" applyBorder="1" applyAlignment="1" applyProtection="1">
      <alignment horizontal="center" vertical="center"/>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59" fillId="3" borderId="11" xfId="11"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79"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8" xfId="0" applyFont="1" applyFill="1" applyBorder="1" applyAlignment="1" applyProtection="1">
      <alignment vertical="center"/>
    </xf>
    <xf numFmtId="0" fontId="62" fillId="2" borderId="110" xfId="0" applyFont="1" applyFill="1" applyBorder="1" applyProtection="1">
      <alignment vertical="center"/>
    </xf>
    <xf numFmtId="0" fontId="62" fillId="2" borderId="109" xfId="0" applyFont="1" applyFill="1" applyBorder="1" applyProtection="1">
      <alignment vertical="center"/>
    </xf>
    <xf numFmtId="182" fontId="91" fillId="2" borderId="116"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12"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2"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2"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4"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2" fontId="37"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78"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8"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2" applyFont="1" applyFill="1" applyBorder="1" applyAlignment="1" applyProtection="1">
      <alignment horizontal="left" vertical="center" wrapText="1"/>
    </xf>
    <xf numFmtId="0" fontId="62"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2" applyFont="1" applyFill="1" applyBorder="1" applyAlignment="1" applyProtection="1">
      <alignment horizontal="left" vertical="center" wrapText="1"/>
    </xf>
    <xf numFmtId="0" fontId="62" fillId="7" borderId="1" xfId="12" applyFont="1" applyFill="1" applyBorder="1" applyAlignment="1" applyProtection="1">
      <alignment horizontal="left" vertical="center" wrapText="1"/>
      <protection locked="0"/>
    </xf>
    <xf numFmtId="178"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3"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93" fontId="31" fillId="0" borderId="1"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2"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2" applyFont="1" applyFill="1" applyAlignment="1" applyProtection="1">
      <alignment vertical="center" wrapText="1"/>
      <protection locked="0"/>
    </xf>
    <xf numFmtId="0" fontId="48" fillId="2" borderId="0" xfId="12" applyFont="1" applyFill="1" applyProtection="1">
      <protection locked="0"/>
    </xf>
    <xf numFmtId="0" fontId="100"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8" fillId="0" borderId="0" xfId="0" applyFont="1">
      <alignment vertical="center"/>
    </xf>
    <xf numFmtId="0" fontId="8" fillId="0" borderId="0" xfId="0" applyFont="1" applyFill="1">
      <alignment vertical="center"/>
    </xf>
    <xf numFmtId="58" fontId="8" fillId="0" borderId="0" xfId="0" applyNumberFormat="1" applyFont="1">
      <alignment vertical="center"/>
    </xf>
    <xf numFmtId="0" fontId="0" fillId="0" borderId="0" xfId="0" applyFill="1">
      <alignment vertical="center"/>
    </xf>
    <xf numFmtId="0" fontId="101" fillId="0" borderId="3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6" fillId="16" borderId="58" xfId="0" applyNumberFormat="1" applyFont="1" applyFill="1" applyBorder="1" applyAlignment="1" applyProtection="1">
      <alignment horizontal="center" vertical="center" wrapText="1"/>
      <protection locked="0"/>
    </xf>
    <xf numFmtId="0" fontId="101" fillId="0" borderId="2" xfId="0" applyFont="1" applyFill="1" applyBorder="1" applyAlignment="1" applyProtection="1">
      <alignment horizontal="center" vertical="center" wrapText="1"/>
      <protection locked="0"/>
    </xf>
    <xf numFmtId="0" fontId="102" fillId="0" borderId="41" xfId="0" applyNumberFormat="1" applyFont="1" applyFill="1" applyBorder="1" applyAlignment="1" applyProtection="1">
      <alignment horizontal="center" vertical="center" wrapText="1"/>
      <protection locked="0"/>
    </xf>
    <xf numFmtId="10" fontId="62" fillId="0" borderId="41" xfId="0" applyNumberFormat="1" applyFont="1" applyFill="1" applyBorder="1" applyAlignment="1" applyProtection="1">
      <alignment horizontal="center" vertical="center" wrapText="1"/>
      <protection locked="0"/>
    </xf>
    <xf numFmtId="0" fontId="56" fillId="11" borderId="0" xfId="0" applyNumberFormat="1" applyFont="1" applyFill="1" applyAlignment="1" applyProtection="1">
      <alignment horizontal="center" vertical="center"/>
      <protection locked="0"/>
    </xf>
    <xf numFmtId="182" fontId="69" fillId="2" borderId="0" xfId="0" applyNumberFormat="1" applyFont="1" applyFill="1" applyBorder="1" applyAlignment="1" applyProtection="1">
      <alignment vertical="center"/>
      <protection locked="0"/>
    </xf>
    <xf numFmtId="182"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2" fontId="56"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protection locked="0"/>
    </xf>
    <xf numFmtId="0" fontId="62"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103" fillId="0" borderId="0" xfId="16" applyAlignment="1" applyProtection="1">
      <alignment horizontal="left"/>
      <protection locked="0"/>
    </xf>
    <xf numFmtId="0" fontId="104" fillId="2" borderId="1" xfId="16" applyFont="1" applyFill="1" applyBorder="1" applyAlignment="1" applyProtection="1">
      <alignment horizontal="left" vertical="center" wrapText="1"/>
    </xf>
    <xf numFmtId="0" fontId="104" fillId="11" borderId="0" xfId="16" applyFont="1" applyFill="1" applyBorder="1" applyAlignment="1" applyProtection="1">
      <alignment horizontal="left" vertical="center" wrapText="1"/>
      <protection locked="0"/>
    </xf>
    <xf numFmtId="0" fontId="103" fillId="11" borderId="0" xfId="16" applyFill="1" applyBorder="1" applyAlignment="1" applyProtection="1">
      <alignment horizontal="left"/>
      <protection locked="0"/>
    </xf>
    <xf numFmtId="0" fontId="103" fillId="11" borderId="0" xfId="16" applyFill="1" applyAlignment="1" applyProtection="1">
      <alignment horizontal="left"/>
      <protection locked="0"/>
    </xf>
    <xf numFmtId="14" fontId="104" fillId="2" borderId="1" xfId="16" applyNumberFormat="1" applyFont="1" applyFill="1" applyBorder="1" applyAlignment="1" applyProtection="1">
      <alignment horizontal="left" vertical="center" wrapText="1"/>
    </xf>
    <xf numFmtId="0" fontId="104" fillId="0" borderId="1" xfId="16" applyFont="1" applyFill="1" applyBorder="1" applyAlignment="1" applyProtection="1">
      <alignment horizontal="left" vertical="center" wrapText="1"/>
      <protection locked="0"/>
    </xf>
    <xf numFmtId="0" fontId="103" fillId="2" borderId="1" xfId="16" applyFill="1" applyBorder="1" applyAlignment="1" applyProtection="1">
      <alignment horizontal="left" vertical="center"/>
    </xf>
    <xf numFmtId="0" fontId="104" fillId="2" borderId="15" xfId="16" applyFont="1" applyFill="1" applyBorder="1" applyAlignment="1" applyProtection="1">
      <alignment horizontal="left" vertical="center" wrapText="1"/>
    </xf>
    <xf numFmtId="0" fontId="8" fillId="0" borderId="1" xfId="16" applyFont="1" applyFill="1" applyBorder="1" applyAlignment="1" applyProtection="1">
      <alignment horizontal="left"/>
      <protection locked="0"/>
    </xf>
    <xf numFmtId="0" fontId="104" fillId="0" borderId="15" xfId="16" applyFont="1" applyFill="1" applyBorder="1" applyAlignment="1" applyProtection="1">
      <alignment horizontal="left" vertical="center" wrapText="1"/>
      <protection locked="0"/>
    </xf>
    <xf numFmtId="0" fontId="103" fillId="0" borderId="1" xfId="16" applyBorder="1" applyAlignment="1" applyProtection="1">
      <alignment horizontal="left"/>
      <protection locked="0"/>
    </xf>
    <xf numFmtId="0" fontId="104"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9" fillId="2" borderId="118"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6"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12" xfId="0" applyFont="1" applyFill="1" applyBorder="1" applyAlignment="1" applyProtection="1">
      <alignment vertical="center" wrapText="1"/>
    </xf>
    <xf numFmtId="0" fontId="105"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105" fillId="0" borderId="11" xfId="0" applyFont="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1"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105" fillId="0" borderId="14" xfId="0" applyNumberFormat="1"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6"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2" borderId="0" xfId="0" applyFont="1" applyFill="1" applyAlignment="1" applyProtection="1">
      <alignment vertical="center" wrapText="1"/>
    </xf>
    <xf numFmtId="0" fontId="37" fillId="2" borderId="0" xfId="0" applyFont="1" applyFill="1" applyAlignment="1" applyProtection="1">
      <alignment vertical="center"/>
    </xf>
    <xf numFmtId="179"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79"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79" fontId="62" fillId="2" borderId="25" xfId="0" applyNumberFormat="1" applyFont="1" applyFill="1" applyBorder="1" applyAlignment="1" applyProtection="1">
      <alignment vertical="center"/>
    </xf>
    <xf numFmtId="0" fontId="62" fillId="2" borderId="7" xfId="11" applyFont="1" applyFill="1" applyBorder="1" applyAlignment="1" applyProtection="1">
      <alignment vertical="center" wrapText="1"/>
    </xf>
    <xf numFmtId="0" fontId="62" fillId="2" borderId="8" xfId="11" applyFont="1" applyFill="1" applyBorder="1" applyAlignment="1" applyProtection="1">
      <alignment vertical="center" wrapText="1"/>
    </xf>
    <xf numFmtId="0" fontId="62" fillId="2" borderId="32" xfId="11" applyFont="1" applyFill="1" applyBorder="1" applyAlignment="1" applyProtection="1">
      <alignment vertical="center" wrapText="1"/>
    </xf>
    <xf numFmtId="185" fontId="56" fillId="2" borderId="7" xfId="11"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79" fontId="62" fillId="2" borderId="8" xfId="0" applyNumberFormat="1" applyFont="1" applyFill="1" applyBorder="1" applyAlignment="1" applyProtection="1">
      <alignment horizontal="center" vertical="center" wrapText="1"/>
    </xf>
    <xf numFmtId="178" fontId="37" fillId="2" borderId="10" xfId="11" applyNumberFormat="1" applyFont="1" applyFill="1" applyBorder="1" applyAlignment="1" applyProtection="1">
      <alignment horizontal="left" vertical="center"/>
    </xf>
    <xf numFmtId="178" fontId="62" fillId="2" borderId="1" xfId="11" applyNumberFormat="1" applyFont="1" applyFill="1" applyBorder="1" applyAlignment="1" applyProtection="1">
      <alignment vertical="center"/>
    </xf>
    <xf numFmtId="178" fontId="62" fillId="7" borderId="2" xfId="11" applyNumberFormat="1" applyFont="1" applyFill="1" applyBorder="1" applyAlignment="1" applyProtection="1">
      <alignment vertical="center"/>
      <protection locked="0"/>
    </xf>
    <xf numFmtId="178" fontId="37" fillId="2" borderId="10" xfId="11"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79" fontId="56" fillId="2" borderId="1" xfId="11" applyNumberFormat="1" applyFont="1" applyFill="1" applyBorder="1" applyAlignment="1" applyProtection="1">
      <alignment horizontal="center" vertical="center"/>
    </xf>
    <xf numFmtId="185" fontId="56" fillId="2" borderId="1" xfId="11"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2" fillId="0" borderId="1" xfId="0" applyNumberFormat="1" applyFont="1" applyFill="1" applyBorder="1" applyAlignment="1" applyProtection="1">
      <alignment horizontal="center" vertical="center"/>
      <protection locked="0"/>
    </xf>
    <xf numFmtId="178" fontId="62" fillId="2" borderId="10" xfId="11" applyNumberFormat="1" applyFont="1" applyFill="1" applyBorder="1" applyAlignment="1" applyProtection="1">
      <alignment horizontal="left" vertical="center" wrapText="1"/>
      <protection locked="0"/>
    </xf>
    <xf numFmtId="178" fontId="62" fillId="2" borderId="2" xfId="11"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protection locked="0"/>
    </xf>
    <xf numFmtId="0" fontId="72" fillId="2" borderId="12" xfId="11" applyFont="1" applyFill="1" applyBorder="1" applyAlignment="1" applyProtection="1">
      <alignment vertical="center" wrapText="1"/>
    </xf>
    <xf numFmtId="0" fontId="72" fillId="2" borderId="13" xfId="11" applyFont="1" applyFill="1" applyBorder="1" applyAlignment="1" applyProtection="1">
      <alignment vertical="center"/>
    </xf>
    <xf numFmtId="0" fontId="72" fillId="2" borderId="12" xfId="11" applyFont="1" applyFill="1" applyBorder="1" applyAlignment="1" applyProtection="1">
      <alignment vertical="center"/>
    </xf>
    <xf numFmtId="0" fontId="72" fillId="2" borderId="13" xfId="11" applyFont="1" applyFill="1" applyBorder="1" applyAlignment="1" applyProtection="1">
      <alignment horizontal="center" vertical="center"/>
    </xf>
    <xf numFmtId="182" fontId="72" fillId="2" borderId="13" xfId="11"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79"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79" fontId="62" fillId="11" borderId="0" xfId="0" applyNumberFormat="1" applyFont="1" applyFill="1" applyAlignment="1" applyProtection="1">
      <alignment vertical="center"/>
      <protection locked="0"/>
    </xf>
    <xf numFmtId="190" fontId="56" fillId="2" borderId="7" xfId="11" applyNumberFormat="1" applyFont="1" applyFill="1" applyBorder="1" applyAlignment="1" applyProtection="1">
      <alignment vertical="center" wrapText="1"/>
    </xf>
    <xf numFmtId="190" fontId="56"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0" fontId="56" fillId="2" borderId="10" xfId="11" applyNumberFormat="1" applyFont="1" applyFill="1" applyBorder="1" applyAlignment="1" applyProtection="1">
      <alignment vertical="center" wrapText="1"/>
    </xf>
    <xf numFmtId="190" fontId="62"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2" fillId="2" borderId="10" xfId="11" applyNumberFormat="1" applyFont="1" applyFill="1" applyBorder="1" applyAlignment="1" applyProtection="1">
      <alignment vertical="center" wrapText="1"/>
    </xf>
    <xf numFmtId="190" fontId="56" fillId="2" borderId="11" xfId="11" applyNumberFormat="1" applyFont="1" applyFill="1" applyBorder="1" applyAlignment="1" applyProtection="1">
      <alignment horizontal="center" vertical="center"/>
    </xf>
    <xf numFmtId="190" fontId="56" fillId="2" borderId="12" xfId="11" applyNumberFormat="1" applyFont="1" applyFill="1" applyBorder="1" applyAlignment="1" applyProtection="1">
      <alignment vertical="center" wrapText="1"/>
    </xf>
    <xf numFmtId="190" fontId="56" fillId="2" borderId="14" xfId="11"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56" fillId="2" borderId="11" xfId="11"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79" fontId="79" fillId="11"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2" fontId="48" fillId="11" borderId="0" xfId="0" applyNumberFormat="1" applyFont="1" applyFill="1" applyAlignment="1" applyProtection="1">
      <alignment horizontal="center" vertical="center"/>
    </xf>
    <xf numFmtId="176"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1"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6" xfId="0" applyFont="1" applyFill="1" applyBorder="1" applyAlignment="1" applyProtection="1">
      <alignment vertical="center"/>
    </xf>
    <xf numFmtId="0" fontId="62" fillId="2" borderId="118"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78" fontId="62" fillId="2" borderId="7" xfId="11" applyNumberFormat="1" applyFont="1" applyFill="1" applyBorder="1" applyAlignment="1" applyProtection="1">
      <alignment horizontal="center" vertical="center" wrapText="1"/>
    </xf>
    <xf numFmtId="0" fontId="62" fillId="2" borderId="8" xfId="11" applyFont="1" applyFill="1" applyBorder="1" applyAlignment="1" applyProtection="1">
      <alignment horizontal="center" vertical="center" wrapText="1"/>
    </xf>
    <xf numFmtId="179" fontId="62" fillId="2" borderId="8" xfId="11" applyNumberFormat="1" applyFont="1" applyFill="1" applyBorder="1" applyAlignment="1" applyProtection="1">
      <alignment horizontal="center" vertical="center" wrapText="1"/>
    </xf>
    <xf numFmtId="0" fontId="62" fillId="3" borderId="8" xfId="11" applyFont="1" applyFill="1" applyBorder="1" applyAlignment="1" applyProtection="1">
      <alignment horizontal="center" vertical="center" wrapText="1"/>
      <protection locked="0"/>
    </xf>
    <xf numFmtId="0" fontId="62" fillId="2" borderId="32" xfId="11" applyFont="1" applyFill="1" applyBorder="1" applyAlignment="1" applyProtection="1">
      <alignment horizontal="center" vertical="center" wrapText="1"/>
    </xf>
    <xf numFmtId="179" fontId="37" fillId="2" borderId="10" xfId="11" applyNumberFormat="1" applyFont="1" applyFill="1" applyBorder="1" applyAlignment="1" applyProtection="1">
      <alignment horizontal="center" vertical="center"/>
    </xf>
    <xf numFmtId="178" fontId="37" fillId="0" borderId="1" xfId="11" applyNumberFormat="1" applyFont="1" applyFill="1" applyBorder="1" applyAlignment="1" applyProtection="1">
      <alignment horizontal="center" vertical="center"/>
      <protection locked="0"/>
    </xf>
    <xf numFmtId="0" fontId="62"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78" fontId="62" fillId="0" borderId="1" xfId="11" applyNumberFormat="1" applyFont="1" applyFill="1" applyBorder="1" applyAlignment="1" applyProtection="1">
      <alignment horizontal="center" vertical="center"/>
      <protection locked="0"/>
    </xf>
    <xf numFmtId="10" fontId="62" fillId="0" borderId="1" xfId="11" applyNumberFormat="1" applyFont="1" applyFill="1" applyBorder="1" applyAlignment="1" applyProtection="1">
      <alignment horizontal="center" vertical="center"/>
      <protection locked="0"/>
    </xf>
    <xf numFmtId="178" fontId="62" fillId="2" borderId="1" xfId="11" applyNumberFormat="1" applyFont="1" applyFill="1" applyBorder="1" applyAlignment="1" applyProtection="1">
      <alignment horizontal="center" vertical="center"/>
    </xf>
    <xf numFmtId="10" fontId="62" fillId="2" borderId="1" xfId="11" applyNumberFormat="1" applyFont="1" applyFill="1" applyBorder="1" applyAlignment="1" applyProtection="1">
      <alignment horizontal="center" vertical="center"/>
    </xf>
    <xf numFmtId="0" fontId="72" fillId="2" borderId="14" xfId="11" applyFont="1" applyFill="1" applyBorder="1" applyAlignment="1" applyProtection="1">
      <alignment vertical="center"/>
    </xf>
    <xf numFmtId="190" fontId="62" fillId="2" borderId="12" xfId="0" applyNumberFormat="1" applyFont="1" applyFill="1" applyBorder="1" applyAlignment="1" applyProtection="1">
      <alignment horizontal="center" vertical="center"/>
    </xf>
    <xf numFmtId="0" fontId="62" fillId="2" borderId="13" xfId="11" applyNumberFormat="1" applyFont="1" applyFill="1" applyBorder="1" applyAlignment="1" applyProtection="1">
      <alignment horizontal="center" vertical="center"/>
    </xf>
    <xf numFmtId="10" fontId="62" fillId="2" borderId="13" xfId="11"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62" fillId="2" borderId="7" xfId="11" applyFont="1" applyFill="1" applyBorder="1" applyAlignment="1" applyProtection="1">
      <alignment horizontal="center" vertical="center" wrapText="1"/>
    </xf>
    <xf numFmtId="0" fontId="62" fillId="2" borderId="31" xfId="11" applyFont="1" applyFill="1" applyBorder="1" applyAlignment="1" applyProtection="1">
      <alignment horizontal="center" vertical="center" wrapText="1"/>
    </xf>
    <xf numFmtId="0" fontId="62" fillId="2" borderId="36" xfId="11"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9" fontId="62" fillId="2" borderId="10" xfId="11" applyNumberFormat="1" applyFont="1" applyFill="1" applyBorder="1" applyAlignment="1" applyProtection="1">
      <alignment horizontal="center" vertical="center"/>
    </xf>
    <xf numFmtId="179" fontId="62" fillId="2" borderId="1" xfId="0" applyNumberFormat="1" applyFont="1" applyFill="1" applyBorder="1" applyAlignment="1" applyProtection="1">
      <alignment horizontal="center" vertical="center"/>
    </xf>
    <xf numFmtId="0" fontId="62" fillId="2" borderId="11" xfId="11"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2" fontId="62" fillId="0" borderId="1" xfId="0" applyNumberFormat="1" applyFont="1" applyBorder="1" applyAlignment="1" applyProtection="1">
      <alignment vertical="center"/>
      <protection locked="0"/>
    </xf>
    <xf numFmtId="182" fontId="6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2" fontId="62" fillId="2" borderId="1" xfId="0" applyNumberFormat="1" applyFont="1" applyFill="1" applyBorder="1" applyAlignment="1" applyProtection="1">
      <alignment vertical="center"/>
    </xf>
    <xf numFmtId="182"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79" fontId="62" fillId="2" borderId="12" xfId="11" applyNumberFormat="1" applyFont="1" applyFill="1" applyBorder="1" applyAlignment="1" applyProtection="1">
      <alignment horizontal="center" vertical="center"/>
    </xf>
    <xf numFmtId="179" fontId="62" fillId="2" borderId="62" xfId="11" applyNumberFormat="1" applyFont="1" applyFill="1" applyBorder="1" applyAlignment="1" applyProtection="1">
      <alignment horizontal="center" vertical="center"/>
    </xf>
    <xf numFmtId="0" fontId="62" fillId="2" borderId="46" xfId="11"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08" xfId="0" applyFont="1" applyFill="1" applyBorder="1" applyAlignment="1" applyProtection="1">
      <alignment horizontal="center" vertical="center" wrapText="1"/>
    </xf>
    <xf numFmtId="182"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2"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2"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2"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2"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76" fontId="62" fillId="0" borderId="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82" fontId="62" fillId="0" borderId="1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6"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76" fontId="62" fillId="0" borderId="1" xfId="0" applyNumberFormat="1" applyFont="1" applyFill="1" applyBorder="1" applyAlignment="1" applyProtection="1">
      <alignment horizontal="center" vertical="center"/>
      <protection locked="0"/>
    </xf>
    <xf numFmtId="182"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76" fontId="62" fillId="2" borderId="1" xfId="0" applyNumberFormat="1" applyFont="1" applyFill="1" applyBorder="1" applyAlignment="1" applyProtection="1">
      <alignment horizontal="center" vertical="center"/>
    </xf>
    <xf numFmtId="182"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1"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79"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0" fontId="57" fillId="2" borderId="1" xfId="11"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0" fontId="57" fillId="2" borderId="9" xfId="11"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0" fontId="62" fillId="2" borderId="11" xfId="0" applyNumberFormat="1" applyFont="1" applyFill="1" applyBorder="1" applyAlignment="1" applyProtection="1">
      <alignment vertical="center"/>
    </xf>
    <xf numFmtId="0" fontId="62" fillId="2" borderId="111"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0" fontId="72" fillId="2" borderId="9" xfId="11"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0" fontId="57" fillId="2" borderId="17" xfId="11" applyNumberFormat="1" applyFont="1" applyFill="1" applyBorder="1" applyAlignment="1" applyProtection="1">
      <alignment horizontal="center" vertical="center"/>
    </xf>
    <xf numFmtId="190" fontId="57" fillId="2" borderId="38" xfId="11" applyNumberFormat="1" applyFont="1" applyFill="1" applyBorder="1" applyAlignment="1" applyProtection="1">
      <alignment horizontal="center" vertical="center"/>
    </xf>
    <xf numFmtId="190" fontId="57" fillId="2" borderId="39" xfId="11"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0" fontId="56" fillId="2" borderId="16" xfId="11" applyNumberFormat="1"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78" fontId="88" fillId="0" borderId="1" xfId="11" applyNumberFormat="1" applyFont="1" applyFill="1" applyBorder="1" applyAlignment="1" applyProtection="1">
      <alignment vertical="center"/>
      <protection locked="0" hidden="1"/>
    </xf>
    <xf numFmtId="190"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78" fontId="37" fillId="0" borderId="1" xfId="11" applyNumberFormat="1" applyFont="1" applyFill="1" applyBorder="1" applyAlignment="1" applyProtection="1">
      <alignment vertical="center"/>
      <protection locked="0" hidden="1"/>
    </xf>
    <xf numFmtId="178" fontId="62" fillId="0" borderId="1" xfId="11"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78" fontId="62" fillId="0" borderId="4" xfId="11" applyNumberFormat="1" applyFont="1" applyFill="1" applyBorder="1" applyAlignment="1" applyProtection="1">
      <alignment vertical="center"/>
      <protection locked="0"/>
    </xf>
    <xf numFmtId="190" fontId="72" fillId="2" borderId="1" xfId="0" applyNumberFormat="1" applyFont="1" applyFill="1" applyBorder="1" applyAlignment="1" applyProtection="1">
      <alignment vertical="center"/>
    </xf>
    <xf numFmtId="190" fontId="72" fillId="2" borderId="1" xfId="0" applyNumberFormat="1" applyFont="1" applyFill="1" applyBorder="1" applyAlignment="1" applyProtection="1">
      <alignment horizontal="center" vertical="center"/>
    </xf>
    <xf numFmtId="190" fontId="72" fillId="2" borderId="11" xfId="0" applyNumberFormat="1" applyFont="1" applyFill="1" applyBorder="1" applyAlignment="1" applyProtection="1">
      <alignment vertical="center"/>
    </xf>
    <xf numFmtId="190"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4" xfId="0" applyFont="1" applyFill="1" applyBorder="1" applyProtection="1">
      <alignment vertical="center"/>
    </xf>
    <xf numFmtId="0" fontId="62" fillId="2" borderId="40" xfId="0" applyFont="1" applyFill="1" applyBorder="1" applyProtection="1">
      <alignment vertical="center"/>
    </xf>
    <xf numFmtId="0" fontId="72" fillId="2" borderId="114"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79" fontId="72" fillId="2" borderId="62"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179"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79" fontId="62" fillId="2" borderId="16" xfId="0" applyNumberFormat="1" applyFont="1" applyFill="1" applyBorder="1" applyProtection="1">
      <alignment vertical="center"/>
    </xf>
    <xf numFmtId="190"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0" fontId="72" fillId="2" borderId="115"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0" fontId="62"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wrapText="1"/>
    </xf>
    <xf numFmtId="179" fontId="38" fillId="2" borderId="0"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190" fontId="37" fillId="2" borderId="3" xfId="0" applyNumberFormat="1"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79" fontId="37" fillId="2" borderId="2" xfId="0" applyNumberFormat="1"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79"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0" fontId="62" fillId="2" borderId="1" xfId="0" applyNumberFormat="1" applyFont="1" applyFill="1" applyBorder="1" applyAlignment="1" applyProtection="1">
      <alignment horizontal="center" vertical="center" wrapText="1"/>
    </xf>
    <xf numFmtId="190" fontId="62" fillId="0" borderId="16" xfId="0" applyNumberFormat="1" applyFont="1" applyFill="1" applyBorder="1" applyAlignment="1" applyProtection="1">
      <alignment horizontal="center" vertical="center" wrapText="1"/>
      <protection locked="0"/>
    </xf>
    <xf numFmtId="190" fontId="62" fillId="2" borderId="16" xfId="0" applyNumberFormat="1" applyFont="1" applyFill="1" applyBorder="1" applyAlignment="1" applyProtection="1">
      <alignment horizontal="center" vertical="center" wrapText="1"/>
    </xf>
    <xf numFmtId="190"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9"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9" fontId="37" fillId="2"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6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12" xfId="0" applyFont="1" applyFill="1" applyBorder="1" applyAlignment="1" applyProtection="1">
      <alignment horizontal="left" vertical="center"/>
    </xf>
    <xf numFmtId="179"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0" fontId="37" fillId="2" borderId="8" xfId="0" applyNumberFormat="1" applyFont="1" applyFill="1" applyBorder="1" applyAlignment="1" applyProtection="1">
      <alignment horizontal="center" vertical="center" wrapText="1"/>
    </xf>
    <xf numFmtId="190" fontId="37" fillId="2" borderId="10" xfId="0" applyNumberFormat="1" applyFont="1" applyFill="1" applyBorder="1" applyAlignment="1" applyProtection="1">
      <alignment horizontal="center" vertical="center" wrapText="1"/>
    </xf>
    <xf numFmtId="179"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12"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0" fontId="62" fillId="2" borderId="11" xfId="0" applyNumberFormat="1" applyFont="1" applyFill="1" applyBorder="1" applyAlignment="1" applyProtection="1">
      <alignment horizontal="center" vertical="center" wrapText="1"/>
    </xf>
    <xf numFmtId="190"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0"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17"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7"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7"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7"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78" fontId="37" fillId="3" borderId="1" xfId="11"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79"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7"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4" xfId="0" applyFont="1" applyFill="1" applyBorder="1" applyAlignment="1" applyProtection="1">
      <alignment vertical="center"/>
    </xf>
    <xf numFmtId="0" fontId="39" fillId="2" borderId="154"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0" fontId="114" fillId="0" borderId="0" xfId="14" applyFont="1" applyAlignment="1">
      <alignment horizontal="left" vertical="center"/>
    </xf>
    <xf numFmtId="0" fontId="115" fillId="0" borderId="0" xfId="14" applyFont="1" applyAlignment="1">
      <alignment horizontal="left" vertical="center"/>
    </xf>
    <xf numFmtId="14" fontId="115" fillId="0" borderId="0" xfId="14" applyNumberFormat="1" applyFont="1" applyAlignment="1">
      <alignment horizontal="left" vertical="center"/>
    </xf>
    <xf numFmtId="0" fontId="116" fillId="0" borderId="0" xfId="14" applyFont="1" applyAlignment="1">
      <alignment horizontal="left" vertical="center"/>
    </xf>
    <xf numFmtId="0" fontId="117" fillId="3" borderId="15" xfId="14" applyFont="1" applyFill="1" applyBorder="1" applyAlignment="1">
      <alignment horizontal="left" vertical="center"/>
    </xf>
    <xf numFmtId="0" fontId="118" fillId="0" borderId="1" xfId="14" applyFont="1" applyBorder="1" applyAlignment="1">
      <alignment horizontal="left" vertical="center"/>
    </xf>
    <xf numFmtId="0" fontId="118" fillId="0" borderId="2" xfId="14" applyFont="1" applyBorder="1" applyAlignment="1">
      <alignment horizontal="left" vertical="center"/>
    </xf>
    <xf numFmtId="0" fontId="117" fillId="3" borderId="157" xfId="14" applyFont="1" applyFill="1" applyBorder="1" applyAlignment="1">
      <alignment horizontal="left" vertical="center"/>
    </xf>
    <xf numFmtId="0" fontId="118" fillId="0" borderId="1" xfId="14" applyFont="1" applyFill="1" applyBorder="1" applyAlignment="1">
      <alignment horizontal="left" vertical="center"/>
    </xf>
    <xf numFmtId="192" fontId="118" fillId="0" borderId="1" xfId="14" applyNumberFormat="1" applyFont="1" applyFill="1" applyBorder="1" applyAlignment="1">
      <alignment horizontal="left" vertical="center"/>
    </xf>
    <xf numFmtId="192" fontId="119" fillId="0" borderId="2" xfId="14" applyNumberFormat="1" applyFont="1" applyFill="1" applyBorder="1" applyAlignment="1">
      <alignment horizontal="left" vertical="center"/>
    </xf>
    <xf numFmtId="0" fontId="118" fillId="0" borderId="158" xfId="14" applyFont="1" applyFill="1" applyBorder="1" applyAlignment="1">
      <alignment horizontal="left" vertical="center"/>
    </xf>
    <xf numFmtId="189" fontId="118" fillId="0" borderId="1" xfId="14" applyNumberFormat="1" applyFont="1" applyFill="1" applyBorder="1" applyAlignment="1">
      <alignment horizontal="left" vertical="center"/>
    </xf>
    <xf numFmtId="0" fontId="119" fillId="0" borderId="1" xfId="14" applyFont="1" applyFill="1" applyBorder="1" applyAlignment="1">
      <alignment horizontal="left" vertical="center"/>
    </xf>
    <xf numFmtId="192" fontId="118" fillId="0" borderId="2" xfId="14" applyNumberFormat="1" applyFont="1" applyFill="1" applyBorder="1" applyAlignment="1">
      <alignment horizontal="left" vertical="center"/>
    </xf>
    <xf numFmtId="0" fontId="119" fillId="0" borderId="0" xfId="14" applyFont="1" applyFill="1" applyAlignment="1">
      <alignment horizontal="left" vertical="center"/>
    </xf>
    <xf numFmtId="0" fontId="117" fillId="0" borderId="1" xfId="14" applyFont="1" applyFill="1" applyBorder="1" applyAlignment="1">
      <alignment horizontal="left" vertical="center"/>
    </xf>
    <xf numFmtId="0" fontId="115" fillId="0" borderId="1" xfId="14" applyFont="1" applyBorder="1" applyAlignment="1">
      <alignment horizontal="left" vertical="center"/>
    </xf>
    <xf numFmtId="189" fontId="118" fillId="0" borderId="2" xfId="14" applyNumberFormat="1" applyFont="1" applyFill="1" applyBorder="1" applyAlignment="1">
      <alignment horizontal="left" vertical="center"/>
    </xf>
    <xf numFmtId="0" fontId="115" fillId="0" borderId="158" xfId="14" applyFont="1" applyBorder="1" applyAlignment="1">
      <alignment horizontal="left" vertical="center"/>
    </xf>
    <xf numFmtId="0" fontId="120" fillId="0" borderId="1" xfId="14"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5" fillId="0" borderId="2" xfId="14" applyNumberFormat="1" applyFont="1" applyBorder="1" applyAlignment="1">
      <alignment horizontal="left" vertical="center"/>
    </xf>
    <xf numFmtId="14" fontId="112" fillId="0" borderId="0" xfId="14" applyNumberFormat="1" applyFont="1" applyAlignment="1">
      <alignment horizontal="left" vertical="center"/>
    </xf>
    <xf numFmtId="14" fontId="112" fillId="0" borderId="159" xfId="14" applyNumberFormat="1" applyFont="1" applyBorder="1" applyAlignment="1">
      <alignment horizontal="left" vertical="center"/>
    </xf>
    <xf numFmtId="0" fontId="112" fillId="0" borderId="0" xfId="14" applyFont="1" applyBorder="1" applyAlignment="1">
      <alignment horizontal="left" vertical="center"/>
    </xf>
    <xf numFmtId="0" fontId="121" fillId="0" borderId="0" xfId="14"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9"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8" fillId="0" borderId="0" xfId="0" applyFont="1" applyProtection="1">
      <alignment vertical="center"/>
      <protection locked="0"/>
    </xf>
    <xf numFmtId="0" fontId="127" fillId="0" borderId="0" xfId="0" applyFont="1" applyBorder="1" applyAlignment="1" applyProtection="1">
      <alignment horizontal="left" vertical="center"/>
    </xf>
    <xf numFmtId="0" fontId="8"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15" applyFont="1">
      <alignment vertical="center"/>
    </xf>
    <xf numFmtId="0" fontId="128" fillId="0" borderId="0" xfId="15" applyFont="1" applyProtection="1">
      <alignment vertical="center"/>
    </xf>
    <xf numFmtId="0" fontId="48" fillId="0" borderId="0" xfId="15" applyFont="1" applyProtection="1">
      <alignment vertical="center"/>
    </xf>
    <xf numFmtId="0" fontId="128"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4" applyFont="1">
      <alignment vertical="center"/>
    </xf>
    <xf numFmtId="0" fontId="8" fillId="0" borderId="0" xfId="14">
      <alignment vertical="center"/>
    </xf>
    <xf numFmtId="0" fontId="139" fillId="0" borderId="0" xfId="14" applyFont="1" applyAlignment="1">
      <alignment vertical="top" wrapText="1"/>
    </xf>
    <xf numFmtId="0" fontId="140" fillId="0" borderId="0" xfId="14"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3" applyFont="1" applyBorder="1" applyAlignment="1" applyProtection="1">
      <alignment vertical="center" wrapText="1"/>
    </xf>
    <xf numFmtId="0" fontId="112" fillId="0" borderId="6" xfId="0" applyFont="1" applyBorder="1" applyAlignment="1" applyProtection="1">
      <alignment horizontal="left" vertical="center"/>
    </xf>
    <xf numFmtId="197" fontId="112" fillId="0" borderId="6" xfId="0" applyNumberFormat="1" applyFont="1" applyBorder="1" applyAlignment="1" applyProtection="1">
      <alignment horizontal="left" vertical="center"/>
    </xf>
    <xf numFmtId="0" fontId="112" fillId="0" borderId="16" xfId="3"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03" fillId="0" borderId="1" xfId="0" applyFont="1" applyBorder="1" applyAlignment="1" applyProtection="1">
      <alignment horizontal="left" vertical="center"/>
      <protection locked="0"/>
    </xf>
    <xf numFmtId="0" fontId="8" fillId="0" borderId="0" xfId="16" applyFont="1" applyAlignment="1" applyProtection="1">
      <alignment horizontal="left"/>
      <protection locked="0"/>
    </xf>
    <xf numFmtId="0" fontId="88" fillId="5" borderId="2" xfId="0" applyFont="1" applyFill="1" applyBorder="1" applyAlignment="1" applyProtection="1">
      <alignment vertical="center"/>
      <protection locked="0"/>
    </xf>
    <xf numFmtId="49" fontId="31" fillId="11" borderId="34" xfId="0" applyNumberFormat="1" applyFont="1" applyFill="1" applyBorder="1" applyAlignment="1" applyProtection="1">
      <alignment horizontal="left" vertical="center"/>
      <protection locked="0"/>
    </xf>
    <xf numFmtId="58" fontId="37" fillId="0" borderId="1" xfId="0" applyNumberFormat="1" applyFont="1" applyBorder="1" applyAlignment="1" applyProtection="1">
      <alignment horizontal="center" vertical="center" wrapText="1"/>
      <protection locked="0"/>
    </xf>
    <xf numFmtId="0" fontId="101" fillId="0" borderId="41" xfId="0" applyNumberFormat="1" applyFont="1" applyFill="1" applyBorder="1" applyAlignment="1" applyProtection="1">
      <alignment horizontal="center" vertical="center" wrapText="1"/>
      <protection locked="0"/>
    </xf>
    <xf numFmtId="0" fontId="37" fillId="0" borderId="1" xfId="11" applyNumberFormat="1" applyFont="1" applyFill="1" applyBorder="1" applyAlignment="1" applyProtection="1">
      <alignment horizontal="center" vertical="center"/>
      <protection locked="0"/>
    </xf>
    <xf numFmtId="0" fontId="140" fillId="0" borderId="0" xfId="14" applyFont="1" applyAlignment="1" applyProtection="1">
      <alignment horizontal="left" vertical="top"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64"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97" fontId="133"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2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4" applyFont="1" applyFill="1" applyBorder="1" applyAlignment="1">
      <alignment horizontal="left" vertical="center"/>
    </xf>
    <xf numFmtId="0" fontId="118" fillId="0" borderId="1" xfId="14" applyFont="1" applyBorder="1" applyAlignment="1">
      <alignment horizontal="left" vertical="center"/>
    </xf>
    <xf numFmtId="0" fontId="118" fillId="0" borderId="158" xfId="14"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4"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37" fillId="2" borderId="95"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95" fontId="62" fillId="2" borderId="2" xfId="0" applyNumberFormat="1" applyFont="1" applyFill="1" applyBorder="1" applyAlignment="1" applyProtection="1">
      <alignment horizontal="left" vertical="center" wrapText="1"/>
    </xf>
    <xf numFmtId="195" fontId="62" fillId="2" borderId="3" xfId="0" applyNumberFormat="1" applyFont="1" applyFill="1" applyBorder="1" applyAlignment="1" applyProtection="1">
      <alignment horizontal="left" vertical="center" wrapText="1"/>
    </xf>
    <xf numFmtId="195" fontId="62"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192" fontId="95"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79" fillId="2" borderId="118"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6"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4"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4"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textRotation="255"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159"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159"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44" fillId="2" borderId="109" xfId="0" applyFont="1" applyFill="1" applyBorder="1" applyAlignment="1" applyProtection="1">
      <alignment horizontal="left" vertical="center" wrapText="1"/>
    </xf>
    <xf numFmtId="0" fontId="44" fillId="2" borderId="11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0" fillId="2" borderId="10" xfId="13" applyFont="1" applyFill="1" applyBorder="1" applyAlignment="1" applyProtection="1">
      <alignment horizontal="left" vertical="center" wrapText="1"/>
      <protection locked="0"/>
    </xf>
    <xf numFmtId="0" fontId="42" fillId="2" borderId="51" xfId="13" applyFont="1" applyFill="1" applyBorder="1" applyAlignment="1" applyProtection="1">
      <alignment horizontal="left" vertical="center"/>
      <protection locked="0"/>
    </xf>
    <xf numFmtId="0" fontId="42" fillId="2" borderId="58" xfId="13"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wrapText="1"/>
      <protection locked="0"/>
    </xf>
    <xf numFmtId="0" fontId="30" fillId="2" borderId="64"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30" fillId="2" borderId="41" xfId="13" applyFont="1" applyFill="1" applyBorder="1" applyAlignment="1" applyProtection="1">
      <alignment horizontal="left" vertical="center"/>
      <protection locked="0"/>
    </xf>
    <xf numFmtId="0" fontId="30" fillId="2" borderId="4" xfId="13" applyFont="1" applyFill="1" applyBorder="1" applyAlignment="1" applyProtection="1">
      <alignment horizontal="left" vertical="center"/>
      <protection locked="0"/>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0" fontId="30" fillId="2" borderId="33" xfId="13" applyFont="1" applyFill="1" applyBorder="1" applyAlignment="1">
      <alignment horizontal="left" vertical="center"/>
    </xf>
    <xf numFmtId="0" fontId="30" fillId="2" borderId="62" xfId="13" applyFont="1" applyFill="1" applyBorder="1" applyAlignment="1">
      <alignment horizontal="left" vertical="center"/>
    </xf>
    <xf numFmtId="0" fontId="30" fillId="14" borderId="120" xfId="13" applyFont="1" applyFill="1" applyBorder="1" applyAlignment="1" applyProtection="1">
      <alignment vertical="center"/>
      <protection locked="0"/>
    </xf>
    <xf numFmtId="0" fontId="30" fillId="14" borderId="112" xfId="13" applyFont="1" applyFill="1" applyBorder="1" applyAlignment="1" applyProtection="1">
      <alignmen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42" fillId="2" borderId="118" xfId="13" applyFont="1" applyFill="1" applyBorder="1" applyAlignment="1">
      <alignment horizontal="left" vertical="center"/>
    </xf>
    <xf numFmtId="0" fontId="42" fillId="2" borderId="25" xfId="13" applyFont="1" applyFill="1" applyBorder="1" applyAlignment="1">
      <alignment horizontal="left" vertical="center"/>
    </xf>
    <xf numFmtId="0" fontId="42" fillId="2" borderId="110" xfId="13"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71" fillId="0" borderId="10"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62" fillId="2" borderId="4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184" fontId="56" fillId="2" borderId="1" xfId="0" applyNumberFormat="1" applyFont="1" applyFill="1" applyBorder="1" applyAlignment="1" applyProtection="1">
      <alignment horizontal="center" vertical="center"/>
    </xf>
    <xf numFmtId="184"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1" xfId="0" applyNumberFormat="1" applyFont="1" applyFill="1" applyBorder="1" applyAlignment="1" applyProtection="1">
      <alignment horizontal="center" vertical="center" wrapText="1"/>
    </xf>
    <xf numFmtId="49" fontId="31" fillId="2" borderId="111"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3"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10" applyFont="1" applyFill="1" applyBorder="1" applyAlignment="1" applyProtection="1">
      <alignment horizontal="center" vertical="center" wrapText="1"/>
      <protection locked="0"/>
    </xf>
    <xf numFmtId="0" fontId="54" fillId="2" borderId="1"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6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11" xfId="0" applyFont="1" applyFill="1" applyBorder="1" applyAlignment="1" applyProtection="1">
      <alignment horizontal="left" vertical="center"/>
    </xf>
    <xf numFmtId="0" fontId="54" fillId="2" borderId="35" xfId="0"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49" fillId="10" borderId="84" xfId="4" applyFont="1" applyFill="1" applyBorder="1" applyAlignment="1" applyProtection="1">
      <alignment horizontal="left" vertical="center" wrapText="1"/>
    </xf>
    <xf numFmtId="0" fontId="49" fillId="10" borderId="77"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1" fillId="0" borderId="0" xfId="4" applyFont="1" applyAlignment="1">
      <alignment horizontal="left" vertical="center"/>
    </xf>
    <xf numFmtId="0" fontId="42" fillId="0" borderId="0" xfId="4" applyFont="1" applyAlignment="1">
      <alignment horizontal="left" vertical="center"/>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5" fillId="0" borderId="0" xfId="4" applyFont="1" applyAlignment="1">
      <alignment horizontal="left"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1019;&#19994;6&#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40089</v>
          </cell>
        </row>
        <row r="42">
          <cell r="E42">
            <v>1957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1" customWidth="1"/>
    <col min="2" max="2" width="81" style="3212" customWidth="1"/>
    <col min="3" max="16384" width="9" style="3213"/>
  </cols>
  <sheetData>
    <row r="1" spans="1:2" s="3208" customFormat="1" ht="15.75">
      <c r="A1" s="3214" t="s">
        <v>0</v>
      </c>
      <c r="B1" s="3215" t="s">
        <v>1</v>
      </c>
    </row>
    <row r="2" spans="1:2" s="3209" customFormat="1">
      <c r="A2" s="3216" t="s">
        <v>2</v>
      </c>
      <c r="B2" s="3217" t="str">
        <f>'预评函-封皮'!B37:I37</f>
        <v>北京市通州区口子村东1号院72号楼-1至3层101房地产抵押价值预评估</v>
      </c>
    </row>
    <row r="3" spans="1:2" s="3210" customFormat="1">
      <c r="A3" s="3218" t="s">
        <v>3</v>
      </c>
      <c r="B3" s="3219">
        <f>'预评函-封皮'!B40</f>
        <v>0</v>
      </c>
    </row>
    <row r="4" spans="1:2" s="3210" customFormat="1">
      <c r="A4" s="3218" t="s">
        <v>4</v>
      </c>
      <c r="B4" s="3219" t="str">
        <f>'预评函-封皮'!B46</f>
        <v>（注册号：0)、（注册号：0)</v>
      </c>
    </row>
    <row r="5" spans="1:2" s="3208" customFormat="1">
      <c r="A5" s="3220" t="s">
        <v>5</v>
      </c>
      <c r="B5" s="3221" t="str">
        <f>'预评函-封皮'!B49</f>
        <v>康正预评字号</v>
      </c>
    </row>
    <row r="6" spans="1:2" s="3209" customFormat="1">
      <c r="A6" s="3216" t="s">
        <v>6</v>
      </c>
      <c r="B6" s="3217" t="str">
        <f>'预评函-1'!A4</f>
        <v>受贵公司委托，我公司对北京市通州区口子村东1号院72号楼-1至3层101房地产抵押价值进行了预评估。</v>
      </c>
    </row>
    <row r="7" spans="1:2" s="3210" customFormat="1">
      <c r="A7" s="3218" t="s">
        <v>7</v>
      </c>
      <c r="B7" s="3219" t="str">
        <f>'预评函-1'!A7</f>
        <v>估价对象为北京市通州区口子村东1号院72号楼-1至3层101房地产，为所有。根据，估价对象（分摊）出让国有建设用地使用权面积为0平方米，建筑面积为842.81平方米。</v>
      </c>
    </row>
    <row r="8" spans="1:2" s="3210" customFormat="1">
      <c r="A8" s="3218" t="s">
        <v>8</v>
      </c>
      <c r="B8" s="3219" t="str">
        <f>'预评函-1'!A8</f>
        <v>估价对象简述。项目推广名，项目类型（用途），估价对象分布，各用途面积明细情况：XX用途建筑面积XX平方米，XX用途建筑面积XX平方米，……。复杂面积清单需设‘附表’列示：抵押物清单详见附表</v>
      </c>
    </row>
    <row r="9" spans="1:2" s="3210" customFormat="1">
      <c r="A9" s="3218" t="s">
        <v>9</v>
      </c>
      <c r="B9" s="3219" t="str">
        <f>'预评函-1'!A10</f>
        <v>估价对象为北京市通州区口子村东1号院72号楼-1至3层101房地产,为开发建设的工业项目，该项目尚在开发建设中。根据，估价对象（分摊）出让国有建设用地使用权面积为0平方米，规划建筑面积为842.81平方米。</v>
      </c>
    </row>
    <row r="10" spans="1:2" s="3210" customFormat="1">
      <c r="A10" s="3218" t="s">
        <v>10</v>
      </c>
      <c r="B10" s="32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0" customFormat="1">
      <c r="A11" s="3218" t="s">
        <v>11</v>
      </c>
      <c r="B11" s="3219" t="str">
        <f>'预评函-1'!A13</f>
        <v>北京格林彩虹假肢矫形器技术有限公司拟使用北京市通州区口子村东1号院72号楼-1至3层101房地产作为抵押担保物，向办理贷款手续。特委托北京康正宏基房地产评估有限公司对上述抵押物进行评估。本次评估为确定房地产抵押贷款额度提供参考依据而评估房地产抵押价值。</v>
      </c>
    </row>
    <row r="12" spans="1:2" s="3210" customFormat="1">
      <c r="A12" s="3218" t="s">
        <v>12</v>
      </c>
      <c r="B12" s="3219" t="str">
        <f>'预评函-1'!A15</f>
        <v>2022年6月13日（评估专业人员实地查勘之日）</v>
      </c>
    </row>
    <row r="13" spans="1:2" s="3210" customFormat="1">
      <c r="A13" s="3218" t="s">
        <v>13</v>
      </c>
      <c r="B13" s="3219" t="str">
        <f>'预评函-1'!A18</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4" spans="1:2" s="3210" customFormat="1">
      <c r="A14" s="3218" t="s">
        <v>14</v>
      </c>
      <c r="B14" s="321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0" customFormat="1">
      <c r="A15" s="3218" t="s">
        <v>15</v>
      </c>
      <c r="B15" s="3219" t="str">
        <f>'预评函-1'!A20</f>
        <v>本次估价的“房地产抵押价值”是指估价对象在价值时点的“房地产价值”扣减估价师于价值时点所知悉的法定优先受偿款后的余额。</v>
      </c>
    </row>
    <row r="16" spans="1:2" s="3210" customFormat="1">
      <c r="A16" s="3218" t="s">
        <v>16</v>
      </c>
      <c r="B16" s="32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0" customFormat="1">
      <c r="A17" s="3218" t="s">
        <v>17</v>
      </c>
      <c r="B17" s="32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8" customFormat="1">
      <c r="A18" s="3220" t="s">
        <v>18</v>
      </c>
      <c r="B18" s="3221" t="str">
        <f>'预评函-1'!A24</f>
        <v>本次评估采用的主估价方法为比较法和收益法。</v>
      </c>
    </row>
    <row r="19" spans="1:2" s="3209" customFormat="1">
      <c r="A19" s="3216" t="s">
        <v>19</v>
      </c>
      <c r="B19" s="32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0" customFormat="1">
      <c r="A20" s="3218" t="s">
        <v>20</v>
      </c>
      <c r="B20" s="3219">
        <f ca="1">'预评函-2'!D5</f>
        <v>1684</v>
      </c>
    </row>
    <row r="21" spans="1:2" s="3210" customFormat="1">
      <c r="A21" s="3218" t="s">
        <v>21</v>
      </c>
      <c r="B21" s="3219">
        <f ca="1">'预评函-2'!D7</f>
        <v>19981</v>
      </c>
    </row>
    <row r="22" spans="1:2" s="3210" customFormat="1">
      <c r="A22" s="3218" t="s">
        <v>22</v>
      </c>
      <c r="B22" s="3219" t="str">
        <f ca="1">'预评函-2'!D6</f>
        <v>壹仟陆佰捌拾肆万元整</v>
      </c>
    </row>
    <row r="23" spans="1:2" s="3210" customFormat="1">
      <c r="A23" s="3218" t="s">
        <v>23</v>
      </c>
      <c r="B23" s="3219" t="str">
        <f>'预评函-2'!B8</f>
        <v>2.估价师知悉的法定优先受偿款</v>
      </c>
    </row>
    <row r="24" spans="1:2" s="3210" customFormat="1">
      <c r="A24" s="3218" t="s">
        <v>24</v>
      </c>
      <c r="B24" s="3219">
        <f>'预评函-2'!D8</f>
        <v>0</v>
      </c>
    </row>
    <row r="25" spans="1:2" s="3210" customFormat="1">
      <c r="A25" s="3218" t="s">
        <v>25</v>
      </c>
      <c r="B25" s="3219" t="str">
        <f>'预评函-2'!D9</f>
        <v>零元整</v>
      </c>
    </row>
    <row r="26" spans="1:2" s="3210" customFormat="1">
      <c r="A26" s="3218" t="s">
        <v>26</v>
      </c>
      <c r="B26" s="3219">
        <f>'预评函-2'!D10</f>
        <v>0</v>
      </c>
    </row>
    <row r="27" spans="1:2" s="3210" customFormat="1">
      <c r="A27" s="3218" t="s">
        <v>27</v>
      </c>
      <c r="B27" s="3219">
        <f>'预评函-2'!D11</f>
        <v>0</v>
      </c>
    </row>
    <row r="28" spans="1:2" s="3210" customFormat="1">
      <c r="A28" s="3218" t="s">
        <v>28</v>
      </c>
      <c r="B28" s="3219">
        <f>'预评函-2'!D12</f>
        <v>0</v>
      </c>
    </row>
    <row r="29" spans="1:2" s="3210" customFormat="1">
      <c r="A29" s="3218" t="s">
        <v>29</v>
      </c>
      <c r="B29" s="3219" t="str">
        <f>'预评函-2'!B13</f>
        <v>3.房地产抵押价值</v>
      </c>
    </row>
    <row r="30" spans="1:2" s="3210" customFormat="1">
      <c r="A30" s="3218" t="s">
        <v>30</v>
      </c>
      <c r="B30" s="3219">
        <f ca="1">'预评函-2'!D13</f>
        <v>1684</v>
      </c>
    </row>
    <row r="31" spans="1:2" s="3210" customFormat="1">
      <c r="A31" s="3218" t="s">
        <v>31</v>
      </c>
      <c r="B31" s="3219">
        <f ca="1">'预评函-2'!D15</f>
        <v>19981</v>
      </c>
    </row>
    <row r="32" spans="1:2" s="3210" customFormat="1">
      <c r="A32" s="3218" t="s">
        <v>32</v>
      </c>
      <c r="B32" s="3219" t="str">
        <f ca="1">'预评函-2'!D14</f>
        <v>壹仟陆佰捌拾肆万元整</v>
      </c>
    </row>
    <row r="33" spans="1:2" s="3210" customFormat="1">
      <c r="A33" s="3218" t="s">
        <v>33</v>
      </c>
      <c r="B33" s="3219" t="str">
        <f>'预评函-2'!B16</f>
        <v>——</v>
      </c>
    </row>
    <row r="34" spans="1:2" s="3210" customFormat="1">
      <c r="A34" s="3218" t="s">
        <v>34</v>
      </c>
      <c r="B34" s="3219" t="str">
        <f>'预评函-2'!D16</f>
        <v>——</v>
      </c>
    </row>
    <row r="35" spans="1:2" s="3210" customFormat="1">
      <c r="A35" s="3218" t="s">
        <v>35</v>
      </c>
      <c r="B35" s="3219" t="str">
        <f>'预评函-2'!D18</f>
        <v>——</v>
      </c>
    </row>
    <row r="36" spans="1:2" s="3210" customFormat="1">
      <c r="A36" s="3218" t="s">
        <v>36</v>
      </c>
      <c r="B36" s="3219" t="e">
        <f>'预评函-2'!D17</f>
        <v>#VALUE!</v>
      </c>
    </row>
    <row r="37" spans="1:2" s="3210" customFormat="1">
      <c r="A37" s="3218" t="s">
        <v>37</v>
      </c>
      <c r="B37" s="3219" t="str">
        <f>'预评函-2'!B19</f>
        <v>4.抵押净值</v>
      </c>
    </row>
    <row r="38" spans="1:2" s="3210" customFormat="1">
      <c r="A38" s="3218" t="s">
        <v>38</v>
      </c>
      <c r="B38" s="3219" t="e">
        <f ca="1">'预评函-2'!D19</f>
        <v>#N/A</v>
      </c>
    </row>
    <row r="39" spans="1:2" s="3210" customFormat="1">
      <c r="A39" s="3218" t="s">
        <v>39</v>
      </c>
      <c r="B39" s="3219" t="e">
        <f ca="1">'预评函-2'!D21</f>
        <v>#N/A</v>
      </c>
    </row>
    <row r="40" spans="1:2" s="3210" customFormat="1">
      <c r="A40" s="3218" t="s">
        <v>40</v>
      </c>
      <c r="B40" s="3219" t="e">
        <f ca="1">'预评函-2'!D20</f>
        <v>#N/A</v>
      </c>
    </row>
    <row r="41" spans="1:2" s="3210" customFormat="1">
      <c r="A41" s="3218" t="s">
        <v>41</v>
      </c>
      <c r="B41" s="3219" t="str">
        <f>'预评函-3'!A4</f>
        <v>北京市通州区口子村东1号院72号楼-1至3层101房地产</v>
      </c>
    </row>
    <row r="42" spans="1:2" s="3210" customFormat="1">
      <c r="A42" s="3218" t="s">
        <v>42</v>
      </c>
      <c r="B42" s="3219" t="str">
        <f>'预评函-3'!B2</f>
        <v>建筑面积</v>
      </c>
    </row>
    <row r="43" spans="1:2" s="3210" customFormat="1">
      <c r="A43" s="3218" t="s">
        <v>43</v>
      </c>
      <c r="B43" s="3219">
        <f>'预评函-3'!B4</f>
        <v>842.81</v>
      </c>
    </row>
    <row r="44" spans="1:2" s="3210" customFormat="1">
      <c r="A44" s="3218" t="s">
        <v>44</v>
      </c>
      <c r="B44" s="3219" t="str">
        <f>'预评函-3'!C2</f>
        <v>(分摊)土地面积</v>
      </c>
    </row>
    <row r="45" spans="1:2" s="3210" customFormat="1">
      <c r="A45" s="3218" t="s">
        <v>45</v>
      </c>
      <c r="B45" s="3219">
        <f>'预评函-3'!C4</f>
        <v>0</v>
      </c>
    </row>
    <row r="46" spans="1:2" s="3210" customFormat="1">
      <c r="A46" s="3218" t="s">
        <v>46</v>
      </c>
      <c r="B46" s="3219" t="str">
        <f>'预评函-3'!D2</f>
        <v>出让国有建设用地使用权价值</v>
      </c>
    </row>
    <row r="47" spans="1:2" s="3210" customFormat="1">
      <c r="A47" s="3218" t="s">
        <v>47</v>
      </c>
      <c r="B47" s="3219">
        <f ca="1">'预评函-3'!D4</f>
        <v>99</v>
      </c>
    </row>
    <row r="48" spans="1:2" s="3210" customFormat="1">
      <c r="A48" s="3218" t="s">
        <v>48</v>
      </c>
      <c r="B48" s="3219">
        <f ca="1">'预评函-3'!E4</f>
        <v>1175</v>
      </c>
    </row>
    <row r="49" spans="1:2" s="3210" customFormat="1">
      <c r="A49" s="3218" t="s">
        <v>49</v>
      </c>
      <c r="B49" s="3219" t="str">
        <f ca="1">'预评函-3'!D5</f>
        <v>玖拾玖万元整</v>
      </c>
    </row>
    <row r="50" spans="1:2" s="3210" customFormat="1">
      <c r="A50" s="3218" t="s">
        <v>50</v>
      </c>
      <c r="B50" s="3219" t="str">
        <f>'预评函-3'!F2</f>
        <v>在建建筑物价值</v>
      </c>
    </row>
    <row r="51" spans="1:2" s="3210" customFormat="1">
      <c r="A51" s="3218" t="s">
        <v>51</v>
      </c>
      <c r="B51" s="3219">
        <f ca="1">'预评函-3'!F4</f>
        <v>1585</v>
      </c>
    </row>
    <row r="52" spans="1:2" s="3210" customFormat="1">
      <c r="A52" s="3218" t="s">
        <v>52</v>
      </c>
      <c r="B52" s="3219">
        <f ca="1">'预评函-3'!G4</f>
        <v>18806</v>
      </c>
    </row>
    <row r="53" spans="1:2" s="3210" customFormat="1">
      <c r="A53" s="3218" t="s">
        <v>53</v>
      </c>
      <c r="B53" s="3219" t="str">
        <f ca="1">'预评函-3'!F5</f>
        <v>壹仟伍佰捌拾伍万元整</v>
      </c>
    </row>
    <row r="54" spans="1:2" s="3210" customFormat="1">
      <c r="A54" s="3218" t="s">
        <v>54</v>
      </c>
      <c r="B54" s="3219" t="str">
        <f>'预评函-3'!A8</f>
        <v>房地产抵押价值</v>
      </c>
    </row>
    <row r="55" spans="1:2" s="3210" customFormat="1">
      <c r="A55" s="3218" t="s">
        <v>55</v>
      </c>
      <c r="B55" s="3219" t="str">
        <f>'预评函-3'!A10</f>
        <v/>
      </c>
    </row>
    <row r="56" spans="1:2" s="3210" customFormat="1">
      <c r="A56" s="3218" t="s">
        <v>56</v>
      </c>
      <c r="B56" s="3219" t="str">
        <f>'预评函-3'!A12</f>
        <v>抵押净值</v>
      </c>
    </row>
    <row r="57" spans="1:2" s="3208" customFormat="1">
      <c r="A57" s="3220" t="s">
        <v>57</v>
      </c>
      <c r="B57" s="3221" t="str">
        <f>'预评函-3'!A6</f>
        <v>估价师知悉的法定优先受偿款</v>
      </c>
    </row>
    <row r="58" spans="1:2" s="3209" customFormat="1">
      <c r="A58" s="3216" t="s">
        <v>58</v>
      </c>
      <c r="B58" s="3217" t="str">
        <f>'预评函-4'!A12</f>
        <v>2.本《评估意见函》仅供金融机构进行内部审核使用，不做其他目的之用。</v>
      </c>
    </row>
    <row r="59" spans="1:2" s="3210" customFormat="1">
      <c r="A59" s="3218" t="s">
        <v>59</v>
      </c>
      <c r="B59" s="3219" t="str">
        <f>'预评函-4'!A13</f>
        <v>3.抵押双方在办理抵押登记手续时，应使用本公司出具的正式《房地产评估报告》，特提醒报告使用者注意。</v>
      </c>
    </row>
    <row r="60" spans="1:2" s="3210" customFormat="1">
      <c r="A60" s="3218" t="s">
        <v>60</v>
      </c>
      <c r="B60" s="3219" t="str">
        <f>'预评函-4'!A14</f>
        <v>4.本次评估估价师所知悉的法定优先受偿款情况说明如下：</v>
      </c>
    </row>
    <row r="61" spans="1:2" s="3210" customFormat="1">
      <c r="A61" s="3218" t="s">
        <v>61</v>
      </c>
      <c r="B61" s="32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0" customFormat="1">
      <c r="A62" s="3218" t="s">
        <v>62</v>
      </c>
      <c r="B62" s="3219" t="str">
        <f>'预评函-4'!A16</f>
        <v>（2）根据《工程款支付情况说明》，截至价值时点，估价对象不存在应付未付工程款项。（只要没有施工方盖章的，均“设定”进行表述）</v>
      </c>
    </row>
    <row r="63" spans="1:2" s="3210" customFormat="1">
      <c r="A63" s="3218" t="s">
        <v>63</v>
      </c>
      <c r="B63" s="32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0" customFormat="1">
      <c r="A64" s="3218" t="s">
        <v>64</v>
      </c>
      <c r="B64" s="3219" t="str">
        <f>'预评函-4'!A18</f>
        <v>故，本次评估不存在估价师知悉的法定优先受偿款</v>
      </c>
    </row>
    <row r="65" spans="1:2" s="3210" customFormat="1">
      <c r="A65" s="3218" t="s">
        <v>65</v>
      </c>
      <c r="B65" s="32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0" customFormat="1">
      <c r="A66" s="3218" t="s">
        <v>66</v>
      </c>
      <c r="B66" s="3219" t="str">
        <f>'预评函-4'!A20</f>
        <v>——</v>
      </c>
    </row>
    <row r="67" spans="1:2" s="3210" customFormat="1">
      <c r="A67" s="3218" t="s">
        <v>67</v>
      </c>
      <c r="B67" s="3219" t="str">
        <f>'预评函-4'!A21</f>
        <v>——</v>
      </c>
    </row>
    <row r="68" spans="1:2" s="3210" customFormat="1">
      <c r="A68" s="3218" t="s">
        <v>68</v>
      </c>
      <c r="B68" s="3219" t="str">
        <f>'预评函-4'!A22</f>
        <v>8.其他需特殊说明事项：无（注意调整序号）</v>
      </c>
    </row>
    <row r="69" spans="1:2" s="3208" customFormat="1">
      <c r="A69" s="3220" t="s">
        <v>69</v>
      </c>
      <c r="B69" s="3222">
        <f>'预评函-4'!C31</f>
        <v>42551</v>
      </c>
    </row>
    <row r="70" spans="1:2">
      <c r="A70" s="3223" t="s">
        <v>70</v>
      </c>
      <c r="B70" s="3224">
        <f>'预评函-4'!A4</f>
        <v>0</v>
      </c>
    </row>
    <row r="71" spans="1:2">
      <c r="A71" s="3218" t="s">
        <v>71</v>
      </c>
      <c r="B71" s="3219">
        <f>'预评函-4'!B4</f>
        <v>0</v>
      </c>
    </row>
    <row r="72" spans="1:2">
      <c r="A72" s="3218" t="s">
        <v>72</v>
      </c>
      <c r="B72" s="3225">
        <f>'预评函-4'!A5</f>
        <v>0</v>
      </c>
    </row>
    <row r="73" spans="1:2" s="3208" customFormat="1">
      <c r="A73" s="3220" t="s">
        <v>73</v>
      </c>
      <c r="B73" s="3221">
        <f>'预评函-4'!B5</f>
        <v>0</v>
      </c>
    </row>
    <row r="74" spans="1:2">
      <c r="A74" s="3211" t="s">
        <v>74</v>
      </c>
      <c r="B74" s="3212"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D21" sqref="D21"/>
    </sheetView>
  </sheetViews>
  <sheetFormatPr defaultColWidth="9" defaultRowHeight="13.5"/>
  <cols>
    <col min="1" max="1" width="13.5" style="3086" customWidth="1"/>
    <col min="2" max="2" width="23.25" style="3087" customWidth="1"/>
    <col min="3" max="3" width="13" style="3088" customWidth="1"/>
    <col min="4" max="4" width="5.75" style="3089" customWidth="1"/>
    <col min="5" max="5" width="7.125" style="3089" customWidth="1"/>
    <col min="6" max="6" width="10.625" style="3089" customWidth="1"/>
    <col min="7" max="7" width="7.5" style="3089" customWidth="1"/>
    <col min="8" max="8" width="9" style="3088" customWidth="1"/>
    <col min="9" max="9" width="11.625" style="3088" customWidth="1"/>
    <col min="10" max="10" width="9" style="3088" customWidth="1"/>
    <col min="11" max="19" width="9" style="3089" customWidth="1"/>
    <col min="20" max="23" width="9" style="3088" customWidth="1"/>
    <col min="24" max="24" width="21.125" style="3087" customWidth="1"/>
    <col min="25" max="16384" width="9" style="3087"/>
  </cols>
  <sheetData>
    <row r="1" spans="1:23" s="3085" customFormat="1" ht="27">
      <c r="A1" s="3090" t="s">
        <v>206</v>
      </c>
      <c r="B1" s="3091" t="s">
        <v>207</v>
      </c>
      <c r="C1" s="3092" t="s">
        <v>208</v>
      </c>
      <c r="D1" s="3093" t="s">
        <v>209</v>
      </c>
      <c r="E1" s="3093" t="s">
        <v>210</v>
      </c>
      <c r="F1" s="3093" t="s">
        <v>211</v>
      </c>
      <c r="G1" s="3093" t="s">
        <v>212</v>
      </c>
      <c r="H1" s="3093" t="s">
        <v>213</v>
      </c>
      <c r="I1" s="3093" t="s">
        <v>214</v>
      </c>
      <c r="J1" s="3093" t="s">
        <v>215</v>
      </c>
      <c r="K1" s="3093" t="s">
        <v>216</v>
      </c>
      <c r="L1" s="3093" t="s">
        <v>217</v>
      </c>
      <c r="M1" s="3093" t="s">
        <v>218</v>
      </c>
      <c r="N1" s="3093" t="s">
        <v>219</v>
      </c>
      <c r="O1" s="3093" t="s">
        <v>220</v>
      </c>
      <c r="P1" s="3102" t="s">
        <v>221</v>
      </c>
      <c r="Q1" s="3102" t="s">
        <v>222</v>
      </c>
      <c r="R1" s="3093" t="s">
        <v>223</v>
      </c>
      <c r="S1" s="3093" t="s">
        <v>224</v>
      </c>
      <c r="T1" s="3103" t="s">
        <v>225</v>
      </c>
      <c r="U1" s="3093" t="s">
        <v>226</v>
      </c>
      <c r="V1" s="3093" t="s">
        <v>227</v>
      </c>
      <c r="W1" s="3093" t="s">
        <v>228</v>
      </c>
    </row>
    <row r="2" spans="1:23">
      <c r="A2" s="3094" t="s">
        <v>124</v>
      </c>
      <c r="B2" s="3094" t="s">
        <v>229</v>
      </c>
      <c r="C2" s="3095" t="s">
        <v>230</v>
      </c>
      <c r="D2" s="3089" t="s">
        <v>231</v>
      </c>
      <c r="E2" s="3089" t="s">
        <v>232</v>
      </c>
      <c r="F2" s="3089" t="s">
        <v>159</v>
      </c>
      <c r="G2" s="3089">
        <v>40</v>
      </c>
      <c r="H2" s="3089" t="s">
        <v>159</v>
      </c>
      <c r="I2" s="3089" t="s">
        <v>233</v>
      </c>
      <c r="J2" s="3089" t="s">
        <v>234</v>
      </c>
      <c r="K2" s="3089" t="s">
        <v>235</v>
      </c>
      <c r="L2" s="3089" t="s">
        <v>235</v>
      </c>
      <c r="M2" s="3089" t="s">
        <v>235</v>
      </c>
      <c r="N2" s="3089" t="s">
        <v>235</v>
      </c>
      <c r="O2" s="3089" t="s">
        <v>235</v>
      </c>
      <c r="P2" s="3089" t="s">
        <v>235</v>
      </c>
      <c r="Q2" s="3089" t="s">
        <v>235</v>
      </c>
      <c r="R2" s="3089" t="s">
        <v>236</v>
      </c>
      <c r="S2" s="3089" t="s">
        <v>235</v>
      </c>
      <c r="T2" s="3089" t="s">
        <v>237</v>
      </c>
      <c r="U2" s="3089" t="s">
        <v>235</v>
      </c>
      <c r="V2" s="3089" t="s">
        <v>238</v>
      </c>
      <c r="W2" s="3089" t="s">
        <v>235</v>
      </c>
    </row>
    <row r="3" spans="1:23">
      <c r="A3" s="3094" t="s">
        <v>239</v>
      </c>
      <c r="B3" s="3096" t="s">
        <v>240</v>
      </c>
      <c r="C3" s="3097" t="s">
        <v>241</v>
      </c>
      <c r="D3" s="3089" t="s">
        <v>242</v>
      </c>
      <c r="E3" s="3089" t="s">
        <v>124</v>
      </c>
      <c r="F3" s="3089" t="s">
        <v>160</v>
      </c>
      <c r="G3" s="3089">
        <v>50</v>
      </c>
      <c r="H3" s="3089" t="s">
        <v>160</v>
      </c>
      <c r="I3" s="3089" t="s">
        <v>243</v>
      </c>
      <c r="J3" s="3089" t="s">
        <v>244</v>
      </c>
      <c r="K3" s="3089" t="s">
        <v>245</v>
      </c>
      <c r="L3" s="3089" t="s">
        <v>245</v>
      </c>
      <c r="M3" s="3089" t="s">
        <v>245</v>
      </c>
      <c r="N3" s="3089" t="s">
        <v>245</v>
      </c>
      <c r="O3" s="3089" t="s">
        <v>245</v>
      </c>
      <c r="P3" s="3089" t="s">
        <v>245</v>
      </c>
      <c r="Q3" s="3089" t="s">
        <v>245</v>
      </c>
      <c r="R3" s="3089" t="s">
        <v>246</v>
      </c>
      <c r="S3" s="3089" t="s">
        <v>245</v>
      </c>
      <c r="T3" s="3089" t="s">
        <v>247</v>
      </c>
      <c r="U3" s="3089" t="s">
        <v>245</v>
      </c>
      <c r="V3" s="3089" t="s">
        <v>248</v>
      </c>
      <c r="W3" s="3089" t="s">
        <v>245</v>
      </c>
    </row>
    <row r="4" spans="1:23">
      <c r="A4" s="3094" t="s">
        <v>249</v>
      </c>
      <c r="B4" s="3094" t="s">
        <v>250</v>
      </c>
      <c r="C4" s="3095" t="s">
        <v>251</v>
      </c>
      <c r="D4" s="3089" t="s">
        <v>124</v>
      </c>
      <c r="E4" s="3089" t="s">
        <v>252</v>
      </c>
      <c r="F4" s="3089" t="s">
        <v>161</v>
      </c>
      <c r="G4" s="3089">
        <v>70</v>
      </c>
      <c r="H4" s="3089" t="s">
        <v>161</v>
      </c>
      <c r="I4" s="3089" t="s">
        <v>253</v>
      </c>
      <c r="K4" s="3089" t="s">
        <v>254</v>
      </c>
      <c r="L4" s="3089" t="s">
        <v>254</v>
      </c>
      <c r="M4" s="3089" t="s">
        <v>254</v>
      </c>
      <c r="N4" s="3089" t="s">
        <v>254</v>
      </c>
      <c r="O4" s="3089" t="s">
        <v>254</v>
      </c>
      <c r="P4" s="3089" t="s">
        <v>254</v>
      </c>
      <c r="Q4" s="3089" t="s">
        <v>254</v>
      </c>
      <c r="R4" s="3089" t="s">
        <v>255</v>
      </c>
      <c r="S4" s="3089" t="s">
        <v>254</v>
      </c>
      <c r="T4" s="3089" t="s">
        <v>256</v>
      </c>
      <c r="U4" s="3089" t="s">
        <v>254</v>
      </c>
      <c r="W4" s="3089" t="s">
        <v>254</v>
      </c>
    </row>
    <row r="5" spans="1:23">
      <c r="A5" s="3094" t="s">
        <v>257</v>
      </c>
      <c r="B5" s="3094" t="s">
        <v>258</v>
      </c>
      <c r="C5" s="3095" t="s">
        <v>259</v>
      </c>
      <c r="F5" s="3089" t="s">
        <v>162</v>
      </c>
      <c r="H5" s="3089" t="s">
        <v>260</v>
      </c>
      <c r="I5" s="3089" t="s">
        <v>261</v>
      </c>
      <c r="K5" s="3089" t="s">
        <v>262</v>
      </c>
      <c r="L5" s="3089" t="s">
        <v>262</v>
      </c>
      <c r="M5" s="3089" t="s">
        <v>262</v>
      </c>
      <c r="N5" s="3089" t="s">
        <v>262</v>
      </c>
      <c r="O5" s="3089" t="s">
        <v>262</v>
      </c>
      <c r="P5" s="3089" t="s">
        <v>262</v>
      </c>
      <c r="Q5" s="3089" t="s">
        <v>262</v>
      </c>
      <c r="R5" s="3089" t="s">
        <v>263</v>
      </c>
      <c r="S5" s="3089" t="s">
        <v>262</v>
      </c>
      <c r="T5" s="3089" t="s">
        <v>264</v>
      </c>
      <c r="U5" s="3089" t="s">
        <v>262</v>
      </c>
      <c r="W5" s="3089" t="s">
        <v>262</v>
      </c>
    </row>
    <row r="6" spans="1:23">
      <c r="A6" s="3094" t="s">
        <v>265</v>
      </c>
      <c r="B6" s="3096" t="s">
        <v>266</v>
      </c>
      <c r="C6" s="3098" t="s">
        <v>267</v>
      </c>
      <c r="F6" s="3089" t="s">
        <v>260</v>
      </c>
      <c r="H6" s="3089" t="s">
        <v>164</v>
      </c>
      <c r="I6" s="3089" t="s">
        <v>268</v>
      </c>
      <c r="K6" s="3089" t="s">
        <v>269</v>
      </c>
      <c r="L6" s="3089" t="s">
        <v>269</v>
      </c>
      <c r="M6" s="3089" t="s">
        <v>269</v>
      </c>
      <c r="N6" s="3089" t="s">
        <v>269</v>
      </c>
      <c r="O6" s="3089" t="s">
        <v>269</v>
      </c>
      <c r="P6" s="3089" t="s">
        <v>269</v>
      </c>
      <c r="Q6" s="3089" t="s">
        <v>269</v>
      </c>
      <c r="R6" s="3089" t="s">
        <v>270</v>
      </c>
      <c r="S6" s="3089" t="s">
        <v>269</v>
      </c>
      <c r="T6" s="3089"/>
      <c r="U6" s="3089" t="s">
        <v>269</v>
      </c>
      <c r="W6" s="3089" t="s">
        <v>269</v>
      </c>
    </row>
    <row r="7" spans="1:23">
      <c r="A7" s="3094" t="s">
        <v>271</v>
      </c>
      <c r="B7" s="3096" t="s">
        <v>272</v>
      </c>
      <c r="C7" s="3095" t="s">
        <v>273</v>
      </c>
      <c r="F7" s="3089" t="s">
        <v>274</v>
      </c>
      <c r="H7" s="3089" t="s">
        <v>162</v>
      </c>
      <c r="I7" s="3089" t="s">
        <v>275</v>
      </c>
    </row>
    <row r="8" spans="1:23">
      <c r="A8" s="3094" t="s">
        <v>276</v>
      </c>
      <c r="B8" s="3094" t="s">
        <v>277</v>
      </c>
      <c r="C8" s="3095" t="s">
        <v>278</v>
      </c>
      <c r="F8" s="3089" t="s">
        <v>279</v>
      </c>
      <c r="H8" s="3089"/>
      <c r="I8" s="3089" t="s">
        <v>280</v>
      </c>
    </row>
    <row r="9" spans="1:23">
      <c r="A9" s="3094" t="s">
        <v>281</v>
      </c>
      <c r="B9" s="3094" t="s">
        <v>282</v>
      </c>
      <c r="C9" s="3095" t="s">
        <v>283</v>
      </c>
      <c r="F9" s="3089" t="s">
        <v>164</v>
      </c>
      <c r="H9" s="3089"/>
    </row>
    <row r="10" spans="1:23">
      <c r="A10" s="3094" t="s">
        <v>284</v>
      </c>
      <c r="B10" s="3094" t="s">
        <v>285</v>
      </c>
      <c r="C10" s="3095" t="s">
        <v>286</v>
      </c>
      <c r="F10" s="3089" t="s">
        <v>124</v>
      </c>
    </row>
    <row r="11" spans="1:23">
      <c r="A11" s="3094" t="s">
        <v>287</v>
      </c>
      <c r="B11" s="3094" t="s">
        <v>288</v>
      </c>
      <c r="C11" s="3095" t="s">
        <v>289</v>
      </c>
    </row>
    <row r="12" spans="1:23">
      <c r="A12" s="3094" t="s">
        <v>290</v>
      </c>
      <c r="B12" s="3094" t="s">
        <v>291</v>
      </c>
      <c r="C12" s="3095" t="s">
        <v>292</v>
      </c>
    </row>
    <row r="13" spans="1:23">
      <c r="A13" s="3094" t="s">
        <v>293</v>
      </c>
      <c r="B13" s="3094" t="s">
        <v>294</v>
      </c>
      <c r="C13" s="3095" t="s">
        <v>295</v>
      </c>
    </row>
    <row r="14" spans="1:23">
      <c r="A14" s="3094" t="s">
        <v>296</v>
      </c>
      <c r="B14" s="3094" t="s">
        <v>297</v>
      </c>
      <c r="C14" s="3089" t="s">
        <v>124</v>
      </c>
    </row>
    <row r="15" spans="1:23">
      <c r="A15" s="3094" t="s">
        <v>298</v>
      </c>
      <c r="B15" s="3094" t="s">
        <v>299</v>
      </c>
      <c r="C15" s="3095"/>
    </row>
    <row r="16" spans="1:23">
      <c r="A16" s="3094" t="s">
        <v>300</v>
      </c>
      <c r="B16" s="3094" t="s">
        <v>301</v>
      </c>
      <c r="C16" s="3095"/>
    </row>
    <row r="17" spans="1:3">
      <c r="A17" s="3094" t="s">
        <v>302</v>
      </c>
      <c r="B17" s="3094" t="s">
        <v>303</v>
      </c>
      <c r="C17" s="3095"/>
    </row>
    <row r="18" spans="1:3">
      <c r="A18" s="3094" t="s">
        <v>304</v>
      </c>
      <c r="B18" s="3094" t="s">
        <v>305</v>
      </c>
      <c r="C18" s="3095"/>
    </row>
    <row r="19" spans="1:3">
      <c r="A19" s="3094" t="s">
        <v>306</v>
      </c>
      <c r="B19" s="3094" t="s">
        <v>307</v>
      </c>
      <c r="C19" s="3095"/>
    </row>
    <row r="20" spans="1:3">
      <c r="A20" s="3094" t="s">
        <v>308</v>
      </c>
      <c r="B20" s="3094" t="s">
        <v>309</v>
      </c>
      <c r="C20" s="3095"/>
    </row>
    <row r="21" spans="1:3">
      <c r="A21" s="3094" t="s">
        <v>260</v>
      </c>
      <c r="B21" s="3094" t="s">
        <v>310</v>
      </c>
      <c r="C21" s="3095"/>
    </row>
    <row r="22" spans="1:3">
      <c r="A22" s="3094" t="s">
        <v>311</v>
      </c>
      <c r="B22" s="3226" t="s">
        <v>2642</v>
      </c>
      <c r="C22" s="3095"/>
    </row>
    <row r="23" spans="1:3">
      <c r="A23" s="3094" t="s">
        <v>312</v>
      </c>
      <c r="B23" s="3094" t="s">
        <v>307</v>
      </c>
      <c r="C23" s="3095"/>
    </row>
    <row r="24" spans="1:3">
      <c r="A24" s="3094" t="s">
        <v>313</v>
      </c>
      <c r="B24" s="3094" t="s">
        <v>307</v>
      </c>
      <c r="C24" s="3095"/>
    </row>
    <row r="25" spans="1:3">
      <c r="A25" s="3094" t="s">
        <v>314</v>
      </c>
      <c r="B25" s="3094" t="s">
        <v>307</v>
      </c>
      <c r="C25" s="3095"/>
    </row>
    <row r="26" spans="1:3">
      <c r="A26" s="3094" t="s">
        <v>315</v>
      </c>
      <c r="B26" s="3094" t="s">
        <v>307</v>
      </c>
      <c r="C26" s="3095"/>
    </row>
    <row r="27" spans="1:3">
      <c r="A27" s="3094" t="s">
        <v>307</v>
      </c>
      <c r="B27" s="3094" t="s">
        <v>307</v>
      </c>
      <c r="C27" s="3095"/>
    </row>
    <row r="28" spans="1:3">
      <c r="A28" s="3094" t="s">
        <v>307</v>
      </c>
      <c r="B28" s="3094" t="s">
        <v>307</v>
      </c>
      <c r="C28" s="3095"/>
    </row>
    <row r="29" spans="1:3">
      <c r="A29" s="3094" t="s">
        <v>307</v>
      </c>
      <c r="B29" s="3094" t="s">
        <v>307</v>
      </c>
      <c r="C29" s="3095"/>
    </row>
    <row r="30" spans="1:3">
      <c r="A30" s="3094" t="s">
        <v>307</v>
      </c>
      <c r="B30" s="3094" t="s">
        <v>307</v>
      </c>
      <c r="C30" s="3095"/>
    </row>
    <row r="31" spans="1:3">
      <c r="A31" s="3094" t="s">
        <v>307</v>
      </c>
      <c r="B31" s="3094" t="s">
        <v>307</v>
      </c>
      <c r="C31" s="3095"/>
    </row>
    <row r="32" spans="1:3">
      <c r="A32" s="3094" t="s">
        <v>307</v>
      </c>
      <c r="B32" s="3094" t="s">
        <v>307</v>
      </c>
      <c r="C32" s="3095"/>
    </row>
    <row r="33" spans="1:3">
      <c r="A33" s="3094" t="s">
        <v>307</v>
      </c>
      <c r="B33" s="3094" t="s">
        <v>307</v>
      </c>
      <c r="C33" s="3095"/>
    </row>
    <row r="34" spans="1:3">
      <c r="A34" s="3094" t="s">
        <v>307</v>
      </c>
      <c r="B34" s="3094" t="s">
        <v>307</v>
      </c>
      <c r="C34" s="3095"/>
    </row>
    <row r="35" spans="1:3">
      <c r="A35" s="3094" t="s">
        <v>307</v>
      </c>
      <c r="B35" s="3094" t="s">
        <v>307</v>
      </c>
      <c r="C35" s="3095"/>
    </row>
    <row r="36" spans="1:3">
      <c r="A36" s="3094" t="s">
        <v>307</v>
      </c>
      <c r="B36" s="3094" t="s">
        <v>307</v>
      </c>
      <c r="C36" s="3095"/>
    </row>
    <row r="37" spans="1:3">
      <c r="A37" s="3094" t="s">
        <v>307</v>
      </c>
      <c r="B37" s="3094" t="s">
        <v>307</v>
      </c>
      <c r="C37" s="3095"/>
    </row>
    <row r="38" spans="1:3">
      <c r="A38" s="3094" t="s">
        <v>307</v>
      </c>
      <c r="B38" s="3094" t="s">
        <v>307</v>
      </c>
      <c r="C38" s="3095"/>
    </row>
    <row r="39" spans="1:3">
      <c r="A39" s="3094" t="s">
        <v>307</v>
      </c>
      <c r="B39" s="3094" t="s">
        <v>307</v>
      </c>
      <c r="C39" s="3095"/>
    </row>
    <row r="40" spans="1:3">
      <c r="A40" s="3094" t="s">
        <v>307</v>
      </c>
      <c r="B40" s="3094" t="s">
        <v>307</v>
      </c>
      <c r="C40" s="3095"/>
    </row>
    <row r="41" spans="1:3">
      <c r="A41" s="3094" t="s">
        <v>307</v>
      </c>
      <c r="B41" s="3094" t="s">
        <v>307</v>
      </c>
      <c r="C41" s="3095"/>
    </row>
    <row r="42" spans="1:3">
      <c r="A42" s="3094" t="s">
        <v>307</v>
      </c>
      <c r="B42" s="3094" t="s">
        <v>307</v>
      </c>
      <c r="C42" s="3095"/>
    </row>
    <row r="43" spans="1:3">
      <c r="A43" s="3094" t="s">
        <v>307</v>
      </c>
      <c r="B43" s="3094" t="s">
        <v>307</v>
      </c>
      <c r="C43" s="3095"/>
    </row>
    <row r="44" spans="1:3">
      <c r="A44" s="3094" t="s">
        <v>307</v>
      </c>
      <c r="B44" s="3094" t="s">
        <v>307</v>
      </c>
      <c r="C44" s="3095"/>
    </row>
    <row r="45" spans="1:3">
      <c r="A45" s="3094" t="s">
        <v>307</v>
      </c>
      <c r="B45" s="3094" t="s">
        <v>307</v>
      </c>
      <c r="C45" s="3095"/>
    </row>
    <row r="46" spans="1:3">
      <c r="A46" s="3094" t="s">
        <v>307</v>
      </c>
      <c r="B46" s="3094" t="s">
        <v>307</v>
      </c>
      <c r="C46" s="3095"/>
    </row>
    <row r="47" spans="1:3">
      <c r="A47" s="3094" t="s">
        <v>307</v>
      </c>
      <c r="B47" s="3094" t="s">
        <v>307</v>
      </c>
      <c r="C47" s="3095"/>
    </row>
    <row r="48" spans="1:3">
      <c r="A48" s="3094" t="s">
        <v>307</v>
      </c>
      <c r="B48" s="3094" t="s">
        <v>307</v>
      </c>
      <c r="C48" s="3095"/>
    </row>
    <row r="49" spans="1:4">
      <c r="A49" s="3094" t="s">
        <v>307</v>
      </c>
      <c r="B49" s="3094" t="s">
        <v>307</v>
      </c>
      <c r="C49" s="3095"/>
    </row>
    <row r="50" spans="1:4">
      <c r="A50" s="3094" t="s">
        <v>307</v>
      </c>
      <c r="B50" s="3094" t="s">
        <v>307</v>
      </c>
      <c r="C50" s="3095"/>
    </row>
    <row r="51" spans="1:4">
      <c r="A51" s="3099" t="s">
        <v>316</v>
      </c>
      <c r="B51" s="31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格林彩虹假肢矫形器技术有限公司拟使用北京市通州区口子村东1号院72号楼-1至3层101房地产作为抵押担保物，向办理贷款手续。特委托北京康正宏基房地产评估有限公司对上述抵押物进行评估。本次评估为确定房地产抵押贷款额度提供参考依据而评估房地产抵押价值。</v>
      </c>
      <c r="D51" s="3100" t="s">
        <v>317</v>
      </c>
    </row>
    <row r="52" spans="1:4">
      <c r="A52" s="3099" t="s">
        <v>318</v>
      </c>
      <c r="B52" s="3099" t="s">
        <v>319</v>
      </c>
      <c r="C52" s="3088" t="s">
        <v>320</v>
      </c>
      <c r="D52" s="3088" t="s">
        <v>321</v>
      </c>
    </row>
    <row r="53" spans="1:4">
      <c r="A53" s="3275" t="s">
        <v>322</v>
      </c>
      <c r="B53" s="3100" t="s">
        <v>323</v>
      </c>
      <c r="C53" s="30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3100" t="s">
        <v>324</v>
      </c>
      <c r="C54" s="3088" t="s">
        <v>325</v>
      </c>
    </row>
    <row r="55" spans="1:4">
      <c r="A55" s="3275"/>
      <c r="B55" s="3100" t="s">
        <v>326</v>
      </c>
      <c r="C55" s="3088" t="s">
        <v>327</v>
      </c>
    </row>
    <row r="56" spans="1:4">
      <c r="A56" s="3275"/>
      <c r="B56" s="3100" t="s">
        <v>328</v>
      </c>
      <c r="C56" s="3088" t="s">
        <v>329</v>
      </c>
    </row>
    <row r="57" spans="1:4">
      <c r="A57" s="3275"/>
      <c r="B57" s="3100" t="s">
        <v>330</v>
      </c>
      <c r="C57" s="3088" t="s">
        <v>331</v>
      </c>
    </row>
    <row r="58" spans="1:4">
      <c r="A58" s="3101"/>
      <c r="B58" s="3088"/>
    </row>
    <row r="59" spans="1:4">
      <c r="A59" s="3101"/>
      <c r="B59" s="3088"/>
    </row>
    <row r="60" spans="1:4">
      <c r="A60" s="3101"/>
      <c r="B60" s="3088"/>
    </row>
    <row r="61" spans="1:4">
      <c r="A61" s="3101"/>
      <c r="B61" s="3088"/>
    </row>
    <row r="62" spans="1:4">
      <c r="A62" s="3101"/>
      <c r="B62" s="3088"/>
    </row>
    <row r="63" spans="1:4">
      <c r="A63" s="3101"/>
      <c r="B63" s="3088"/>
    </row>
    <row r="64" spans="1:4">
      <c r="A64" s="3101"/>
      <c r="B64" s="3088"/>
    </row>
    <row r="65" spans="1:2">
      <c r="A65" s="3101"/>
      <c r="B65" s="3088"/>
    </row>
    <row r="66" spans="1:2">
      <c r="A66" s="3101"/>
      <c r="B66" s="3088"/>
    </row>
    <row r="67" spans="1:2">
      <c r="A67" s="3101"/>
      <c r="B67" s="3088"/>
    </row>
    <row r="68" spans="1:2">
      <c r="A68" s="3101"/>
      <c r="B68" s="3088"/>
    </row>
    <row r="69" spans="1:2">
      <c r="A69" s="3101"/>
      <c r="B69" s="3088"/>
    </row>
    <row r="70" spans="1:2">
      <c r="A70" s="3101"/>
      <c r="B70" s="3088"/>
    </row>
    <row r="71" spans="1:2">
      <c r="A71" s="3101"/>
      <c r="B71" s="3088"/>
    </row>
    <row r="72" spans="1:2">
      <c r="A72" s="3101"/>
      <c r="B72" s="3088"/>
    </row>
    <row r="73" spans="1:2">
      <c r="A73" s="3101"/>
      <c r="B73" s="3088"/>
    </row>
    <row r="74" spans="1:2">
      <c r="A74" s="3101"/>
      <c r="B74" s="3088"/>
    </row>
    <row r="75" spans="1:2">
      <c r="A75" s="3101"/>
      <c r="B75" s="3088"/>
    </row>
    <row r="76" spans="1:2">
      <c r="A76" s="3101"/>
      <c r="B76" s="3088"/>
    </row>
    <row r="77" spans="1:2">
      <c r="A77" s="3101"/>
      <c r="B77" s="3088"/>
    </row>
    <row r="78" spans="1:2">
      <c r="A78" s="3101"/>
      <c r="B78" s="3088"/>
    </row>
    <row r="79" spans="1:2">
      <c r="A79" s="3101"/>
      <c r="B79" s="3088"/>
    </row>
    <row r="80" spans="1:2">
      <c r="A80" s="3101"/>
      <c r="B80" s="3088"/>
    </row>
    <row r="81" spans="1:2">
      <c r="A81" s="3101"/>
      <c r="B81" s="3088"/>
    </row>
    <row r="82" spans="1:2">
      <c r="A82" s="3101"/>
      <c r="B82" s="3088"/>
    </row>
    <row r="83" spans="1:2">
      <c r="A83" s="3101"/>
      <c r="B83" s="3088"/>
    </row>
    <row r="84" spans="1:2">
      <c r="A84" s="3101"/>
      <c r="B84" s="3088"/>
    </row>
    <row r="85" spans="1:2">
      <c r="A85" s="3101"/>
      <c r="B85" s="3088"/>
    </row>
    <row r="86" spans="1:2">
      <c r="A86" s="3101"/>
      <c r="B86" s="3088"/>
    </row>
    <row r="87" spans="1:2">
      <c r="A87" s="3101"/>
      <c r="B87" s="3088"/>
    </row>
    <row r="88" spans="1:2">
      <c r="A88" s="3101"/>
      <c r="B88" s="3088"/>
    </row>
    <row r="89" spans="1:2">
      <c r="A89" s="3101"/>
      <c r="B89" s="3088"/>
    </row>
    <row r="90" spans="1:2">
      <c r="A90" s="3101"/>
      <c r="B90" s="3088"/>
    </row>
    <row r="91" spans="1:2">
      <c r="A91" s="3101"/>
      <c r="B91" s="3088"/>
    </row>
    <row r="92" spans="1:2">
      <c r="A92" s="3101"/>
      <c r="B92" s="3088"/>
    </row>
    <row r="93" spans="1:2">
      <c r="A93" s="3101"/>
      <c r="B93" s="3088"/>
    </row>
    <row r="94" spans="1:2">
      <c r="A94" s="3101"/>
      <c r="B94" s="3088"/>
    </row>
    <row r="95" spans="1:2">
      <c r="A95" s="3101"/>
      <c r="B95" s="3088"/>
    </row>
    <row r="96" spans="1:2">
      <c r="A96" s="3101"/>
      <c r="B96" s="3088"/>
    </row>
    <row r="97" spans="1:2">
      <c r="A97" s="3101"/>
      <c r="B97" s="3088"/>
    </row>
    <row r="98" spans="1:2">
      <c r="A98" s="3101"/>
      <c r="B98" s="3088"/>
    </row>
    <row r="99" spans="1:2">
      <c r="A99" s="3101"/>
      <c r="B99" s="3088"/>
    </row>
    <row r="100" spans="1:2">
      <c r="A100" s="3101"/>
      <c r="B100" s="3088"/>
    </row>
    <row r="101" spans="1:2">
      <c r="A101" s="3101"/>
      <c r="B101" s="3088"/>
    </row>
    <row r="102" spans="1:2">
      <c r="A102" s="3101"/>
      <c r="B102" s="3088"/>
    </row>
    <row r="103" spans="1:2">
      <c r="A103" s="3101"/>
      <c r="B103" s="3088"/>
    </row>
    <row r="104" spans="1:2">
      <c r="A104" s="3101"/>
      <c r="B104" s="3088"/>
    </row>
    <row r="105" spans="1:2">
      <c r="A105" s="3101"/>
      <c r="B105" s="3088"/>
    </row>
    <row r="106" spans="1:2">
      <c r="A106" s="3101"/>
      <c r="B106" s="3088"/>
    </row>
    <row r="107" spans="1:2">
      <c r="A107" s="3101"/>
      <c r="B107" s="3088"/>
    </row>
    <row r="108" spans="1:2">
      <c r="A108" s="3101"/>
      <c r="B108" s="3088"/>
    </row>
    <row r="109" spans="1:2">
      <c r="A109" s="3101"/>
      <c r="B109" s="3088"/>
    </row>
    <row r="110" spans="1:2">
      <c r="A110" s="3101"/>
      <c r="B110" s="3088"/>
    </row>
    <row r="111" spans="1:2">
      <c r="A111" s="3101"/>
      <c r="B111" s="3088"/>
    </row>
    <row r="112" spans="1:2">
      <c r="A112" s="3101"/>
      <c r="B112" s="3088"/>
    </row>
    <row r="113" spans="1:2">
      <c r="A113" s="3101"/>
      <c r="B113" s="3088"/>
    </row>
    <row r="114" spans="1:2">
      <c r="A114" s="3101"/>
      <c r="B114" s="3088"/>
    </row>
    <row r="115" spans="1:2">
      <c r="A115" s="3101"/>
      <c r="B115" s="3088"/>
    </row>
    <row r="116" spans="1:2">
      <c r="A116" s="3101"/>
      <c r="B116" s="3088"/>
    </row>
    <row r="117" spans="1:2">
      <c r="A117" s="3101"/>
      <c r="B117" s="3088"/>
    </row>
    <row r="118" spans="1:2">
      <c r="A118" s="3101"/>
      <c r="B118" s="3088"/>
    </row>
    <row r="119" spans="1:2">
      <c r="A119" s="3101"/>
      <c r="B119" s="3088"/>
    </row>
    <row r="120" spans="1:2">
      <c r="A120" s="3101"/>
      <c r="B120" s="3088"/>
    </row>
    <row r="121" spans="1:2">
      <c r="A121" s="3101"/>
      <c r="B121" s="3088"/>
    </row>
    <row r="122" spans="1:2">
      <c r="A122" s="3101"/>
      <c r="B122" s="3088"/>
    </row>
    <row r="123" spans="1:2">
      <c r="A123" s="3101"/>
      <c r="B123" s="3088"/>
    </row>
    <row r="124" spans="1:2">
      <c r="A124" s="3101"/>
      <c r="B124" s="3088"/>
    </row>
    <row r="125" spans="1:2">
      <c r="A125" s="3101"/>
      <c r="B125" s="3088"/>
    </row>
    <row r="126" spans="1:2">
      <c r="A126" s="3101"/>
      <c r="B126" s="3088"/>
    </row>
    <row r="127" spans="1:2">
      <c r="A127" s="3101"/>
      <c r="B127" s="3088"/>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90" zoomScaleNormal="100" workbookViewId="0">
      <selection activeCell="F10" sqref="F10"/>
    </sheetView>
  </sheetViews>
  <sheetFormatPr defaultColWidth="10" defaultRowHeight="12.75"/>
  <cols>
    <col min="1" max="1" width="16.875" style="2575" customWidth="1"/>
    <col min="2" max="2" width="10" style="2575" customWidth="1"/>
    <col min="3" max="3" width="11.5" style="2575" customWidth="1"/>
    <col min="4" max="4" width="10" style="2575" customWidth="1"/>
    <col min="5" max="5" width="12.625" style="2575" customWidth="1"/>
    <col min="6" max="6" width="10" style="2575" customWidth="1"/>
    <col min="7" max="7" width="10.75" style="2575" customWidth="1"/>
    <col min="8" max="8" width="10" style="2575" customWidth="1"/>
    <col min="9" max="9" width="11.125" style="2861" customWidth="1"/>
    <col min="10" max="10" width="10" style="2770" customWidth="1"/>
    <col min="11" max="11" width="10" style="2958" customWidth="1"/>
    <col min="12" max="13" width="10" style="2959" customWidth="1"/>
    <col min="14" max="14" width="10" style="2770" customWidth="1"/>
    <col min="15" max="15" width="10" style="234" customWidth="1"/>
    <col min="16" max="17" width="10" style="2770"/>
    <col min="18" max="18" width="10" style="2770" customWidth="1"/>
    <col min="19" max="30" width="10" style="2770"/>
    <col min="31" max="16384" width="10" style="2575"/>
  </cols>
  <sheetData>
    <row r="1" spans="1:28">
      <c r="A1" s="2960" t="s">
        <v>332</v>
      </c>
      <c r="B1" s="3289" t="str">
        <f>IF(B10="北京市","北京市",C10)&amp;F10&amp;IF(结果表!G1="在建","出让国有建设用地使用权及在建建筑物",IF(结果表!G1="土地","出让国有建设用地使用权",))&amp;B9&amp;"预评估"</f>
        <v>北京市通州区口子村东1号院72号楼-1至3层101房地产抵押价值预评估</v>
      </c>
      <c r="C1" s="3290"/>
      <c r="D1" s="3290"/>
      <c r="E1" s="3290"/>
      <c r="F1" s="3290"/>
      <c r="G1" s="3290"/>
      <c r="H1" s="3290"/>
      <c r="I1" s="3291"/>
      <c r="J1" s="2525"/>
      <c r="K1" s="3057"/>
      <c r="L1" s="3058"/>
      <c r="M1" s="3058"/>
      <c r="N1" s="3000"/>
      <c r="O1" s="2869"/>
      <c r="P1" s="3000"/>
      <c r="Q1" s="3000"/>
      <c r="R1" s="3000"/>
      <c r="S1" s="2576" t="str">
        <f>IF(B10="北京市","北京市",C10)&amp;F10&amp;IF(结果表!G1="在建","出让国有建设用地使用权及在建建筑物房地产抵押价值",IF(结果表!G1="土地","出让国有建设用地使用权抵押价值",B9))</f>
        <v>北京市通州区口子村东1号院72号楼-1至3层101房地产抵押价值</v>
      </c>
      <c r="T1" s="2575"/>
      <c r="U1" s="2575"/>
      <c r="V1" s="2575"/>
      <c r="W1" s="2575"/>
      <c r="X1" s="2575"/>
      <c r="Y1" s="2575"/>
      <c r="Z1" s="2575"/>
      <c r="AA1" s="2575"/>
      <c r="AB1" s="2575"/>
    </row>
    <row r="2" spans="1:28">
      <c r="A2" s="2961" t="s">
        <v>333</v>
      </c>
      <c r="B2" s="2962"/>
      <c r="C2" s="2963"/>
      <c r="D2" s="2964"/>
      <c r="E2" s="2965"/>
      <c r="F2" s="2965"/>
      <c r="G2" s="2966"/>
      <c r="H2" s="2966"/>
      <c r="I2" s="2966"/>
      <c r="J2" s="2525"/>
      <c r="K2" s="3057"/>
      <c r="L2" s="3058"/>
      <c r="M2" s="3058"/>
      <c r="N2" s="3000"/>
      <c r="O2" s="2869"/>
      <c r="P2" s="3000"/>
      <c r="Q2" s="3000"/>
      <c r="R2" s="3000"/>
      <c r="S2" s="2576" t="str">
        <f>IF(B10="北京市","北京市",C10)&amp;F10&amp;IF(结果表!G1="在建","出让国有建设用地使用权及在建建筑物房地产",IF(结果表!G1="土地","出让国有建设用地使用权","房地产"))</f>
        <v>北京市通州区口子村东1号院72号楼-1至3层101房地产</v>
      </c>
      <c r="T2" s="2575"/>
      <c r="U2" s="2575"/>
      <c r="V2" s="2575"/>
      <c r="W2" s="2575"/>
      <c r="X2" s="2575"/>
      <c r="Y2" s="2575"/>
      <c r="Z2" s="2575"/>
      <c r="AA2" s="2575"/>
      <c r="AB2" s="2575"/>
    </row>
    <row r="3" spans="1:28">
      <c r="A3" s="1787" t="s">
        <v>334</v>
      </c>
      <c r="B3" s="2967">
        <v>44725</v>
      </c>
      <c r="C3" s="2968" t="s">
        <v>335</v>
      </c>
      <c r="D3" s="2967">
        <f>B3</f>
        <v>44725</v>
      </c>
      <c r="E3" s="2966"/>
      <c r="F3" s="2966"/>
      <c r="G3" s="2966"/>
      <c r="H3" s="2966"/>
      <c r="I3" s="2966"/>
      <c r="J3" s="2525"/>
      <c r="K3" s="3057"/>
      <c r="L3" s="3058"/>
      <c r="M3" s="3058"/>
      <c r="N3" s="3000"/>
      <c r="O3" s="2869"/>
      <c r="P3" s="3000"/>
      <c r="Q3" s="3000"/>
      <c r="R3" s="3000"/>
      <c r="S3" s="2576"/>
      <c r="T3" s="2575"/>
      <c r="U3" s="2575"/>
      <c r="V3" s="2575"/>
      <c r="W3" s="2575"/>
      <c r="X3" s="2575"/>
      <c r="Y3" s="2575"/>
      <c r="Z3" s="2575"/>
      <c r="AA3" s="2575"/>
      <c r="AB3" s="2575"/>
    </row>
    <row r="4" spans="1:28">
      <c r="A4" s="1809" t="s">
        <v>336</v>
      </c>
      <c r="B4" s="2969"/>
      <c r="C4" s="2970">
        <f>SUMIF(注册房地产估价师,B4,估价师及机构信息!B3:B24)</f>
        <v>0</v>
      </c>
      <c r="D4" s="2969"/>
      <c r="E4" s="2971">
        <f>SUMIF(注册房地产估价师,D4,估价师及机构信息!B3:B24)</f>
        <v>0</v>
      </c>
      <c r="F4" s="2969"/>
      <c r="G4" s="2971">
        <f>SUMIF(注册房地产估价师,F4,估价师及机构信息!B3:B24)</f>
        <v>0</v>
      </c>
      <c r="H4" s="2969"/>
      <c r="I4" s="2971">
        <f>SUMIF(注册房地产估价师,H4,估价师及机构信息!B3:B24)</f>
        <v>0</v>
      </c>
      <c r="J4" s="2559"/>
      <c r="K4" s="3059" t="str">
        <f>CONCATENATE(B4,"（注册号：",C4,")、",D4,"（注册号：",E4,")")</f>
        <v>（注册号：0)、（注册号：0)</v>
      </c>
      <c r="L4" s="3058"/>
      <c r="M4" s="3058"/>
      <c r="N4" s="3000"/>
      <c r="O4" s="2869"/>
      <c r="P4" s="3000"/>
      <c r="Q4" s="3000"/>
      <c r="R4" s="3000"/>
      <c r="S4" s="2576"/>
      <c r="T4" s="2575"/>
      <c r="U4" s="2575"/>
      <c r="V4" s="2575"/>
      <c r="W4" s="2575"/>
      <c r="X4" s="2575"/>
      <c r="Y4" s="2575"/>
      <c r="Z4" s="2575"/>
      <c r="AA4" s="2575"/>
      <c r="AB4" s="2575"/>
    </row>
    <row r="5" spans="1:28">
      <c r="A5" s="2972" t="s">
        <v>337</v>
      </c>
      <c r="B5" s="2973"/>
      <c r="C5" s="2974"/>
      <c r="D5" s="2975"/>
      <c r="E5" s="2680"/>
      <c r="F5" s="2680"/>
      <c r="G5" s="2680"/>
      <c r="H5" s="2680"/>
      <c r="I5" s="2680"/>
      <c r="J5" s="2559"/>
      <c r="K5" s="3059" t="str">
        <f>IF(F4="——","",IF(H4="——",F4&amp;"（注册号："&amp;G4&amp;")",CONCATENATE(F4,"（注册号：",G4,")、",H4,"（注册号：",I4,")")))</f>
        <v>（注册号：0)、（注册号：0)</v>
      </c>
      <c r="L5" s="3058"/>
      <c r="M5" s="3058"/>
      <c r="N5" s="3000"/>
      <c r="O5" s="2869"/>
      <c r="P5" s="3000"/>
      <c r="Q5" s="3000"/>
      <c r="R5" s="3000"/>
      <c r="S5" s="2575"/>
      <c r="T5" s="2575"/>
      <c r="U5" s="2575"/>
      <c r="V5" s="2575"/>
      <c r="W5" s="2575"/>
      <c r="X5" s="2575"/>
      <c r="Y5" s="2575"/>
      <c r="Z5" s="2575"/>
      <c r="AA5" s="2575"/>
      <c r="AB5" s="2575"/>
    </row>
    <row r="6" spans="1:28">
      <c r="A6" s="2976" t="s">
        <v>338</v>
      </c>
      <c r="B6" s="2977"/>
      <c r="C6" s="2978"/>
      <c r="D6" s="2979"/>
      <c r="E6" s="2965"/>
      <c r="F6" s="2680"/>
      <c r="G6" s="2680"/>
      <c r="H6" s="2680"/>
      <c r="I6" s="2680"/>
      <c r="J6" s="2559"/>
      <c r="K6" s="3060" t="str">
        <f>IF(COUNTIF(B6,"*上海银行*"),"上海银行","")</f>
        <v/>
      </c>
      <c r="L6" s="3061"/>
      <c r="M6" s="3061"/>
      <c r="N6" s="2559"/>
      <c r="O6" s="3062"/>
      <c r="P6" s="2559"/>
      <c r="Q6" s="2559"/>
      <c r="R6" s="2559"/>
    </row>
    <row r="7" spans="1:28" ht="13.5" customHeight="1">
      <c r="A7" s="2976" t="s">
        <v>339</v>
      </c>
      <c r="B7" s="3228" t="s">
        <v>2648</v>
      </c>
      <c r="C7" s="2978"/>
      <c r="D7" s="2979"/>
      <c r="E7" s="2965"/>
      <c r="F7" s="2680"/>
      <c r="G7" s="2680"/>
      <c r="H7" s="2680"/>
      <c r="I7" s="2680"/>
      <c r="J7" s="2559"/>
      <c r="K7" s="3063"/>
      <c r="L7" s="3061"/>
      <c r="M7" s="3061"/>
      <c r="N7" s="2559"/>
      <c r="O7" s="3062"/>
      <c r="P7" s="2559"/>
      <c r="Q7" s="2559"/>
      <c r="R7" s="2559"/>
    </row>
    <row r="8" spans="1:28">
      <c r="A8" s="2980" t="s">
        <v>340</v>
      </c>
      <c r="B8" s="2981" t="s">
        <v>319</v>
      </c>
      <c r="C8" s="2982"/>
      <c r="D8" s="3304" t="s">
        <v>341</v>
      </c>
      <c r="E8" s="2983" t="s">
        <v>324</v>
      </c>
      <c r="F8" s="2984"/>
      <c r="G8" s="2966"/>
      <c r="H8" s="2966"/>
      <c r="I8" s="2966"/>
      <c r="J8" s="2559"/>
      <c r="K8" s="3064"/>
      <c r="L8" s="3061"/>
      <c r="M8" s="3061"/>
      <c r="N8" s="2559"/>
      <c r="O8" s="3062"/>
      <c r="P8" s="2559"/>
      <c r="Q8" s="2559"/>
      <c r="R8" s="2559"/>
    </row>
    <row r="9" spans="1:28">
      <c r="A9" s="2985" t="s">
        <v>342</v>
      </c>
      <c r="B9" s="2986" t="s">
        <v>324</v>
      </c>
      <c r="C9" s="2987"/>
      <c r="D9" s="3305"/>
      <c r="E9" s="2986" t="s">
        <v>330</v>
      </c>
      <c r="F9" s="2988"/>
      <c r="G9" s="2989"/>
      <c r="H9" s="2989"/>
      <c r="I9" s="2989"/>
      <c r="J9" s="2559"/>
      <c r="K9" s="3063"/>
      <c r="L9" s="3061"/>
      <c r="M9" s="3061"/>
      <c r="N9" s="2559"/>
      <c r="O9" s="3062"/>
      <c r="P9" s="2559"/>
      <c r="Q9" s="2559"/>
      <c r="R9" s="2559"/>
    </row>
    <row r="10" spans="1:28">
      <c r="A10" s="2990" t="s">
        <v>343</v>
      </c>
      <c r="B10" s="2991" t="s">
        <v>2649</v>
      </c>
      <c r="C10" s="2992"/>
      <c r="D10" s="2975"/>
      <c r="E10" s="2993" t="s">
        <v>344</v>
      </c>
      <c r="F10" s="3229" t="s">
        <v>2668</v>
      </c>
      <c r="G10" s="2994"/>
      <c r="H10" s="2995"/>
      <c r="I10" s="3065"/>
      <c r="J10" s="2559"/>
      <c r="K10" s="3063"/>
      <c r="L10" s="3061"/>
      <c r="M10" s="3061"/>
      <c r="N10" s="2559"/>
      <c r="O10" s="3062"/>
      <c r="P10" s="2559"/>
      <c r="Q10" s="2559"/>
      <c r="R10" s="2559"/>
    </row>
    <row r="11" spans="1:28">
      <c r="A11" s="2996" t="s">
        <v>345</v>
      </c>
      <c r="B11" s="2997" t="s">
        <v>346</v>
      </c>
      <c r="C11" s="2998"/>
      <c r="D11" s="2999"/>
      <c r="E11" s="3000"/>
      <c r="F11" s="3000"/>
      <c r="G11" s="3000"/>
      <c r="H11" s="3000"/>
      <c r="I11" s="3000"/>
      <c r="J11" s="2559"/>
      <c r="K11" s="3063"/>
      <c r="L11" s="3061"/>
      <c r="M11" s="3061"/>
      <c r="N11" s="2559"/>
      <c r="O11" s="3062"/>
      <c r="P11" s="2559"/>
      <c r="Q11" s="2559"/>
      <c r="R11" s="2559"/>
    </row>
    <row r="12" spans="1:28">
      <c r="A12" s="3001" t="s">
        <v>347</v>
      </c>
      <c r="B12" s="2997" t="s">
        <v>348</v>
      </c>
      <c r="C12" s="1828" t="s">
        <v>349</v>
      </c>
      <c r="D12" s="3002" t="s">
        <v>350</v>
      </c>
      <c r="E12" s="3002" t="s">
        <v>351</v>
      </c>
      <c r="F12" s="3002" t="s">
        <v>352</v>
      </c>
      <c r="G12" s="3002" t="s">
        <v>353</v>
      </c>
      <c r="H12" s="3002" t="s">
        <v>354</v>
      </c>
      <c r="I12" s="3002" t="s">
        <v>355</v>
      </c>
      <c r="J12" s="2559"/>
      <c r="K12" s="3063"/>
      <c r="L12" s="3061"/>
      <c r="M12" s="3061"/>
      <c r="N12" s="2559"/>
      <c r="O12" s="3062"/>
      <c r="P12" s="2559"/>
      <c r="Q12" s="2559"/>
      <c r="R12" s="2559"/>
    </row>
    <row r="13" spans="1:28">
      <c r="A13" s="1814"/>
      <c r="B13" s="3003"/>
      <c r="C13" s="3004" t="s">
        <v>356</v>
      </c>
      <c r="D13" s="3005"/>
      <c r="E13" s="3005"/>
      <c r="F13" s="3005"/>
      <c r="G13" s="3005"/>
      <c r="H13" s="3005"/>
      <c r="I13" s="3005">
        <v>56590</v>
      </c>
      <c r="J13" s="2559"/>
      <c r="K13" s="3063"/>
      <c r="L13" s="3061"/>
      <c r="M13" s="3061"/>
      <c r="N13" s="2559"/>
      <c r="O13" s="3062"/>
      <c r="P13" s="2559"/>
      <c r="Q13" s="2559"/>
      <c r="R13" s="2559"/>
    </row>
    <row r="14" spans="1:28">
      <c r="A14" s="1814"/>
      <c r="B14" s="3003"/>
      <c r="C14" s="3004" t="s">
        <v>357</v>
      </c>
      <c r="D14" s="3006"/>
      <c r="E14" s="3006"/>
      <c r="F14" s="3006"/>
      <c r="G14" s="3006">
        <v>50</v>
      </c>
      <c r="H14" s="3006"/>
      <c r="I14" s="3006">
        <v>50</v>
      </c>
      <c r="J14" s="2559"/>
      <c r="K14" s="3066"/>
      <c r="L14" s="3061"/>
      <c r="M14" s="3061"/>
      <c r="N14" s="2559"/>
      <c r="O14" s="3062"/>
      <c r="P14" s="2559"/>
      <c r="Q14" s="2559"/>
      <c r="R14" s="2559"/>
    </row>
    <row r="15" spans="1:28">
      <c r="A15" s="1821"/>
      <c r="B15" s="3007"/>
      <c r="C15" s="3008" t="s">
        <v>358</v>
      </c>
      <c r="D15" s="3009" t="str">
        <f>IF(B12="出让",IF(D13="","",ROUNDDOWN(MIN((D13-$D$3)/365,D14),2)),D14)</f>
        <v/>
      </c>
      <c r="E15" s="3009" t="str">
        <f>IF(B12="出让",IF(E13="","",ROUNDDOWN(MIN((E13-$D$3)/365,E14),2)),E14)</f>
        <v/>
      </c>
      <c r="F15" s="3009" t="str">
        <f>IF(B12="出让",IF(F13="","",ROUNDDOWN(MIN((F13-$D$3)/365,F14),2)),F14)</f>
        <v/>
      </c>
      <c r="G15" s="3009" t="str">
        <f>IF(B12="出让",IF(G13="","",ROUNDDOWN(MIN((G13-$D$3)/365,G14),2)),G14)</f>
        <v/>
      </c>
      <c r="H15" s="3009" t="str">
        <f>IF(B12="出让",IF(H13="","",ROUNDDOWN(MIN((H13-$D$3)/365,H14),2)),H14)</f>
        <v/>
      </c>
      <c r="I15" s="3009">
        <f>IF(B12="出让",IF(I13="","",ROUNDDOWN(MIN((I13-$D$3)/365,I14),2)),I14)</f>
        <v>32.5</v>
      </c>
      <c r="J15" s="2559"/>
      <c r="K15" s="3067"/>
      <c r="L15" s="3068"/>
      <c r="M15" s="3068"/>
      <c r="N15" s="2560"/>
      <c r="O15" s="3068"/>
      <c r="P15" s="2560"/>
      <c r="Q15" s="2559"/>
      <c r="R15" s="2559"/>
    </row>
    <row r="16" spans="1:28">
      <c r="A16" s="2993" t="s">
        <v>359</v>
      </c>
      <c r="B16" s="3292"/>
      <c r="C16" s="3293"/>
      <c r="D16" s="3294"/>
      <c r="E16" s="3010" t="s">
        <v>360</v>
      </c>
      <c r="F16" s="3295"/>
      <c r="G16" s="3296"/>
      <c r="H16" s="3296"/>
      <c r="I16" s="3297"/>
      <c r="J16" s="2559"/>
      <c r="K16" s="3067"/>
      <c r="L16" s="3068"/>
      <c r="M16" s="3068"/>
      <c r="N16" s="2560"/>
      <c r="O16" s="3068"/>
      <c r="P16" s="2560"/>
      <c r="Q16" s="2559"/>
      <c r="R16" s="2559"/>
    </row>
    <row r="17" spans="1:28">
      <c r="A17" s="1798" t="s">
        <v>361</v>
      </c>
      <c r="B17" s="1787" t="s">
        <v>362</v>
      </c>
      <c r="C17" s="296">
        <f>'数据-汇总表'!E3</f>
        <v>842.81</v>
      </c>
      <c r="D17" s="1841" t="s">
        <v>363</v>
      </c>
      <c r="E17" s="3298"/>
      <c r="F17" s="3299"/>
      <c r="G17" s="3299"/>
      <c r="H17" s="3299"/>
      <c r="I17" s="3300"/>
      <c r="J17" s="2559"/>
      <c r="K17" s="3069"/>
      <c r="L17" s="3068"/>
      <c r="M17" s="3068"/>
      <c r="N17" s="2560"/>
      <c r="O17" s="3068"/>
      <c r="P17" s="2560"/>
      <c r="Q17" s="2559"/>
      <c r="R17" s="2559"/>
      <c r="S17" s="2559"/>
      <c r="T17" s="2559"/>
      <c r="U17" s="2559"/>
      <c r="V17" s="2559"/>
    </row>
    <row r="18" spans="1:28" ht="24">
      <c r="A18" s="3011" t="s">
        <v>364</v>
      </c>
      <c r="B18" s="1809" t="s">
        <v>365</v>
      </c>
      <c r="C18" s="3012">
        <f>'数据-汇总表'!D3</f>
        <v>0</v>
      </c>
      <c r="D18" s="1834" t="s">
        <v>363</v>
      </c>
      <c r="E18" s="3301"/>
      <c r="F18" s="3302"/>
      <c r="G18" s="3302"/>
      <c r="H18" s="3302"/>
      <c r="I18" s="3303"/>
      <c r="J18" s="2559"/>
      <c r="K18" s="3069"/>
      <c r="L18" s="3068"/>
      <c r="M18" s="3068"/>
      <c r="N18" s="2560"/>
      <c r="O18" s="3068"/>
      <c r="P18" s="2560"/>
      <c r="Q18" s="2559"/>
      <c r="R18" s="2559"/>
      <c r="S18" s="2559"/>
      <c r="T18" s="2559"/>
      <c r="U18" s="2559"/>
      <c r="V18" s="2559"/>
    </row>
    <row r="19" spans="1:28" ht="38.25">
      <c r="A19" s="1851" t="s">
        <v>366</v>
      </c>
      <c r="B19" s="1791" t="s">
        <v>367</v>
      </c>
      <c r="C19" s="3013" t="s">
        <v>468</v>
      </c>
      <c r="D19" s="3014" t="s">
        <v>368</v>
      </c>
      <c r="E19" s="3015" t="s">
        <v>2650</v>
      </c>
      <c r="F19" s="3016" t="str">
        <f>IF(AND(C19="是",E19="否"),"是否提供他项权证或相关说明","")</f>
        <v>是否提供他项权证或相关说明</v>
      </c>
      <c r="G19" s="3017"/>
      <c r="H19" s="2680"/>
      <c r="I19" s="2680"/>
      <c r="J19" s="2559"/>
      <c r="K19" s="3063"/>
      <c r="L19" s="3061"/>
      <c r="M19" s="3061"/>
      <c r="N19" s="2560"/>
      <c r="O19" s="3068"/>
      <c r="P19" s="2560"/>
      <c r="Q19" s="2559"/>
      <c r="R19" s="2559"/>
      <c r="S19" s="2559"/>
      <c r="T19" s="2559"/>
      <c r="U19" s="2559"/>
      <c r="V19" s="2559"/>
    </row>
    <row r="20" spans="1:28">
      <c r="A20" s="3018" t="s">
        <v>369</v>
      </c>
      <c r="B20" s="3278" t="s">
        <v>370</v>
      </c>
      <c r="C20" s="3279"/>
      <c r="D20" s="3280" t="s">
        <v>371</v>
      </c>
      <c r="E20" s="3281"/>
      <c r="F20" s="3019" t="s">
        <v>372</v>
      </c>
      <c r="G20" s="2680"/>
      <c r="H20" s="2680"/>
      <c r="I20" s="2680"/>
      <c r="J20" s="2559"/>
      <c r="K20" s="3276" t="s">
        <v>373</v>
      </c>
      <c r="L20" s="1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58"/>
      <c r="N20" s="3070"/>
      <c r="O20" s="3071"/>
      <c r="P20" s="3070"/>
      <c r="Q20" s="3000"/>
      <c r="R20" s="3000"/>
      <c r="S20" s="3000"/>
      <c r="T20" s="3000"/>
      <c r="U20" s="3000"/>
      <c r="V20" s="3000"/>
      <c r="W20" s="2575"/>
      <c r="X20" s="2575"/>
      <c r="Y20" s="2575"/>
      <c r="Z20" s="2575"/>
      <c r="AA20" s="2575"/>
      <c r="AB20" s="2575"/>
    </row>
    <row r="21" spans="1:28" ht="24">
      <c r="A21" s="3018"/>
      <c r="B21" s="3020" t="s">
        <v>374</v>
      </c>
      <c r="C21" s="3021" t="s">
        <v>375</v>
      </c>
      <c r="D21" s="3022" t="s">
        <v>376</v>
      </c>
      <c r="E21" s="3023" t="s">
        <v>375</v>
      </c>
      <c r="F21" s="3024"/>
      <c r="G21" s="2680"/>
      <c r="H21" s="2680"/>
      <c r="I21" s="2680"/>
      <c r="J21" s="2559"/>
      <c r="K21" s="3276"/>
      <c r="L21" s="1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8"/>
      <c r="N21" s="3070"/>
      <c r="O21" s="3071"/>
      <c r="P21" s="3070"/>
      <c r="Q21" s="3000"/>
      <c r="R21" s="3000"/>
      <c r="S21" s="3000"/>
      <c r="T21" s="3000"/>
      <c r="U21" s="3000"/>
      <c r="V21" s="3000"/>
      <c r="W21" s="2575"/>
      <c r="X21" s="2575"/>
      <c r="Y21" s="2575"/>
      <c r="Z21" s="2575"/>
      <c r="AA21" s="2575"/>
      <c r="AB21" s="2575"/>
    </row>
    <row r="22" spans="1:28" ht="24">
      <c r="A22" s="3018"/>
      <c r="B22" s="3025" t="s">
        <v>377</v>
      </c>
      <c r="C22" s="3021" t="s">
        <v>378</v>
      </c>
      <c r="D22" s="2966"/>
      <c r="E22" s="2966"/>
      <c r="F22" s="2966"/>
      <c r="G22" s="2680"/>
      <c r="H22" s="2680"/>
      <c r="I22" s="2680"/>
      <c r="J22" s="2559"/>
      <c r="K22" s="3276"/>
      <c r="L22" s="1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8"/>
      <c r="N22" s="3070"/>
      <c r="O22" s="3071"/>
      <c r="P22" s="3070"/>
      <c r="Q22" s="3000"/>
      <c r="R22" s="3000"/>
      <c r="S22" s="3000"/>
      <c r="T22" s="3000"/>
      <c r="U22" s="3000"/>
      <c r="V22" s="3000"/>
      <c r="W22" s="2575"/>
      <c r="X22" s="2575"/>
      <c r="Y22" s="2575"/>
      <c r="Z22" s="2575"/>
      <c r="AA22" s="2575"/>
      <c r="AB22" s="2575"/>
    </row>
    <row r="23" spans="1:28">
      <c r="A23" s="3026" t="s">
        <v>379</v>
      </c>
      <c r="B23" s="2550" t="s">
        <v>380</v>
      </c>
      <c r="C23" s="3027"/>
      <c r="D23" s="3028" t="s">
        <v>380</v>
      </c>
      <c r="E23" s="3029"/>
      <c r="F23" s="2966"/>
      <c r="G23" s="2680"/>
      <c r="H23" s="2680"/>
      <c r="I23" s="2680"/>
      <c r="J23" s="2559"/>
      <c r="K23" s="3072"/>
      <c r="L23" s="1949"/>
      <c r="M23" s="3061"/>
      <c r="N23" s="2560"/>
      <c r="O23" s="3068"/>
      <c r="P23" s="2560"/>
      <c r="Q23" s="2559"/>
      <c r="R23" s="2559"/>
      <c r="S23" s="2559"/>
      <c r="T23" s="2559"/>
      <c r="U23" s="2559"/>
      <c r="V23" s="2559"/>
    </row>
    <row r="24" spans="1:28">
      <c r="A24" s="3026"/>
      <c r="B24" s="2550" t="s">
        <v>381</v>
      </c>
      <c r="C24" s="3030"/>
      <c r="D24" s="3026" t="s">
        <v>381</v>
      </c>
      <c r="E24" s="3031"/>
      <c r="F24" s="2966"/>
      <c r="G24" s="2680"/>
      <c r="H24" s="2680"/>
      <c r="I24" s="2680"/>
      <c r="J24" s="2559"/>
      <c r="K24" s="3072"/>
      <c r="L24" s="1949"/>
      <c r="M24" s="3061"/>
      <c r="N24" s="2560"/>
      <c r="O24" s="3068"/>
      <c r="P24" s="2560"/>
      <c r="Q24" s="2559"/>
      <c r="R24" s="2559"/>
      <c r="S24" s="2559"/>
      <c r="T24" s="2559"/>
      <c r="U24" s="2559"/>
      <c r="V24" s="2559"/>
    </row>
    <row r="25" spans="1:28">
      <c r="A25" s="3026"/>
      <c r="B25" s="2550" t="s">
        <v>382</v>
      </c>
      <c r="C25" s="3030"/>
      <c r="D25" s="3026" t="s">
        <v>382</v>
      </c>
      <c r="E25" s="3031"/>
      <c r="F25" s="2966"/>
      <c r="G25" s="2680"/>
      <c r="H25" s="2680"/>
      <c r="I25" s="2680"/>
      <c r="J25" s="2559"/>
      <c r="K25" s="3063"/>
      <c r="L25" s="3061"/>
      <c r="M25" s="3061"/>
      <c r="N25" s="2560"/>
      <c r="O25" s="3068"/>
      <c r="P25" s="2560"/>
      <c r="Q25" s="2559"/>
      <c r="R25" s="2559"/>
      <c r="S25" s="2559"/>
      <c r="T25" s="2559"/>
      <c r="U25" s="2559"/>
      <c r="V25" s="2559"/>
    </row>
    <row r="26" spans="1:28">
      <c r="A26" s="3032"/>
      <c r="B26" s="3033" t="s">
        <v>383</v>
      </c>
      <c r="C26" s="3034"/>
      <c r="D26" s="3032" t="s">
        <v>383</v>
      </c>
      <c r="E26" s="3035"/>
      <c r="F26" s="2989"/>
      <c r="G26" s="2989"/>
      <c r="H26" s="2989"/>
      <c r="I26" s="2989"/>
      <c r="J26" s="2559"/>
      <c r="K26" s="3063"/>
      <c r="L26" s="3061"/>
      <c r="M26" s="3061"/>
      <c r="N26" s="2560"/>
      <c r="O26" s="3068"/>
      <c r="P26" s="2560"/>
      <c r="Q26" s="2559"/>
      <c r="R26" s="2559"/>
      <c r="S26" s="2559"/>
      <c r="T26" s="2559"/>
      <c r="U26" s="2559"/>
      <c r="V26" s="2559"/>
    </row>
    <row r="27" spans="1:28">
      <c r="A27" s="3285" t="s">
        <v>384</v>
      </c>
      <c r="B27" s="1821" t="s">
        <v>385</v>
      </c>
      <c r="C27" s="3036" t="s">
        <v>2652</v>
      </c>
      <c r="D27" s="3037"/>
      <c r="E27" s="2680"/>
      <c r="F27" s="2680"/>
      <c r="G27" s="2680"/>
      <c r="H27" s="2680"/>
      <c r="I27" s="2680"/>
      <c r="J27" s="2559"/>
      <c r="K27" s="3067"/>
      <c r="L27" s="3068"/>
      <c r="M27" s="3068"/>
      <c r="N27" s="2560"/>
      <c r="O27" s="3068"/>
      <c r="P27" s="2560"/>
      <c r="Q27" s="2559"/>
      <c r="R27" s="2559"/>
      <c r="S27" s="2559"/>
      <c r="T27" s="2559"/>
      <c r="U27" s="2559"/>
      <c r="V27" s="2559"/>
    </row>
    <row r="28" spans="1:28">
      <c r="A28" s="3285"/>
      <c r="B28" s="1787" t="s">
        <v>386</v>
      </c>
      <c r="C28" s="3038"/>
      <c r="D28" s="3039"/>
      <c r="E28" s="2680"/>
      <c r="F28" s="2680"/>
      <c r="G28" s="2680"/>
      <c r="H28" s="2680"/>
      <c r="I28" s="2680"/>
      <c r="J28" s="2559"/>
      <c r="K28" s="3063"/>
      <c r="L28" s="3061"/>
      <c r="M28" s="3061"/>
      <c r="N28" s="2559"/>
      <c r="O28" s="3062"/>
      <c r="P28" s="2559"/>
      <c r="Q28" s="2559"/>
      <c r="R28" s="2559"/>
      <c r="S28" s="2559"/>
      <c r="T28" s="2559"/>
      <c r="U28" s="2559"/>
      <c r="V28" s="2559"/>
    </row>
    <row r="29" spans="1:28">
      <c r="A29" s="3285"/>
      <c r="B29" s="1787" t="s">
        <v>387</v>
      </c>
      <c r="C29" s="3040"/>
      <c r="D29" s="3041"/>
      <c r="E29" s="2680"/>
      <c r="F29" s="2680"/>
      <c r="G29" s="2680"/>
      <c r="H29" s="2680"/>
      <c r="I29" s="2680"/>
      <c r="J29" s="2559"/>
      <c r="K29" s="3063"/>
      <c r="L29" s="3061"/>
      <c r="M29" s="3061"/>
      <c r="N29" s="2559"/>
      <c r="O29" s="3062"/>
      <c r="P29" s="2559"/>
      <c r="Q29" s="2559"/>
      <c r="R29" s="2559"/>
      <c r="S29" s="2559"/>
      <c r="T29" s="2559"/>
      <c r="U29" s="2559"/>
      <c r="V29" s="2559"/>
    </row>
    <row r="30" spans="1:28">
      <c r="A30" s="3286"/>
      <c r="B30" s="1787" t="s">
        <v>388</v>
      </c>
      <c r="C30" s="3282"/>
      <c r="D30" s="3283"/>
      <c r="E30" s="2680"/>
      <c r="F30" s="2680"/>
      <c r="G30" s="2680"/>
      <c r="H30" s="2680"/>
      <c r="I30" s="2680"/>
      <c r="J30" s="2559"/>
      <c r="K30" s="3063"/>
      <c r="L30" s="3061"/>
      <c r="M30" s="3061"/>
      <c r="N30" s="2559"/>
      <c r="O30" s="3062"/>
      <c r="P30" s="2559"/>
      <c r="Q30" s="2559"/>
      <c r="R30" s="2559"/>
      <c r="S30" s="2559"/>
      <c r="T30" s="2559"/>
      <c r="U30" s="2559"/>
      <c r="V30" s="2559"/>
    </row>
    <row r="31" spans="1:28">
      <c r="A31" s="3287" t="s">
        <v>389</v>
      </c>
      <c r="B31" s="3042" t="s">
        <v>2651</v>
      </c>
      <c r="C31" s="1940" t="str">
        <f>IF(B31="现房","成新及维护状况正常否",IF(B31="在建","工程状态是否正常",IF(B31="土地","是否闲置","-")))</f>
        <v>成新及维护状况正常否</v>
      </c>
      <c r="D31" s="2148"/>
      <c r="E31" s="3043"/>
      <c r="F31" s="2680"/>
      <c r="G31" s="2680"/>
      <c r="H31" s="2680"/>
      <c r="I31" s="2680"/>
      <c r="J31" s="2559"/>
      <c r="K31" s="3060"/>
      <c r="L31" s="3061"/>
      <c r="M31" s="3061"/>
      <c r="N31" s="2559"/>
      <c r="O31" s="3062"/>
      <c r="P31" s="2559"/>
      <c r="Q31" s="2559"/>
      <c r="R31" s="2559"/>
      <c r="S31" s="2559"/>
      <c r="T31" s="2559"/>
      <c r="U31" s="2559"/>
      <c r="V31" s="2559"/>
    </row>
    <row r="32" spans="1:28">
      <c r="A32" s="3288"/>
      <c r="B32" s="3042"/>
      <c r="C32" s="1940" t="str">
        <f>IF(B32="现房","成新及维护状况是否正常",IF(B32="在建","工程状态是否正常",IF(B32="土地","是否闲置","-")))</f>
        <v>-</v>
      </c>
      <c r="D32" s="2148"/>
      <c r="E32" s="3043"/>
      <c r="F32" s="2680"/>
      <c r="G32" s="2680"/>
      <c r="H32" s="2680"/>
      <c r="I32" s="2680"/>
      <c r="J32" s="2559"/>
      <c r="K32" s="3063"/>
      <c r="L32" s="3061"/>
      <c r="M32" s="3061"/>
      <c r="N32" s="2559"/>
      <c r="O32" s="3062"/>
      <c r="P32" s="2559"/>
      <c r="Q32" s="2559"/>
      <c r="R32" s="2559"/>
      <c r="S32" s="2559"/>
      <c r="T32" s="2559"/>
      <c r="U32" s="2559"/>
      <c r="V32" s="2559"/>
    </row>
    <row r="33" spans="1:30">
      <c r="A33" s="3288"/>
      <c r="B33" s="3044"/>
      <c r="C33" s="2266" t="str">
        <f>IF(B33="现房","成新及维护状况是否正常",IF(B33="在建","工程状态是否正常",IF(B33="土地","是否闲置","-")))</f>
        <v>-</v>
      </c>
      <c r="D33" s="1796"/>
      <c r="E33" s="3045"/>
      <c r="F33" s="2680"/>
      <c r="G33" s="2680"/>
      <c r="H33" s="2680"/>
      <c r="I33" s="2680"/>
      <c r="J33" s="2559"/>
      <c r="K33" s="3063"/>
      <c r="L33" s="3061"/>
      <c r="M33" s="3061"/>
      <c r="N33" s="2559"/>
      <c r="O33" s="3062"/>
      <c r="P33" s="2559"/>
      <c r="Q33" s="2559"/>
      <c r="R33" s="2559"/>
      <c r="S33" s="2559"/>
      <c r="T33" s="2559"/>
      <c r="U33" s="2559"/>
      <c r="V33" s="2559"/>
    </row>
    <row r="34" spans="1:30">
      <c r="A34" s="1787" t="s">
        <v>390</v>
      </c>
      <c r="B34" s="620" t="s">
        <v>1800</v>
      </c>
      <c r="C34" s="620" t="s">
        <v>1801</v>
      </c>
      <c r="D34" s="620" t="s">
        <v>1802</v>
      </c>
      <c r="E34" s="620" t="s">
        <v>1803</v>
      </c>
      <c r="F34" s="620" t="s">
        <v>1804</v>
      </c>
      <c r="G34" s="620" t="s">
        <v>1806</v>
      </c>
      <c r="H34" s="620" t="s">
        <v>1807</v>
      </c>
      <c r="I34" s="2680"/>
      <c r="J34" s="2559"/>
      <c r="K34" s="296">
        <f>COUNTIF(B34:H34,"——")</f>
        <v>0</v>
      </c>
      <c r="L34" s="1828" t="s">
        <v>391</v>
      </c>
      <c r="M34" s="1828" t="s">
        <v>392</v>
      </c>
      <c r="N34" s="1828" t="s">
        <v>393</v>
      </c>
      <c r="O34" s="1828" t="s">
        <v>394</v>
      </c>
      <c r="P34" s="1828" t="s">
        <v>395</v>
      </c>
      <c r="Q34" s="1828" t="s">
        <v>396</v>
      </c>
      <c r="R34" s="1828" t="s">
        <v>397</v>
      </c>
      <c r="S34" s="3277" t="s">
        <v>398</v>
      </c>
      <c r="T34" s="3082" t="str">
        <f>NUMBERSTRING(7-K34,1)&amp;"通"</f>
        <v>七通</v>
      </c>
      <c r="U34" s="2559"/>
      <c r="V34" s="2559"/>
    </row>
    <row r="35" spans="1:30">
      <c r="A35" s="3046"/>
      <c r="B35" s="3284" t="s">
        <v>399</v>
      </c>
      <c r="C35" s="3284"/>
      <c r="D35" s="3284"/>
      <c r="E35" s="3284"/>
      <c r="F35" s="354">
        <f>C10</f>
        <v>0</v>
      </c>
      <c r="G35" s="2680"/>
      <c r="H35" s="2680"/>
      <c r="I35" s="2680"/>
      <c r="J35" s="2559"/>
      <c r="K35" s="1828"/>
      <c r="L35" s="1828" t="str">
        <f>B34</f>
        <v>通路</v>
      </c>
      <c r="M35" s="1830" t="str">
        <f>B34&amp;"、"&amp;C34</f>
        <v>通路、通电</v>
      </c>
      <c r="N35" s="1830" t="str">
        <f>B34&amp;"、"&amp;C34&amp;"、"&amp;D34</f>
        <v>通路、通电、通讯</v>
      </c>
      <c r="O35" s="1830" t="str">
        <f>B34&amp;"、"&amp;C34&amp;"、"&amp;D34&amp;"、"&amp;E34</f>
        <v>通路、通电、通讯、通上水</v>
      </c>
      <c r="P35" s="1830" t="str">
        <f>B34&amp;"、"&amp;C34&amp;"、"&amp;D34&amp;"、"&amp;E34&amp;"、"&amp;F34</f>
        <v>通路、通电、通讯、通上水、通下水</v>
      </c>
      <c r="Q35" s="1830" t="str">
        <f>B34&amp;"、"&amp;C34&amp;"、"&amp;D34&amp;"、"&amp;E34&amp;"、"&amp;F34&amp;"、"&amp;G34</f>
        <v>通路、通电、通讯、通上水、通下水、燃气</v>
      </c>
      <c r="R35" s="1830" t="str">
        <f>B34&amp;"、"&amp;C34&amp;"、"&amp;D34&amp;"、"&amp;E34&amp;"、"&amp;F34&amp;"、"&amp;G34&amp;"、"&amp;H34</f>
        <v>通路、通电、通讯、通上水、通下水、燃气、平整</v>
      </c>
      <c r="S35" s="3277"/>
      <c r="T35" s="1830" t="str">
        <f>IF(T34="一通",L35,IF(T34="二通",M35,IF(T34="三通",N35,IF(T34="四通",O35,IF(T34="五通",P35,IF(T34="六通",Q35,R35))))))</f>
        <v>通路、通电、通讯、通上水、通下水、燃气、平整</v>
      </c>
      <c r="U35" s="2559"/>
      <c r="V35" s="2559"/>
    </row>
    <row r="36" spans="1:30">
      <c r="A36" s="3047"/>
      <c r="B36" s="354" t="s">
        <v>351</v>
      </c>
      <c r="C36" s="354" t="s">
        <v>352</v>
      </c>
      <c r="D36" s="354" t="s">
        <v>350</v>
      </c>
      <c r="E36" s="354" t="s">
        <v>355</v>
      </c>
      <c r="F36" s="3048"/>
      <c r="G36" s="2680"/>
      <c r="H36" s="2680"/>
      <c r="I36" s="2680"/>
      <c r="J36" s="2559"/>
      <c r="K36" s="3063"/>
      <c r="L36" s="3061"/>
      <c r="M36" s="3061"/>
      <c r="N36" s="2559"/>
      <c r="O36" s="3062"/>
      <c r="P36" s="2559"/>
      <c r="Q36" s="2559"/>
      <c r="R36" s="2559"/>
      <c r="S36" s="2559"/>
      <c r="T36" s="2559"/>
      <c r="U36" s="2559"/>
      <c r="V36" s="2559"/>
    </row>
    <row r="37" spans="1:30">
      <c r="A37" s="3049" t="s">
        <v>400</v>
      </c>
      <c r="B37" s="3050"/>
      <c r="C37" s="3050"/>
      <c r="D37" s="3050"/>
      <c r="E37" s="3050" t="s">
        <v>283</v>
      </c>
      <c r="F37" s="3048"/>
      <c r="G37" s="2680"/>
      <c r="H37" s="2680"/>
      <c r="I37" s="2680"/>
      <c r="J37" s="2559"/>
      <c r="K37" s="3063"/>
      <c r="L37" s="3061"/>
      <c r="M37" s="3061"/>
      <c r="N37" s="2559"/>
      <c r="O37" s="3062"/>
      <c r="P37" s="2559"/>
      <c r="Q37" s="2559"/>
      <c r="R37" s="2559"/>
      <c r="S37" s="2559"/>
      <c r="T37" s="2559"/>
      <c r="U37" s="2559"/>
      <c r="V37" s="2559"/>
    </row>
    <row r="38" spans="1:30">
      <c r="A38" s="3051" t="s">
        <v>401</v>
      </c>
      <c r="B38" s="3052"/>
      <c r="C38" s="3052"/>
      <c r="D38" s="3052"/>
      <c r="E38" s="3052" t="s">
        <v>2379</v>
      </c>
      <c r="F38" s="3053"/>
      <c r="G38" s="2989"/>
      <c r="H38" s="2989"/>
      <c r="I38" s="2989"/>
      <c r="J38" s="2559"/>
      <c r="K38" s="3063"/>
      <c r="L38" s="3061"/>
      <c r="M38" s="3061"/>
      <c r="N38" s="2559"/>
      <c r="O38" s="3062"/>
      <c r="P38" s="2559"/>
      <c r="Q38" s="2559"/>
      <c r="R38" s="2559"/>
      <c r="S38" s="2559"/>
      <c r="T38" s="2559"/>
      <c r="U38" s="2559"/>
      <c r="V38" s="2559"/>
    </row>
    <row r="39" spans="1:30" s="2957" customFormat="1">
      <c r="A39" s="3054" t="s">
        <v>402</v>
      </c>
      <c r="B39" s="3055"/>
      <c r="C39" s="3055"/>
      <c r="D39" s="3055"/>
      <c r="E39" s="3055"/>
      <c r="F39" s="3055"/>
      <c r="G39" s="3055"/>
      <c r="H39" s="3055"/>
      <c r="I39" s="3055"/>
      <c r="J39" s="3073"/>
      <c r="K39" s="3074"/>
      <c r="L39" s="3073"/>
      <c r="M39" s="3073"/>
      <c r="N39" s="3073"/>
      <c r="O39" s="3075"/>
      <c r="P39" s="3073"/>
      <c r="Q39" s="3073"/>
      <c r="R39" s="3073"/>
      <c r="S39" s="3073"/>
      <c r="T39" s="3073"/>
      <c r="U39" s="3073"/>
      <c r="V39" s="3073"/>
      <c r="W39" s="3083"/>
      <c r="X39" s="3083"/>
      <c r="Y39" s="3083"/>
      <c r="Z39" s="3083"/>
      <c r="AA39" s="3083"/>
      <c r="AB39" s="3083"/>
      <c r="AC39" s="3083"/>
      <c r="AD39" s="3083"/>
    </row>
    <row r="40" spans="1:30">
      <c r="A40" s="3000"/>
      <c r="B40" s="3000"/>
      <c r="C40" s="3000"/>
      <c r="D40" s="3000"/>
      <c r="E40" s="3000"/>
      <c r="F40" s="3000"/>
      <c r="G40" s="3000"/>
      <c r="H40" s="3000"/>
      <c r="I40" s="2286"/>
      <c r="J40" s="2560"/>
      <c r="K40" s="3060"/>
      <c r="L40" s="3068"/>
      <c r="M40" s="3068"/>
      <c r="N40" s="2560"/>
      <c r="O40" s="3068"/>
      <c r="P40" s="2559"/>
      <c r="Q40" s="2559"/>
      <c r="R40" s="2559"/>
      <c r="S40" s="2559"/>
      <c r="T40" s="2559"/>
      <c r="U40" s="2559"/>
      <c r="V40" s="2559"/>
    </row>
    <row r="41" spans="1:30">
      <c r="A41" s="3056" t="s">
        <v>403</v>
      </c>
      <c r="B41" s="2172"/>
      <c r="C41" s="2148"/>
      <c r="D41" s="3000"/>
      <c r="E41" s="3000"/>
      <c r="F41" s="3000"/>
      <c r="G41" s="3000"/>
      <c r="H41" s="3000"/>
      <c r="I41" s="2869"/>
      <c r="J41" s="2559"/>
      <c r="K41" s="3063"/>
      <c r="L41" s="3061"/>
      <c r="M41" s="3061"/>
      <c r="N41" s="2559"/>
      <c r="O41" s="3062"/>
      <c r="P41" s="2559"/>
      <c r="Q41" s="2559"/>
      <c r="R41" s="2559"/>
      <c r="S41" s="2559"/>
      <c r="T41" s="2559"/>
      <c r="U41" s="2559"/>
      <c r="V41" s="2559"/>
    </row>
    <row r="42" spans="1:30" ht="25.5">
      <c r="A42" s="1828" t="s">
        <v>404</v>
      </c>
      <c r="B42" s="296" t="s">
        <v>405</v>
      </c>
      <c r="C42" s="296" t="s">
        <v>406</v>
      </c>
      <c r="D42" s="296" t="s">
        <v>407</v>
      </c>
      <c r="E42" s="296" t="s">
        <v>408</v>
      </c>
      <c r="F42" s="296" t="s">
        <v>409</v>
      </c>
      <c r="G42" s="296" t="s">
        <v>410</v>
      </c>
      <c r="H42" s="296" t="s">
        <v>411</v>
      </c>
      <c r="I42" s="296" t="s">
        <v>412</v>
      </c>
      <c r="J42" s="3076" t="s">
        <v>413</v>
      </c>
      <c r="K42" s="3077" t="s">
        <v>414</v>
      </c>
      <c r="L42" s="3077" t="s">
        <v>415</v>
      </c>
      <c r="M42" s="3077" t="s">
        <v>416</v>
      </c>
      <c r="N42" s="3078" t="s">
        <v>417</v>
      </c>
      <c r="O42" s="3078" t="s">
        <v>418</v>
      </c>
      <c r="P42" s="3078" t="s">
        <v>419</v>
      </c>
      <c r="Q42" s="3084" t="s">
        <v>420</v>
      </c>
      <c r="R42" s="3084" t="s">
        <v>421</v>
      </c>
      <c r="S42" s="2559"/>
      <c r="T42" s="2559"/>
      <c r="U42" s="2559"/>
      <c r="V42" s="2559"/>
    </row>
    <row r="43" spans="1:30" s="2770" customFormat="1">
      <c r="A43" s="2894"/>
      <c r="B43" s="2890"/>
      <c r="C43" s="2890"/>
      <c r="D43" s="2890"/>
      <c r="E43" s="2890"/>
      <c r="F43" s="2890"/>
      <c r="G43" s="2890"/>
      <c r="H43" s="2890"/>
      <c r="I43" s="2890"/>
      <c r="J43" s="3079"/>
      <c r="K43" s="3080"/>
      <c r="L43" s="3080"/>
      <c r="M43" s="2890"/>
      <c r="N43" s="2890"/>
      <c r="O43" s="2890"/>
      <c r="P43" s="2890"/>
      <c r="Q43" s="2890"/>
      <c r="R43" s="2890"/>
      <c r="S43" s="2559"/>
      <c r="T43" s="2559"/>
      <c r="U43" s="2559"/>
      <c r="V43" s="2559"/>
    </row>
    <row r="44" spans="1:30" s="2770" customFormat="1">
      <c r="A44" s="2894"/>
      <c r="B44" s="2894"/>
      <c r="C44" s="2890"/>
      <c r="D44" s="2890"/>
      <c r="E44" s="2890"/>
      <c r="F44" s="2890"/>
      <c r="G44" s="2890"/>
      <c r="H44" s="2890"/>
      <c r="I44" s="2890"/>
      <c r="J44" s="3079"/>
      <c r="K44" s="3080"/>
      <c r="L44" s="3080"/>
      <c r="M44" s="2890"/>
      <c r="N44" s="2890"/>
      <c r="O44" s="2890"/>
      <c r="P44" s="2890"/>
      <c r="Q44" s="2890"/>
      <c r="R44" s="2890"/>
      <c r="S44" s="2559"/>
      <c r="T44" s="2559"/>
      <c r="U44" s="2559"/>
      <c r="V44" s="2559"/>
    </row>
    <row r="45" spans="1:30" s="2770" customFormat="1">
      <c r="A45" s="2894"/>
      <c r="B45" s="2894"/>
      <c r="C45" s="2890"/>
      <c r="D45" s="2890"/>
      <c r="E45" s="2890"/>
      <c r="F45" s="2890"/>
      <c r="G45" s="2890"/>
      <c r="H45" s="2890"/>
      <c r="I45" s="2890"/>
      <c r="J45" s="3079"/>
      <c r="K45" s="3080"/>
      <c r="L45" s="3080"/>
      <c r="M45" s="2890"/>
      <c r="N45" s="2890"/>
      <c r="O45" s="2890"/>
      <c r="P45" s="2890"/>
      <c r="Q45" s="2890"/>
      <c r="R45" s="2890"/>
      <c r="S45" s="2559"/>
      <c r="T45" s="2559"/>
      <c r="U45" s="2559"/>
      <c r="V45" s="2559"/>
    </row>
    <row r="46" spans="1:30" s="2770" customFormat="1">
      <c r="A46" s="2894"/>
      <c r="B46" s="2894"/>
      <c r="C46" s="2890"/>
      <c r="D46" s="2890"/>
      <c r="E46" s="2890"/>
      <c r="F46" s="2890"/>
      <c r="G46" s="2890"/>
      <c r="H46" s="2890"/>
      <c r="I46" s="2890"/>
      <c r="J46" s="3079"/>
      <c r="K46" s="3080"/>
      <c r="L46" s="3080"/>
      <c r="M46" s="2890"/>
      <c r="N46" s="2890"/>
      <c r="O46" s="2890"/>
      <c r="P46" s="2890"/>
      <c r="Q46" s="2890"/>
      <c r="R46" s="2890"/>
      <c r="S46" s="2559"/>
      <c r="T46" s="2559"/>
      <c r="U46" s="2559"/>
      <c r="V46" s="2559"/>
    </row>
    <row r="47" spans="1:30" s="2770" customFormat="1">
      <c r="A47" s="2894"/>
      <c r="B47" s="2894"/>
      <c r="C47" s="2890"/>
      <c r="D47" s="2890"/>
      <c r="E47" s="2890"/>
      <c r="F47" s="2890"/>
      <c r="G47" s="2890"/>
      <c r="H47" s="2890"/>
      <c r="I47" s="2890"/>
      <c r="J47" s="3079"/>
      <c r="K47" s="3080"/>
      <c r="L47" s="3080"/>
      <c r="M47" s="2890"/>
      <c r="N47" s="2890"/>
      <c r="O47" s="2890"/>
      <c r="P47" s="2890"/>
      <c r="Q47" s="2890"/>
      <c r="R47" s="2890"/>
      <c r="S47" s="2559"/>
      <c r="T47" s="2559"/>
      <c r="U47" s="2559"/>
      <c r="V47" s="2559"/>
    </row>
    <row r="48" spans="1:30" s="2770" customFormat="1">
      <c r="A48" s="2894"/>
      <c r="B48" s="2894"/>
      <c r="C48" s="2890"/>
      <c r="D48" s="2890"/>
      <c r="E48" s="2890"/>
      <c r="F48" s="2890"/>
      <c r="G48" s="2890"/>
      <c r="H48" s="2890"/>
      <c r="I48" s="2890"/>
      <c r="J48" s="3079"/>
      <c r="K48" s="3080"/>
      <c r="L48" s="3080"/>
      <c r="M48" s="2890"/>
      <c r="N48" s="2890"/>
      <c r="O48" s="2890"/>
      <c r="P48" s="2890"/>
      <c r="Q48" s="2890"/>
      <c r="R48" s="2890"/>
      <c r="S48" s="2559"/>
      <c r="T48" s="2559"/>
      <c r="U48" s="2559"/>
      <c r="V48" s="2559"/>
    </row>
    <row r="49" spans="1:22" s="2770" customFormat="1">
      <c r="A49" s="2894"/>
      <c r="B49" s="2894"/>
      <c r="C49" s="2890"/>
      <c r="D49" s="2890"/>
      <c r="E49" s="2890"/>
      <c r="F49" s="2890"/>
      <c r="G49" s="2890"/>
      <c r="H49" s="2890"/>
      <c r="I49" s="2890"/>
      <c r="J49" s="3079"/>
      <c r="K49" s="3080"/>
      <c r="L49" s="3080"/>
      <c r="M49" s="2890"/>
      <c r="N49" s="2890"/>
      <c r="O49" s="2890"/>
      <c r="P49" s="2890"/>
      <c r="Q49" s="2890"/>
      <c r="R49" s="2890"/>
      <c r="S49" s="2559"/>
      <c r="T49" s="2559"/>
      <c r="U49" s="2559"/>
      <c r="V49" s="2559"/>
    </row>
    <row r="50" spans="1:22" s="2770" customFormat="1">
      <c r="A50" s="2894"/>
      <c r="B50" s="2894"/>
      <c r="C50" s="2890"/>
      <c r="D50" s="2890"/>
      <c r="E50" s="2890"/>
      <c r="F50" s="2890"/>
      <c r="G50" s="2890"/>
      <c r="H50" s="2890"/>
      <c r="I50" s="2890"/>
      <c r="J50" s="3079"/>
      <c r="K50" s="3080"/>
      <c r="L50" s="3080"/>
      <c r="M50" s="2890"/>
      <c r="N50" s="2890"/>
      <c r="O50" s="2890"/>
      <c r="P50" s="2890"/>
      <c r="Q50" s="2890"/>
      <c r="R50" s="2890"/>
      <c r="S50" s="2559"/>
      <c r="T50" s="2559"/>
      <c r="U50" s="2559"/>
      <c r="V50" s="2559"/>
    </row>
    <row r="51" spans="1:22" s="2770" customFormat="1">
      <c r="A51" s="2894"/>
      <c r="B51" s="2894"/>
      <c r="C51" s="2890"/>
      <c r="D51" s="2890"/>
      <c r="E51" s="2890"/>
      <c r="F51" s="2890"/>
      <c r="G51" s="2890"/>
      <c r="H51" s="2890"/>
      <c r="I51" s="2890"/>
      <c r="J51" s="3079"/>
      <c r="K51" s="3080"/>
      <c r="L51" s="3080"/>
      <c r="M51" s="2890"/>
      <c r="N51" s="2890"/>
      <c r="O51" s="2890"/>
      <c r="P51" s="2890"/>
      <c r="Q51" s="2890"/>
      <c r="R51" s="2890"/>
    </row>
    <row r="52" spans="1:22" s="2770" customFormat="1">
      <c r="A52" s="2894"/>
      <c r="B52" s="2894"/>
      <c r="C52" s="2894"/>
      <c r="D52" s="2894"/>
      <c r="E52" s="2894"/>
      <c r="F52" s="2890"/>
      <c r="G52" s="2894"/>
      <c r="H52" s="2894"/>
      <c r="I52" s="2894"/>
      <c r="J52" s="3081"/>
      <c r="K52" s="3080"/>
      <c r="L52" s="3080"/>
      <c r="M52" s="3080"/>
      <c r="N52" s="2894"/>
      <c r="O52" s="2894"/>
      <c r="P52" s="2894"/>
      <c r="Q52" s="2894"/>
      <c r="R52" s="2894"/>
    </row>
    <row r="53" spans="1:22" s="2770" customFormat="1">
      <c r="A53" s="2894"/>
      <c r="B53" s="2894"/>
      <c r="C53" s="2894"/>
      <c r="D53" s="2894"/>
      <c r="E53" s="2894"/>
      <c r="F53" s="2890"/>
      <c r="G53" s="2894"/>
      <c r="H53" s="2894"/>
      <c r="I53" s="2894"/>
      <c r="J53" s="3081"/>
      <c r="K53" s="3080"/>
      <c r="L53" s="3080"/>
      <c r="M53" s="3080"/>
      <c r="N53" s="2894"/>
      <c r="O53" s="2894"/>
      <c r="P53" s="2894"/>
      <c r="Q53" s="2894"/>
      <c r="R53" s="2894"/>
    </row>
    <row r="54" spans="1:22" s="2770" customFormat="1">
      <c r="A54" s="2894"/>
      <c r="B54" s="2894"/>
      <c r="C54" s="2894"/>
      <c r="D54" s="2894"/>
      <c r="E54" s="2894"/>
      <c r="F54" s="2890"/>
      <c r="G54" s="2894"/>
      <c r="H54" s="2894"/>
      <c r="I54" s="2894"/>
      <c r="J54" s="3081"/>
      <c r="K54" s="3080"/>
      <c r="L54" s="3080"/>
      <c r="M54" s="3080"/>
      <c r="N54" s="2894"/>
      <c r="O54" s="2894"/>
      <c r="P54" s="2894"/>
      <c r="Q54" s="2894"/>
      <c r="R54" s="2894"/>
    </row>
    <row r="55" spans="1:22" s="2770" customFormat="1">
      <c r="A55" s="2894"/>
      <c r="B55" s="2894"/>
      <c r="C55" s="2894"/>
      <c r="D55" s="2894"/>
      <c r="E55" s="2894"/>
      <c r="F55" s="2890"/>
      <c r="G55" s="2894"/>
      <c r="H55" s="2894"/>
      <c r="I55" s="2894"/>
      <c r="J55" s="3081"/>
      <c r="K55" s="3080"/>
      <c r="L55" s="3080"/>
      <c r="M55" s="3080"/>
      <c r="N55" s="2894"/>
      <c r="O55" s="2894"/>
      <c r="P55" s="2894"/>
      <c r="Q55" s="2894"/>
      <c r="R55" s="2894"/>
    </row>
    <row r="56" spans="1:22" s="2770" customFormat="1">
      <c r="A56" s="2894"/>
      <c r="B56" s="2894"/>
      <c r="C56" s="2894"/>
      <c r="D56" s="2894"/>
      <c r="E56" s="2894"/>
      <c r="F56" s="2890"/>
      <c r="G56" s="2894"/>
      <c r="H56" s="2894"/>
      <c r="I56" s="2894"/>
      <c r="J56" s="3081"/>
      <c r="K56" s="3080"/>
      <c r="L56" s="3080"/>
      <c r="M56" s="3080"/>
      <c r="N56" s="2894"/>
      <c r="O56" s="2894"/>
      <c r="P56" s="2894"/>
      <c r="Q56" s="2894"/>
      <c r="R56" s="289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17" sqref="B17"/>
    </sheetView>
  </sheetViews>
  <sheetFormatPr defaultColWidth="8.875" defaultRowHeight="14.25"/>
  <cols>
    <col min="1" max="1" width="10.625" style="2866" customWidth="1"/>
    <col min="2" max="2" width="11" style="2866" customWidth="1"/>
    <col min="3" max="3" width="10.375" style="2866" customWidth="1"/>
    <col min="4" max="4" width="9.125" style="2866" customWidth="1"/>
    <col min="5" max="6" width="10" style="2864" customWidth="1"/>
    <col min="7" max="8" width="10" style="2866" customWidth="1"/>
    <col min="9" max="9" width="10.625" style="2866" customWidth="1"/>
    <col min="10" max="10" width="9.5" style="2866" customWidth="1"/>
    <col min="11" max="11" width="11" style="2866" customWidth="1"/>
    <col min="12" max="14" width="9.5" style="2866" customWidth="1"/>
    <col min="15" max="15" width="9.875" style="2866" customWidth="1"/>
    <col min="16" max="16" width="9.75" style="2866" customWidth="1"/>
    <col min="17" max="17" width="9.375" style="2866" customWidth="1"/>
    <col min="18" max="18" width="9.25" style="2866" customWidth="1"/>
    <col min="19" max="19" width="10.875" style="2866" customWidth="1"/>
    <col min="20" max="21" width="10.75" style="2866" customWidth="1"/>
    <col min="22" max="22" width="10.875" style="2866" customWidth="1"/>
    <col min="23" max="27" width="10.75" style="2866" customWidth="1"/>
    <col min="28" max="28" width="10.875" style="2866" customWidth="1"/>
    <col min="29" max="29" width="11" style="2866" customWidth="1"/>
    <col min="30" max="30" width="10" style="2866" customWidth="1"/>
    <col min="31" max="31" width="9.75" style="2866" customWidth="1"/>
    <col min="32" max="46" width="9.5" style="2866" customWidth="1"/>
    <col min="47" max="47" width="18.125" style="2866" customWidth="1"/>
    <col min="48" max="50" width="9.75" style="2866" customWidth="1"/>
    <col min="51" max="55" width="10.5" style="2866" customWidth="1"/>
    <col min="56" max="56" width="9.5" style="2866" customWidth="1"/>
    <col min="57" max="63" width="9.125" style="2866" customWidth="1"/>
    <col min="64" max="64" width="9.5" style="2866" customWidth="1"/>
    <col min="65" max="65" width="9.125" style="2866" customWidth="1"/>
    <col min="66" max="66" width="9.5" style="2866" customWidth="1"/>
    <col min="67" max="69" width="9.125" style="2866" customWidth="1"/>
    <col min="70" max="70" width="9.5" style="2866" customWidth="1"/>
    <col min="71" max="71" width="9" style="2866" customWidth="1"/>
    <col min="72" max="72" width="9.125" style="2866" customWidth="1"/>
    <col min="73" max="16384" width="8.875" style="2866"/>
  </cols>
  <sheetData>
    <row r="1" spans="1:72" ht="20.25">
      <c r="A1" s="2867" t="s">
        <v>428</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429</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296" t="s">
        <v>365</v>
      </c>
      <c r="B2" s="296" t="s">
        <v>362</v>
      </c>
      <c r="C2" s="296" t="s">
        <v>430</v>
      </c>
      <c r="D2" s="2869"/>
      <c r="E2" s="2246"/>
      <c r="F2" s="2286"/>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431</v>
      </c>
      <c r="AZ2" s="2931" t="s">
        <v>432</v>
      </c>
      <c r="BA2" s="296" t="s">
        <v>433</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2.75">
      <c r="A3" s="2870">
        <v>0</v>
      </c>
      <c r="B3" s="2871">
        <f>IF(C3="否",G5-AT5,G5)</f>
        <v>842.81</v>
      </c>
      <c r="C3" s="2872" t="s">
        <v>434</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2.75">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2.75">
      <c r="A5" s="1940" t="s">
        <v>435</v>
      </c>
      <c r="B5" s="2169"/>
      <c r="C5" s="2169"/>
      <c r="D5" s="2298"/>
      <c r="E5" s="2876" t="s">
        <v>124</v>
      </c>
      <c r="F5" s="2876">
        <f>SUM(F13:F587)</f>
        <v>0</v>
      </c>
      <c r="G5" s="2876">
        <f>SUM(G13:G587)</f>
        <v>842.81</v>
      </c>
      <c r="H5" s="2876">
        <f t="shared" ref="H5:AT5" si="0">SUM(H13:H656)</f>
        <v>842.81</v>
      </c>
      <c r="I5" s="2876">
        <f t="shared" si="0"/>
        <v>632.1099999999999</v>
      </c>
      <c r="J5" s="2876">
        <f t="shared" si="0"/>
        <v>0</v>
      </c>
      <c r="K5" s="2876">
        <f t="shared" si="0"/>
        <v>210.7</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168"/>
      <c r="AV5" s="1940" t="s">
        <v>435</v>
      </c>
      <c r="AW5" s="2169"/>
      <c r="AX5" s="2169"/>
      <c r="AY5" s="2935" t="s">
        <v>124</v>
      </c>
      <c r="AZ5" s="2936">
        <f t="shared" ref="AZ5:BT5" si="1">SUM(AZ13:AZ656)</f>
        <v>842.81</v>
      </c>
      <c r="BA5" s="2936">
        <f t="shared" si="1"/>
        <v>842.81</v>
      </c>
      <c r="BB5" s="2936">
        <f t="shared" si="1"/>
        <v>632.1099999999999</v>
      </c>
      <c r="BC5" s="2936">
        <f t="shared" si="1"/>
        <v>210.7</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2.75">
      <c r="A6" s="1940" t="s">
        <v>436</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940" t="s">
        <v>436</v>
      </c>
      <c r="AW6" s="2877"/>
      <c r="AX6" s="2877"/>
      <c r="AY6" s="2937">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4.75">
      <c r="A7" s="2880" t="s">
        <v>437</v>
      </c>
      <c r="B7" s="2880" t="s">
        <v>438</v>
      </c>
      <c r="C7" s="2880" t="s">
        <v>405</v>
      </c>
      <c r="D7" s="2880" t="s">
        <v>439</v>
      </c>
      <c r="E7" s="2880" t="s">
        <v>436</v>
      </c>
      <c r="F7" s="2880" t="s">
        <v>440</v>
      </c>
      <c r="G7" s="2266" t="s">
        <v>441</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298"/>
      <c r="AU7" s="2881" t="s">
        <v>442</v>
      </c>
      <c r="AV7" s="2922" t="s">
        <v>437</v>
      </c>
      <c r="AW7" s="2286" t="s">
        <v>438</v>
      </c>
      <c r="AX7" s="2922" t="s">
        <v>405</v>
      </c>
      <c r="AY7" s="2169" t="s">
        <v>443</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8" customFormat="1" ht="24">
      <c r="A8" s="2882"/>
      <c r="B8" s="2882"/>
      <c r="C8" s="2882"/>
      <c r="D8" s="2882"/>
      <c r="E8" s="2882"/>
      <c r="F8" s="2882"/>
      <c r="G8" s="2883" t="s">
        <v>444</v>
      </c>
      <c r="H8" s="2884" t="s">
        <v>445</v>
      </c>
      <c r="I8" s="2902"/>
      <c r="J8" s="295"/>
      <c r="K8" s="295"/>
      <c r="L8" s="295"/>
      <c r="M8" s="295"/>
      <c r="N8" s="295"/>
      <c r="O8" s="295"/>
      <c r="P8" s="295"/>
      <c r="Q8" s="295"/>
      <c r="R8" s="295"/>
      <c r="S8" s="295"/>
      <c r="T8" s="295"/>
      <c r="U8" s="295"/>
      <c r="V8" s="2909"/>
      <c r="W8" s="295"/>
      <c r="X8" s="295"/>
      <c r="Y8" s="295"/>
      <c r="Z8" s="295"/>
      <c r="AA8" s="2909"/>
      <c r="AB8" s="2911"/>
      <c r="AC8" s="2081" t="s">
        <v>446</v>
      </c>
      <c r="AD8" s="2912"/>
      <c r="AE8" s="2913"/>
      <c r="AF8" s="295"/>
      <c r="AG8" s="295"/>
      <c r="AH8" s="295"/>
      <c r="AI8" s="295"/>
      <c r="AJ8" s="295"/>
      <c r="AK8" s="295"/>
      <c r="AL8" s="295"/>
      <c r="AM8" s="295"/>
      <c r="AN8" s="295"/>
      <c r="AO8" s="295"/>
      <c r="AP8" s="295"/>
      <c r="AQ8" s="295"/>
      <c r="AR8" s="295"/>
      <c r="AS8" s="295"/>
      <c r="AT8" s="1780" t="s">
        <v>447</v>
      </c>
      <c r="AU8" s="2882" t="s">
        <v>448</v>
      </c>
      <c r="AV8" s="1780"/>
      <c r="AW8" s="2246"/>
      <c r="AX8" s="1780"/>
      <c r="AY8" s="2286" t="s">
        <v>436</v>
      </c>
      <c r="AZ8" s="294" t="s">
        <v>362</v>
      </c>
      <c r="BA8" s="295"/>
      <c r="BB8" s="295"/>
      <c r="BC8" s="295"/>
      <c r="BD8" s="295"/>
      <c r="BE8" s="295"/>
      <c r="BF8" s="295"/>
      <c r="BG8" s="295"/>
      <c r="BH8" s="295"/>
      <c r="BI8" s="295"/>
      <c r="BJ8" s="295"/>
      <c r="BK8" s="295"/>
      <c r="BL8" s="295"/>
      <c r="BM8" s="295"/>
      <c r="BN8" s="295"/>
      <c r="BO8" s="295"/>
      <c r="BP8" s="295"/>
      <c r="BQ8" s="295"/>
      <c r="BR8" s="295"/>
      <c r="BS8" s="295"/>
      <c r="BT8" s="1826"/>
    </row>
    <row r="9" spans="1:72" s="2578" customFormat="1" ht="12.75">
      <c r="A9" s="2882"/>
      <c r="B9" s="2882"/>
      <c r="C9" s="2882"/>
      <c r="D9" s="2882"/>
      <c r="E9" s="2882"/>
      <c r="F9" s="2882"/>
      <c r="G9" s="1780"/>
      <c r="H9" s="2885" t="s">
        <v>449</v>
      </c>
      <c r="I9" s="2903" t="s">
        <v>450</v>
      </c>
      <c r="J9" s="2081"/>
      <c r="K9" s="2903" t="s">
        <v>451</v>
      </c>
      <c r="L9" s="2081"/>
      <c r="M9" s="2903"/>
      <c r="N9" s="2081"/>
      <c r="O9" s="2903"/>
      <c r="P9" s="2081"/>
      <c r="Q9" s="2903"/>
      <c r="R9" s="2081"/>
      <c r="S9" s="2903"/>
      <c r="T9" s="2081"/>
      <c r="U9" s="2903"/>
      <c r="V9" s="2081"/>
      <c r="W9" s="2903"/>
      <c r="X9" s="2910"/>
      <c r="Y9" s="2903"/>
      <c r="Z9" s="2081"/>
      <c r="AA9" s="2903"/>
      <c r="AB9" s="2081"/>
      <c r="AC9" s="2883" t="s">
        <v>449</v>
      </c>
      <c r="AD9" s="1940" t="s">
        <v>452</v>
      </c>
      <c r="AE9" s="1792"/>
      <c r="AF9" s="1940" t="s">
        <v>453</v>
      </c>
      <c r="AG9" s="1792"/>
      <c r="AH9" s="1940" t="s">
        <v>452</v>
      </c>
      <c r="AI9" s="1792"/>
      <c r="AJ9" s="1940" t="s">
        <v>453</v>
      </c>
      <c r="AK9" s="1792"/>
      <c r="AL9" s="1940" t="s">
        <v>452</v>
      </c>
      <c r="AM9" s="1792"/>
      <c r="AN9" s="1940" t="s">
        <v>453</v>
      </c>
      <c r="AO9" s="1792"/>
      <c r="AP9" s="1940" t="s">
        <v>452</v>
      </c>
      <c r="AQ9" s="1792"/>
      <c r="AR9" s="1940" t="s">
        <v>453</v>
      </c>
      <c r="AS9" s="2923"/>
      <c r="AT9" s="2882"/>
      <c r="AU9" s="2882" t="s">
        <v>454</v>
      </c>
      <c r="AV9" s="1780"/>
      <c r="AW9" s="2246"/>
      <c r="AX9" s="1780"/>
      <c r="AY9" s="2886"/>
      <c r="AZ9" s="2886" t="s">
        <v>444</v>
      </c>
      <c r="BA9" s="2938" t="s">
        <v>455</v>
      </c>
      <c r="BB9" s="2939"/>
      <c r="BC9" s="1838"/>
      <c r="BD9" s="1838"/>
      <c r="BE9" s="1838"/>
      <c r="BF9" s="1838"/>
      <c r="BG9" s="1838"/>
      <c r="BH9" s="1838"/>
      <c r="BI9" s="1838"/>
      <c r="BJ9" s="1838"/>
      <c r="BK9" s="2944"/>
      <c r="BL9" s="1940" t="s">
        <v>456</v>
      </c>
      <c r="BM9" s="295"/>
      <c r="BN9" s="2902"/>
      <c r="BO9" s="295"/>
      <c r="BP9" s="295"/>
      <c r="BQ9" s="295"/>
      <c r="BR9" s="295"/>
      <c r="BS9" s="295"/>
      <c r="BT9" s="1826"/>
    </row>
    <row r="10" spans="1:72" s="2578" customFormat="1" ht="12.75">
      <c r="A10" s="2882"/>
      <c r="B10" s="2882"/>
      <c r="C10" s="2882"/>
      <c r="D10" s="2882"/>
      <c r="E10" s="2882"/>
      <c r="F10" s="2882"/>
      <c r="G10" s="1780"/>
      <c r="H10" s="2886"/>
      <c r="I10" s="2903" t="s">
        <v>457</v>
      </c>
      <c r="J10" s="2081"/>
      <c r="K10" s="2904" t="s">
        <v>457</v>
      </c>
      <c r="L10" s="2081"/>
      <c r="M10" s="2904"/>
      <c r="N10" s="2081"/>
      <c r="O10" s="2904"/>
      <c r="P10" s="2081"/>
      <c r="Q10" s="2904"/>
      <c r="R10" s="2081"/>
      <c r="S10" s="2904"/>
      <c r="T10" s="2081"/>
      <c r="U10" s="2904"/>
      <c r="V10" s="2081"/>
      <c r="W10" s="2904"/>
      <c r="X10" s="2081"/>
      <c r="Y10" s="2904"/>
      <c r="Z10" s="2081"/>
      <c r="AA10" s="2904"/>
      <c r="AB10" s="2081"/>
      <c r="AC10" s="1780"/>
      <c r="AD10" s="1940" t="s">
        <v>458</v>
      </c>
      <c r="AE10" s="2914"/>
      <c r="AF10" s="1940" t="s">
        <v>458</v>
      </c>
      <c r="AG10" s="2914"/>
      <c r="AH10" s="1940" t="s">
        <v>459</v>
      </c>
      <c r="AI10" s="2914"/>
      <c r="AJ10" s="1940" t="s">
        <v>459</v>
      </c>
      <c r="AK10" s="2914"/>
      <c r="AL10" s="1940" t="s">
        <v>460</v>
      </c>
      <c r="AM10" s="1792"/>
      <c r="AN10" s="1940" t="s">
        <v>460</v>
      </c>
      <c r="AO10" s="1792"/>
      <c r="AP10" s="1940" t="s">
        <v>461</v>
      </c>
      <c r="AQ10" s="1792"/>
      <c r="AR10" s="1940" t="s">
        <v>461</v>
      </c>
      <c r="AS10" s="1792"/>
      <c r="AT10" s="2882"/>
      <c r="AU10" s="2882"/>
      <c r="AV10" s="1780"/>
      <c r="AW10" s="2246"/>
      <c r="AX10" s="1780"/>
      <c r="AY10" s="2886"/>
      <c r="AZ10" s="2886"/>
      <c r="BA10" s="2887" t="s">
        <v>449</v>
      </c>
      <c r="BB10" s="2940" t="str">
        <f>I9</f>
        <v>地上</v>
      </c>
      <c r="BC10" s="1850" t="str">
        <f>K9</f>
        <v>地下</v>
      </c>
      <c r="BD10" s="1850">
        <f>M9</f>
        <v>0</v>
      </c>
      <c r="BE10" s="1850">
        <f>O9</f>
        <v>0</v>
      </c>
      <c r="BF10" s="1850">
        <f>Q9</f>
        <v>0</v>
      </c>
      <c r="BG10" s="1850">
        <f>S9</f>
        <v>0</v>
      </c>
      <c r="BH10" s="1850">
        <f>U9</f>
        <v>0</v>
      </c>
      <c r="BI10" s="1850">
        <f>W9</f>
        <v>0</v>
      </c>
      <c r="BJ10" s="1850">
        <f>Y9</f>
        <v>0</v>
      </c>
      <c r="BK10" s="1850">
        <f>AA9</f>
        <v>0</v>
      </c>
      <c r="BL10" s="1846" t="s">
        <v>449</v>
      </c>
      <c r="BM10" s="294" t="str">
        <f>AD9</f>
        <v>地上</v>
      </c>
      <c r="BN10" s="1850" t="str">
        <f>AF9</f>
        <v>地下</v>
      </c>
      <c r="BO10" s="294" t="str">
        <f>AH9</f>
        <v>地上</v>
      </c>
      <c r="BP10" s="1850" t="str">
        <f>AJ9</f>
        <v>地下</v>
      </c>
      <c r="BQ10" s="294" t="str">
        <f>AL9</f>
        <v>地上</v>
      </c>
      <c r="BR10" s="1850" t="str">
        <f>AN9</f>
        <v>地下</v>
      </c>
      <c r="BS10" s="294" t="str">
        <f>AP9</f>
        <v>地上</v>
      </c>
      <c r="BT10" s="2948" t="str">
        <f>AR9</f>
        <v>地下</v>
      </c>
    </row>
    <row r="11" spans="1:72" s="2578" customFormat="1" ht="12.75">
      <c r="A11" s="2882"/>
      <c r="B11" s="2882"/>
      <c r="C11" s="2882"/>
      <c r="D11" s="2882"/>
      <c r="E11" s="2882"/>
      <c r="F11" s="2882"/>
      <c r="G11" s="1780"/>
      <c r="H11" s="2887"/>
      <c r="I11" s="2905" t="s">
        <v>462</v>
      </c>
      <c r="J11" s="2906"/>
      <c r="K11" s="2905" t="s">
        <v>462</v>
      </c>
      <c r="L11" s="2906"/>
      <c r="M11" s="2905"/>
      <c r="N11" s="2906"/>
      <c r="O11" s="2905"/>
      <c r="P11" s="2906"/>
      <c r="Q11" s="2905"/>
      <c r="R11" s="2906"/>
      <c r="S11" s="2905"/>
      <c r="T11" s="2906"/>
      <c r="U11" s="2905"/>
      <c r="V11" s="2906"/>
      <c r="W11" s="2905"/>
      <c r="X11" s="2906"/>
      <c r="Y11" s="2905"/>
      <c r="Z11" s="2906"/>
      <c r="AA11" s="2905"/>
      <c r="AB11" s="2906"/>
      <c r="AC11" s="1780"/>
      <c r="AD11" s="2915" t="s">
        <v>464</v>
      </c>
      <c r="AE11" s="352"/>
      <c r="AF11" s="2915" t="s">
        <v>464</v>
      </c>
      <c r="AG11" s="352"/>
      <c r="AH11" s="2915" t="s">
        <v>465</v>
      </c>
      <c r="AI11" s="2919"/>
      <c r="AJ11" s="2915" t="s">
        <v>465</v>
      </c>
      <c r="AK11" s="352"/>
      <c r="AL11" s="294"/>
      <c r="AM11" s="352"/>
      <c r="AN11" s="294"/>
      <c r="AO11" s="352"/>
      <c r="AP11" s="294"/>
      <c r="AQ11" s="352"/>
      <c r="AR11" s="294"/>
      <c r="AS11" s="352"/>
      <c r="AT11" s="2246"/>
      <c r="AU11" s="2882"/>
      <c r="AV11" s="1780"/>
      <c r="AW11" s="2246"/>
      <c r="AX11" s="1780"/>
      <c r="AY11" s="2886"/>
      <c r="AZ11" s="2886"/>
      <c r="BA11" s="2886"/>
      <c r="BB11" s="2911" t="str">
        <f>I10</f>
        <v>工业</v>
      </c>
      <c r="BC11" s="2911" t="str">
        <f>K10</f>
        <v>工业</v>
      </c>
      <c r="BD11" s="2911">
        <f>M10</f>
        <v>0</v>
      </c>
      <c r="BE11" s="2911">
        <f>O10</f>
        <v>0</v>
      </c>
      <c r="BF11" s="2911">
        <f>Q10</f>
        <v>0</v>
      </c>
      <c r="BG11" s="2911">
        <f>S10</f>
        <v>0</v>
      </c>
      <c r="BH11" s="2911">
        <f>U10</f>
        <v>0</v>
      </c>
      <c r="BI11" s="2911">
        <f>W10</f>
        <v>0</v>
      </c>
      <c r="BJ11" s="2911">
        <f>Y10</f>
        <v>0</v>
      </c>
      <c r="BK11" s="2911">
        <f>AA10</f>
        <v>0</v>
      </c>
      <c r="BL11" s="178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46" t="str">
        <f>AP10</f>
        <v>未注明</v>
      </c>
      <c r="BT11" s="2949" t="str">
        <f>AR10</f>
        <v>未注明</v>
      </c>
    </row>
    <row r="12" spans="1:72" s="2861" customFormat="1" ht="12.75">
      <c r="A12" s="2888"/>
      <c r="B12" s="2888"/>
      <c r="C12" s="2888"/>
      <c r="D12" s="2888"/>
      <c r="E12" s="2888"/>
      <c r="F12" s="2888"/>
      <c r="G12" s="638"/>
      <c r="H12" s="2889"/>
      <c r="I12" s="2298" t="s">
        <v>466</v>
      </c>
      <c r="J12" s="296" t="s">
        <v>467</v>
      </c>
      <c r="K12" s="296" t="s">
        <v>466</v>
      </c>
      <c r="L12" s="296" t="s">
        <v>467</v>
      </c>
      <c r="M12" s="296" t="s">
        <v>466</v>
      </c>
      <c r="N12" s="296" t="s">
        <v>467</v>
      </c>
      <c r="O12" s="296" t="s">
        <v>466</v>
      </c>
      <c r="P12" s="296" t="s">
        <v>467</v>
      </c>
      <c r="Q12" s="296" t="s">
        <v>466</v>
      </c>
      <c r="R12" s="296" t="s">
        <v>467</v>
      </c>
      <c r="S12" s="296" t="s">
        <v>466</v>
      </c>
      <c r="T12" s="296" t="s">
        <v>467</v>
      </c>
      <c r="U12" s="296" t="s">
        <v>466</v>
      </c>
      <c r="V12" s="2168" t="s">
        <v>467</v>
      </c>
      <c r="W12" s="296" t="s">
        <v>466</v>
      </c>
      <c r="X12" s="296" t="s">
        <v>467</v>
      </c>
      <c r="Y12" s="296" t="s">
        <v>466</v>
      </c>
      <c r="Z12" s="296" t="s">
        <v>467</v>
      </c>
      <c r="AA12" s="296" t="s">
        <v>466</v>
      </c>
      <c r="AB12" s="296" t="s">
        <v>467</v>
      </c>
      <c r="AC12" s="2916"/>
      <c r="AD12" s="2298" t="s">
        <v>466</v>
      </c>
      <c r="AE12" s="296" t="s">
        <v>467</v>
      </c>
      <c r="AF12" s="296" t="s">
        <v>466</v>
      </c>
      <c r="AG12" s="296" t="s">
        <v>467</v>
      </c>
      <c r="AH12" s="296" t="s">
        <v>466</v>
      </c>
      <c r="AI12" s="296" t="s">
        <v>467</v>
      </c>
      <c r="AJ12" s="296" t="s">
        <v>466</v>
      </c>
      <c r="AK12" s="296" t="s">
        <v>467</v>
      </c>
      <c r="AL12" s="296" t="s">
        <v>466</v>
      </c>
      <c r="AM12" s="296" t="s">
        <v>467</v>
      </c>
      <c r="AN12" s="296" t="s">
        <v>466</v>
      </c>
      <c r="AO12" s="296" t="s">
        <v>467</v>
      </c>
      <c r="AP12" s="296" t="s">
        <v>466</v>
      </c>
      <c r="AQ12" s="296" t="s">
        <v>467</v>
      </c>
      <c r="AR12" s="638" t="s">
        <v>466</v>
      </c>
      <c r="AS12" s="2888" t="s">
        <v>467</v>
      </c>
      <c r="AT12" s="2924"/>
      <c r="AU12" s="2888"/>
      <c r="AV12" s="2925"/>
      <c r="AW12" s="2286"/>
      <c r="AX12" s="2925"/>
      <c r="AY12" s="2941"/>
      <c r="AZ12" s="2886"/>
      <c r="BA12" s="2887"/>
      <c r="BB12" s="293" t="str">
        <f>I11</f>
        <v>办公楼</v>
      </c>
      <c r="BC12" s="2942" t="str">
        <f>K11</f>
        <v>办公楼</v>
      </c>
      <c r="BD12" s="2942">
        <f>M11</f>
        <v>0</v>
      </c>
      <c r="BE12" s="2911">
        <f>O11</f>
        <v>0</v>
      </c>
      <c r="BF12" s="2911">
        <f>Q11</f>
        <v>0</v>
      </c>
      <c r="BG12" s="2911">
        <f>S11</f>
        <v>0</v>
      </c>
      <c r="BH12" s="2911">
        <f>U11</f>
        <v>0</v>
      </c>
      <c r="BI12" s="2911">
        <f>W11</f>
        <v>0</v>
      </c>
      <c r="BJ12" s="2911">
        <f>Y11</f>
        <v>0</v>
      </c>
      <c r="BK12" s="2911">
        <f>AA11</f>
        <v>0</v>
      </c>
      <c r="BL12" s="1780"/>
      <c r="BM12" s="294" t="str">
        <f>AD11</f>
        <v>（住宅）</v>
      </c>
      <c r="BN12" s="294" t="str">
        <f>AF11</f>
        <v>（住宅）</v>
      </c>
      <c r="BO12" s="293" t="str">
        <f>AH11</f>
        <v>（住宅、计出让金）</v>
      </c>
      <c r="BP12" s="293" t="str">
        <f>AJ11</f>
        <v>（住宅、计出让金）</v>
      </c>
      <c r="BQ12" s="293">
        <f>AL11</f>
        <v>0</v>
      </c>
      <c r="BR12" s="293">
        <f>AN11</f>
        <v>0</v>
      </c>
      <c r="BS12" s="1846">
        <f>AP11</f>
        <v>0</v>
      </c>
      <c r="BT12" s="2949">
        <f>AR11</f>
        <v>0</v>
      </c>
    </row>
    <row r="13" spans="1:72" s="2861" customFormat="1" ht="12.75">
      <c r="A13" s="2890"/>
      <c r="B13" s="3230" t="s">
        <v>2653</v>
      </c>
      <c r="C13" s="2890" t="s">
        <v>2654</v>
      </c>
      <c r="D13" s="2891" t="s">
        <v>468</v>
      </c>
      <c r="E13" s="2876">
        <f>IF($C$3="是",ROUND($A$3*G13/$B$3,2),ROUND($A$3*(G13-AT13)/$B$3,2))</f>
        <v>0</v>
      </c>
      <c r="F13" s="2892"/>
      <c r="G13" s="2893">
        <f>H13+AC13+AT13</f>
        <v>842.81</v>
      </c>
      <c r="H13" s="2879">
        <f>SUMIF(I$12:AB$12,"总值",I13:AB13)</f>
        <v>842.81</v>
      </c>
      <c r="I13" s="2907">
        <f>842.81-K13</f>
        <v>632.1099999999999</v>
      </c>
      <c r="J13" s="2907"/>
      <c r="K13" s="2907">
        <f>ROUND(842.81/4,2)</f>
        <v>210.7</v>
      </c>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296">
        <f t="shared" ref="AV13:AX17" si="6">A13</f>
        <v>0</v>
      </c>
      <c r="AW13" s="296" t="str">
        <f t="shared" si="6"/>
        <v>4#-06</v>
      </c>
      <c r="AX13" s="296" t="str">
        <f t="shared" si="6"/>
        <v>72号楼</v>
      </c>
      <c r="AY13" s="2298">
        <f>ROUND($AY$6*AZ13/$AZ$5,2)</f>
        <v>0</v>
      </c>
      <c r="AZ13" s="2876">
        <f>BA13+BL13</f>
        <v>842.81</v>
      </c>
      <c r="BA13" s="2876">
        <f>SUM(BB13:BK13)</f>
        <v>842.81</v>
      </c>
      <c r="BB13" s="2876">
        <f>IF($D13="是",I13-J13,0)</f>
        <v>632.1099999999999</v>
      </c>
      <c r="BC13" s="2876">
        <f>IF($D13="是",K13-L13,0)</f>
        <v>210.7</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2.75">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296">
        <f t="shared" si="6"/>
        <v>0</v>
      </c>
      <c r="AW14" s="296">
        <f t="shared" si="6"/>
        <v>0</v>
      </c>
      <c r="AX14" s="296">
        <f t="shared" si="6"/>
        <v>0</v>
      </c>
      <c r="AY14" s="2298">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2.75">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296">
        <f t="shared" si="6"/>
        <v>0</v>
      </c>
      <c r="AW15" s="296">
        <f t="shared" si="6"/>
        <v>0</v>
      </c>
      <c r="AX15" s="296">
        <f t="shared" si="6"/>
        <v>0</v>
      </c>
      <c r="AY15" s="2298">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2.75">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296">
        <f t="shared" si="6"/>
        <v>0</v>
      </c>
      <c r="AW16" s="296">
        <f t="shared" si="6"/>
        <v>0</v>
      </c>
      <c r="AX16" s="296">
        <f t="shared" si="6"/>
        <v>0</v>
      </c>
      <c r="AY16" s="2298">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2.75">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296">
        <f t="shared" si="6"/>
        <v>0</v>
      </c>
      <c r="AW17" s="296">
        <f t="shared" si="6"/>
        <v>0</v>
      </c>
      <c r="AX17" s="296">
        <f t="shared" si="6"/>
        <v>0</v>
      </c>
      <c r="AY17" s="2298">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1120">
        <f t="shared" ref="AV18:AV112" si="11">A18</f>
        <v>0</v>
      </c>
      <c r="AW18" s="1120">
        <f t="shared" ref="AW18:AW112" si="12">B18</f>
        <v>0</v>
      </c>
      <c r="AX18" s="1120">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1120">
        <f t="shared" si="11"/>
        <v>0</v>
      </c>
      <c r="AW19" s="1120">
        <f t="shared" si="12"/>
        <v>0</v>
      </c>
      <c r="AX19" s="1120">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1120">
        <f t="shared" si="11"/>
        <v>0</v>
      </c>
      <c r="AW20" s="1120">
        <f t="shared" si="12"/>
        <v>0</v>
      </c>
      <c r="AX20" s="1120">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1120">
        <f t="shared" si="11"/>
        <v>0</v>
      </c>
      <c r="AW21" s="1120">
        <f t="shared" si="12"/>
        <v>0</v>
      </c>
      <c r="AX21" s="1120">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1120">
        <f t="shared" si="11"/>
        <v>0</v>
      </c>
      <c r="AW22" s="1120">
        <f t="shared" si="12"/>
        <v>0</v>
      </c>
      <c r="AX22" s="1120">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1120">
        <f t="shared" si="11"/>
        <v>0</v>
      </c>
      <c r="AW23" s="1120">
        <f t="shared" si="12"/>
        <v>0</v>
      </c>
      <c r="AX23" s="1120">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1120">
        <f t="shared" si="11"/>
        <v>0</v>
      </c>
      <c r="AW24" s="1120">
        <f t="shared" si="12"/>
        <v>0</v>
      </c>
      <c r="AX24" s="1120">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1120">
        <f t="shared" si="11"/>
        <v>0</v>
      </c>
      <c r="AW25" s="1120">
        <f t="shared" si="12"/>
        <v>0</v>
      </c>
      <c r="AX25" s="1120">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1120">
        <f t="shared" si="11"/>
        <v>0</v>
      </c>
      <c r="AW26" s="1120">
        <f t="shared" si="12"/>
        <v>0</v>
      </c>
      <c r="AX26" s="1120">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1120">
        <f t="shared" si="11"/>
        <v>0</v>
      </c>
      <c r="AW27" s="1120">
        <f t="shared" si="12"/>
        <v>0</v>
      </c>
      <c r="AX27" s="1120">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1120">
        <f t="shared" si="11"/>
        <v>0</v>
      </c>
      <c r="AW28" s="1120">
        <f t="shared" si="12"/>
        <v>0</v>
      </c>
      <c r="AX28" s="1120">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1120">
        <f t="shared" si="11"/>
        <v>0</v>
      </c>
      <c r="AW29" s="1120">
        <f t="shared" si="12"/>
        <v>0</v>
      </c>
      <c r="AX29" s="1120">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1120">
        <f t="shared" si="11"/>
        <v>0</v>
      </c>
      <c r="AW30" s="1120">
        <f t="shared" si="12"/>
        <v>0</v>
      </c>
      <c r="AX30" s="1120">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1120">
        <f t="shared" si="11"/>
        <v>0</v>
      </c>
      <c r="AW31" s="1120">
        <f t="shared" si="12"/>
        <v>0</v>
      </c>
      <c r="AX31" s="1120">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1120">
        <f t="shared" si="11"/>
        <v>0</v>
      </c>
      <c r="AW32" s="1120">
        <f t="shared" si="12"/>
        <v>0</v>
      </c>
      <c r="AX32" s="1120">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1120">
        <f t="shared" si="11"/>
        <v>0</v>
      </c>
      <c r="AW33" s="1120">
        <f t="shared" si="12"/>
        <v>0</v>
      </c>
      <c r="AX33" s="1120">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1120">
        <f t="shared" si="11"/>
        <v>0</v>
      </c>
      <c r="AW34" s="1120">
        <f t="shared" si="12"/>
        <v>0</v>
      </c>
      <c r="AX34" s="1120">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1120">
        <f t="shared" si="11"/>
        <v>0</v>
      </c>
      <c r="AW35" s="1120">
        <f t="shared" si="12"/>
        <v>0</v>
      </c>
      <c r="AX35" s="1120">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1120">
        <f t="shared" si="11"/>
        <v>0</v>
      </c>
      <c r="AW36" s="1120">
        <f t="shared" si="12"/>
        <v>0</v>
      </c>
      <c r="AX36" s="1120">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1120">
        <f t="shared" si="11"/>
        <v>0</v>
      </c>
      <c r="AW37" s="1120">
        <f t="shared" si="12"/>
        <v>0</v>
      </c>
      <c r="AX37" s="1120">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1120">
        <f t="shared" si="11"/>
        <v>0</v>
      </c>
      <c r="AW38" s="1120">
        <f t="shared" si="12"/>
        <v>0</v>
      </c>
      <c r="AX38" s="1120">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1120">
        <f t="shared" si="11"/>
        <v>0</v>
      </c>
      <c r="AW39" s="1120">
        <f t="shared" si="12"/>
        <v>0</v>
      </c>
      <c r="AX39" s="1120">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1120">
        <f t="shared" si="11"/>
        <v>0</v>
      </c>
      <c r="AW40" s="1120">
        <f t="shared" si="12"/>
        <v>0</v>
      </c>
      <c r="AX40" s="1120">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1120">
        <f t="shared" si="11"/>
        <v>0</v>
      </c>
      <c r="AW41" s="1120">
        <f t="shared" si="12"/>
        <v>0</v>
      </c>
      <c r="AX41" s="1120">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1120">
        <f t="shared" si="11"/>
        <v>0</v>
      </c>
      <c r="AW42" s="1120">
        <f t="shared" si="12"/>
        <v>0</v>
      </c>
      <c r="AX42" s="1120">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1120">
        <f t="shared" si="11"/>
        <v>0</v>
      </c>
      <c r="AW43" s="1120">
        <f t="shared" si="12"/>
        <v>0</v>
      </c>
      <c r="AX43" s="1120">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1120">
        <f t="shared" si="11"/>
        <v>0</v>
      </c>
      <c r="AW44" s="1120">
        <f t="shared" si="12"/>
        <v>0</v>
      </c>
      <c r="AX44" s="1120">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1120">
        <f t="shared" si="11"/>
        <v>0</v>
      </c>
      <c r="AW45" s="1120">
        <f t="shared" si="12"/>
        <v>0</v>
      </c>
      <c r="AX45" s="1120">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1120">
        <f t="shared" si="11"/>
        <v>0</v>
      </c>
      <c r="AW46" s="1120">
        <f t="shared" si="12"/>
        <v>0</v>
      </c>
      <c r="AX46" s="1120">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1120">
        <f t="shared" si="11"/>
        <v>0</v>
      </c>
      <c r="AW47" s="1120">
        <f t="shared" si="12"/>
        <v>0</v>
      </c>
      <c r="AX47" s="1120">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1120">
        <f t="shared" si="11"/>
        <v>0</v>
      </c>
      <c r="AW48" s="1120">
        <f t="shared" si="12"/>
        <v>0</v>
      </c>
      <c r="AX48" s="1120">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1120">
        <f t="shared" si="11"/>
        <v>0</v>
      </c>
      <c r="AW49" s="1120">
        <f t="shared" si="12"/>
        <v>0</v>
      </c>
      <c r="AX49" s="1120">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1120">
        <f t="shared" si="11"/>
        <v>0</v>
      </c>
      <c r="AW50" s="1120">
        <f t="shared" si="12"/>
        <v>0</v>
      </c>
      <c r="AX50" s="1120">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1120">
        <f t="shared" si="11"/>
        <v>0</v>
      </c>
      <c r="AW51" s="1120">
        <f t="shared" si="12"/>
        <v>0</v>
      </c>
      <c r="AX51" s="1120">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1120">
        <f t="shared" si="11"/>
        <v>0</v>
      </c>
      <c r="AW52" s="1120">
        <f t="shared" si="12"/>
        <v>0</v>
      </c>
      <c r="AX52" s="1120">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1120">
        <f t="shared" si="11"/>
        <v>0</v>
      </c>
      <c r="AW53" s="1120">
        <f t="shared" si="12"/>
        <v>0</v>
      </c>
      <c r="AX53" s="1120">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1120">
        <f t="shared" si="11"/>
        <v>0</v>
      </c>
      <c r="AW54" s="1120">
        <f t="shared" si="12"/>
        <v>0</v>
      </c>
      <c r="AX54" s="1120">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1120">
        <f t="shared" si="11"/>
        <v>0</v>
      </c>
      <c r="AW55" s="1120">
        <f t="shared" si="12"/>
        <v>0</v>
      </c>
      <c r="AX55" s="1120">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1120">
        <f t="shared" si="11"/>
        <v>0</v>
      </c>
      <c r="AW56" s="1120">
        <f t="shared" si="12"/>
        <v>0</v>
      </c>
      <c r="AX56" s="1120">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1120">
        <f t="shared" si="11"/>
        <v>0</v>
      </c>
      <c r="AW57" s="1120">
        <f t="shared" si="12"/>
        <v>0</v>
      </c>
      <c r="AX57" s="1120">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1120">
        <f t="shared" si="11"/>
        <v>0</v>
      </c>
      <c r="AW58" s="1120">
        <f t="shared" si="12"/>
        <v>0</v>
      </c>
      <c r="AX58" s="1120">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1120">
        <f t="shared" si="11"/>
        <v>0</v>
      </c>
      <c r="AW59" s="1120">
        <f t="shared" si="12"/>
        <v>0</v>
      </c>
      <c r="AX59" s="1120">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1120">
        <f t="shared" si="11"/>
        <v>0</v>
      </c>
      <c r="AW60" s="1120">
        <f t="shared" si="12"/>
        <v>0</v>
      </c>
      <c r="AX60" s="1120">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1120">
        <f t="shared" si="11"/>
        <v>0</v>
      </c>
      <c r="AW61" s="1120">
        <f t="shared" si="12"/>
        <v>0</v>
      </c>
      <c r="AX61" s="1120">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1120">
        <f t="shared" si="11"/>
        <v>0</v>
      </c>
      <c r="AW62" s="1120">
        <f t="shared" si="12"/>
        <v>0</v>
      </c>
      <c r="AX62" s="1120">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1120">
        <f t="shared" si="11"/>
        <v>0</v>
      </c>
      <c r="AW63" s="1120">
        <f t="shared" si="12"/>
        <v>0</v>
      </c>
      <c r="AX63" s="1120">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1120">
        <f t="shared" si="11"/>
        <v>0</v>
      </c>
      <c r="AW64" s="1120">
        <f t="shared" si="12"/>
        <v>0</v>
      </c>
      <c r="AX64" s="1120">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1120">
        <f t="shared" si="11"/>
        <v>0</v>
      </c>
      <c r="AW65" s="1120">
        <f t="shared" si="12"/>
        <v>0</v>
      </c>
      <c r="AX65" s="1120">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1120">
        <f t="shared" si="11"/>
        <v>0</v>
      </c>
      <c r="AW66" s="1120">
        <f t="shared" si="12"/>
        <v>0</v>
      </c>
      <c r="AX66" s="1120">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1120">
        <f t="shared" si="11"/>
        <v>0</v>
      </c>
      <c r="AW67" s="1120">
        <f t="shared" si="12"/>
        <v>0</v>
      </c>
      <c r="AX67" s="1120">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1120">
        <f t="shared" si="11"/>
        <v>0</v>
      </c>
      <c r="AW68" s="1120">
        <f t="shared" si="12"/>
        <v>0</v>
      </c>
      <c r="AX68" s="1120">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1120">
        <f t="shared" si="11"/>
        <v>0</v>
      </c>
      <c r="AW69" s="1120">
        <f t="shared" si="12"/>
        <v>0</v>
      </c>
      <c r="AX69" s="1120">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1120">
        <f t="shared" si="11"/>
        <v>0</v>
      </c>
      <c r="AW70" s="1120">
        <f t="shared" si="12"/>
        <v>0</v>
      </c>
      <c r="AX70" s="1120">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1120">
        <f t="shared" si="11"/>
        <v>0</v>
      </c>
      <c r="AW71" s="1120">
        <f t="shared" si="12"/>
        <v>0</v>
      </c>
      <c r="AX71" s="1120">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1120">
        <f t="shared" si="11"/>
        <v>0</v>
      </c>
      <c r="AW72" s="1120">
        <f t="shared" si="12"/>
        <v>0</v>
      </c>
      <c r="AX72" s="1120">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1120">
        <f t="shared" si="11"/>
        <v>0</v>
      </c>
      <c r="AW73" s="1120">
        <f t="shared" si="12"/>
        <v>0</v>
      </c>
      <c r="AX73" s="1120">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1120">
        <f t="shared" si="11"/>
        <v>0</v>
      </c>
      <c r="AW74" s="1120">
        <f t="shared" si="12"/>
        <v>0</v>
      </c>
      <c r="AX74" s="1120">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1120">
        <f t="shared" si="11"/>
        <v>0</v>
      </c>
      <c r="AW75" s="1120">
        <f t="shared" si="12"/>
        <v>0</v>
      </c>
      <c r="AX75" s="1120">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1120">
        <f t="shared" si="11"/>
        <v>0</v>
      </c>
      <c r="AW76" s="1120">
        <f t="shared" si="12"/>
        <v>0</v>
      </c>
      <c r="AX76" s="1120">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1120">
        <f t="shared" si="11"/>
        <v>0</v>
      </c>
      <c r="AW77" s="1120">
        <f t="shared" si="12"/>
        <v>0</v>
      </c>
      <c r="AX77" s="1120">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1120">
        <f t="shared" si="11"/>
        <v>0</v>
      </c>
      <c r="AW78" s="1120">
        <f t="shared" si="12"/>
        <v>0</v>
      </c>
      <c r="AX78" s="1120">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1120">
        <f t="shared" si="11"/>
        <v>0</v>
      </c>
      <c r="AW79" s="1120">
        <f t="shared" si="12"/>
        <v>0</v>
      </c>
      <c r="AX79" s="1120">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1120">
        <f t="shared" si="11"/>
        <v>0</v>
      </c>
      <c r="AW80" s="1120">
        <f t="shared" si="12"/>
        <v>0</v>
      </c>
      <c r="AX80" s="1120">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1120">
        <f t="shared" si="11"/>
        <v>0</v>
      </c>
      <c r="AW81" s="1120">
        <f t="shared" si="12"/>
        <v>0</v>
      </c>
      <c r="AX81" s="1120">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1120">
        <f t="shared" si="11"/>
        <v>0</v>
      </c>
      <c r="AW82" s="1120">
        <f t="shared" si="12"/>
        <v>0</v>
      </c>
      <c r="AX82" s="1120">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1120">
        <f t="shared" si="11"/>
        <v>0</v>
      </c>
      <c r="AW83" s="1120">
        <f t="shared" si="12"/>
        <v>0</v>
      </c>
      <c r="AX83" s="1120">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1120">
        <f t="shared" si="11"/>
        <v>0</v>
      </c>
      <c r="AW84" s="1120">
        <f t="shared" si="12"/>
        <v>0</v>
      </c>
      <c r="AX84" s="1120">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1120">
        <f t="shared" si="11"/>
        <v>0</v>
      </c>
      <c r="AW85" s="1120">
        <f t="shared" si="12"/>
        <v>0</v>
      </c>
      <c r="AX85" s="1120">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1120">
        <f t="shared" si="11"/>
        <v>0</v>
      </c>
      <c r="AW86" s="1120">
        <f t="shared" si="12"/>
        <v>0</v>
      </c>
      <c r="AX86" s="1120">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1120">
        <f t="shared" si="11"/>
        <v>0</v>
      </c>
      <c r="AW87" s="1120">
        <f t="shared" si="12"/>
        <v>0</v>
      </c>
      <c r="AX87" s="1120">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1120">
        <f t="shared" si="11"/>
        <v>0</v>
      </c>
      <c r="AW88" s="1120">
        <f t="shared" si="12"/>
        <v>0</v>
      </c>
      <c r="AX88" s="1120">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1120">
        <f t="shared" si="11"/>
        <v>0</v>
      </c>
      <c r="AW89" s="1120">
        <f t="shared" si="12"/>
        <v>0</v>
      </c>
      <c r="AX89" s="1120">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1120">
        <f t="shared" si="11"/>
        <v>0</v>
      </c>
      <c r="AW90" s="1120">
        <f t="shared" si="12"/>
        <v>0</v>
      </c>
      <c r="AX90" s="1120">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1120">
        <f t="shared" si="11"/>
        <v>0</v>
      </c>
      <c r="AW91" s="1120">
        <f t="shared" si="12"/>
        <v>0</v>
      </c>
      <c r="AX91" s="1120">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1120">
        <f t="shared" si="11"/>
        <v>0</v>
      </c>
      <c r="AW92" s="1120">
        <f t="shared" si="12"/>
        <v>0</v>
      </c>
      <c r="AX92" s="1120">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1120">
        <f t="shared" si="11"/>
        <v>0</v>
      </c>
      <c r="AW93" s="1120">
        <f t="shared" si="12"/>
        <v>0</v>
      </c>
      <c r="AX93" s="1120">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1120">
        <f t="shared" si="11"/>
        <v>0</v>
      </c>
      <c r="AW94" s="1120">
        <f t="shared" si="12"/>
        <v>0</v>
      </c>
      <c r="AX94" s="1120">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1120">
        <f t="shared" si="11"/>
        <v>0</v>
      </c>
      <c r="AW95" s="1120">
        <f t="shared" si="12"/>
        <v>0</v>
      </c>
      <c r="AX95" s="1120">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1120">
        <f t="shared" si="11"/>
        <v>0</v>
      </c>
      <c r="AW96" s="1120">
        <f t="shared" si="12"/>
        <v>0</v>
      </c>
      <c r="AX96" s="1120">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1120">
        <f t="shared" si="11"/>
        <v>0</v>
      </c>
      <c r="AW97" s="1120">
        <f t="shared" si="12"/>
        <v>0</v>
      </c>
      <c r="AX97" s="1120">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1120">
        <f t="shared" si="11"/>
        <v>0</v>
      </c>
      <c r="AW98" s="1120">
        <f t="shared" si="12"/>
        <v>0</v>
      </c>
      <c r="AX98" s="1120">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1120">
        <f t="shared" si="11"/>
        <v>0</v>
      </c>
      <c r="AW99" s="1120">
        <f t="shared" si="12"/>
        <v>0</v>
      </c>
      <c r="AX99" s="1120">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1120">
        <f t="shared" si="11"/>
        <v>0</v>
      </c>
      <c r="AW100" s="1120">
        <f t="shared" si="12"/>
        <v>0</v>
      </c>
      <c r="AX100" s="1120">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1120">
        <f t="shared" si="11"/>
        <v>0</v>
      </c>
      <c r="AW101" s="1120">
        <f t="shared" si="12"/>
        <v>0</v>
      </c>
      <c r="AX101" s="1120">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1120">
        <f t="shared" si="11"/>
        <v>0</v>
      </c>
      <c r="AW102" s="1120">
        <f t="shared" si="12"/>
        <v>0</v>
      </c>
      <c r="AX102" s="1120">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1120">
        <f t="shared" si="11"/>
        <v>0</v>
      </c>
      <c r="AW103" s="1120">
        <f t="shared" si="12"/>
        <v>0</v>
      </c>
      <c r="AX103" s="1120">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1120">
        <f t="shared" si="11"/>
        <v>0</v>
      </c>
      <c r="AW104" s="1120">
        <f t="shared" si="12"/>
        <v>0</v>
      </c>
      <c r="AX104" s="1120">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1120">
        <f t="shared" si="11"/>
        <v>0</v>
      </c>
      <c r="AW105" s="1120">
        <f t="shared" si="12"/>
        <v>0</v>
      </c>
      <c r="AX105" s="1120">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1120">
        <f t="shared" si="11"/>
        <v>0</v>
      </c>
      <c r="AW106" s="1120">
        <f t="shared" si="12"/>
        <v>0</v>
      </c>
      <c r="AX106" s="1120">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1120">
        <f t="shared" si="11"/>
        <v>0</v>
      </c>
      <c r="AW107" s="1120">
        <f t="shared" si="12"/>
        <v>0</v>
      </c>
      <c r="AX107" s="1120">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1120">
        <f t="shared" si="11"/>
        <v>0</v>
      </c>
      <c r="AW108" s="1120">
        <f t="shared" si="12"/>
        <v>0</v>
      </c>
      <c r="AX108" s="1120">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1120">
        <f t="shared" si="11"/>
        <v>0</v>
      </c>
      <c r="AW109" s="1120">
        <f t="shared" si="12"/>
        <v>0</v>
      </c>
      <c r="AX109" s="1120">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1120">
        <f t="shared" si="11"/>
        <v>0</v>
      </c>
      <c r="AW110" s="1120">
        <f t="shared" si="12"/>
        <v>0</v>
      </c>
      <c r="AX110" s="1120">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1120">
        <f t="shared" si="11"/>
        <v>0</v>
      </c>
      <c r="AW111" s="1120">
        <f t="shared" si="12"/>
        <v>0</v>
      </c>
      <c r="AX111" s="1120">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1120">
        <f t="shared" si="11"/>
        <v>0</v>
      </c>
      <c r="AW112" s="1120">
        <f t="shared" si="12"/>
        <v>0</v>
      </c>
      <c r="AX112" s="1120">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1120">
        <f t="shared" ref="AV113:AV144" si="62">A113</f>
        <v>0</v>
      </c>
      <c r="AW113" s="1120">
        <f t="shared" ref="AW113:AW144" si="63">B113</f>
        <v>0</v>
      </c>
      <c r="AX113" s="1120">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1120">
        <f t="shared" si="62"/>
        <v>0</v>
      </c>
      <c r="AW114" s="1120">
        <f t="shared" si="63"/>
        <v>0</v>
      </c>
      <c r="AX114" s="1120">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1120">
        <f t="shared" si="62"/>
        <v>0</v>
      </c>
      <c r="AW115" s="1120">
        <f t="shared" si="63"/>
        <v>0</v>
      </c>
      <c r="AX115" s="1120">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1120">
        <f t="shared" si="62"/>
        <v>0</v>
      </c>
      <c r="AW116" s="1120">
        <f t="shared" si="63"/>
        <v>0</v>
      </c>
      <c r="AX116" s="1120">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1120">
        <f t="shared" si="62"/>
        <v>0</v>
      </c>
      <c r="AW117" s="1120">
        <f t="shared" si="63"/>
        <v>0</v>
      </c>
      <c r="AX117" s="1120">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1120">
        <f t="shared" si="62"/>
        <v>0</v>
      </c>
      <c r="AW118" s="1120">
        <f t="shared" si="63"/>
        <v>0</v>
      </c>
      <c r="AX118" s="1120">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1120">
        <f t="shared" si="62"/>
        <v>0</v>
      </c>
      <c r="AW119" s="1120">
        <f t="shared" si="63"/>
        <v>0</v>
      </c>
      <c r="AX119" s="1120">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1120">
        <f t="shared" si="62"/>
        <v>0</v>
      </c>
      <c r="AW120" s="1120">
        <f t="shared" si="63"/>
        <v>0</v>
      </c>
      <c r="AX120" s="1120">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1120">
        <f t="shared" si="62"/>
        <v>0</v>
      </c>
      <c r="AW121" s="1120">
        <f t="shared" si="63"/>
        <v>0</v>
      </c>
      <c r="AX121" s="1120">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1120">
        <f t="shared" si="62"/>
        <v>0</v>
      </c>
      <c r="AW122" s="1120">
        <f t="shared" si="63"/>
        <v>0</v>
      </c>
      <c r="AX122" s="1120">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1120">
        <f t="shared" si="62"/>
        <v>0</v>
      </c>
      <c r="AW123" s="1120">
        <f t="shared" si="63"/>
        <v>0</v>
      </c>
      <c r="AX123" s="1120">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1120">
        <f t="shared" si="62"/>
        <v>0</v>
      </c>
      <c r="AW124" s="1120">
        <f t="shared" si="63"/>
        <v>0</v>
      </c>
      <c r="AX124" s="1120">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1120">
        <f t="shared" si="62"/>
        <v>0</v>
      </c>
      <c r="AW125" s="1120">
        <f t="shared" si="63"/>
        <v>0</v>
      </c>
      <c r="AX125" s="1120">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1120">
        <f t="shared" si="62"/>
        <v>0</v>
      </c>
      <c r="AW126" s="1120">
        <f t="shared" si="63"/>
        <v>0</v>
      </c>
      <c r="AX126" s="1120">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1120">
        <f t="shared" si="62"/>
        <v>0</v>
      </c>
      <c r="AW127" s="1120">
        <f t="shared" si="63"/>
        <v>0</v>
      </c>
      <c r="AX127" s="1120">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1120">
        <f t="shared" si="62"/>
        <v>0</v>
      </c>
      <c r="AW128" s="1120">
        <f t="shared" si="63"/>
        <v>0</v>
      </c>
      <c r="AX128" s="1120">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1120">
        <f t="shared" si="62"/>
        <v>0</v>
      </c>
      <c r="AW129" s="1120">
        <f t="shared" si="63"/>
        <v>0</v>
      </c>
      <c r="AX129" s="1120">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1120">
        <f t="shared" si="62"/>
        <v>0</v>
      </c>
      <c r="AW130" s="1120">
        <f t="shared" si="63"/>
        <v>0</v>
      </c>
      <c r="AX130" s="1120">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1120">
        <f t="shared" si="62"/>
        <v>0</v>
      </c>
      <c r="AW131" s="1120">
        <f t="shared" si="63"/>
        <v>0</v>
      </c>
      <c r="AX131" s="1120">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1120">
        <f t="shared" si="62"/>
        <v>0</v>
      </c>
      <c r="AW132" s="1120">
        <f t="shared" si="63"/>
        <v>0</v>
      </c>
      <c r="AX132" s="1120">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1120">
        <f t="shared" si="62"/>
        <v>0</v>
      </c>
      <c r="AW133" s="1120">
        <f t="shared" si="63"/>
        <v>0</v>
      </c>
      <c r="AX133" s="1120">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1120">
        <f t="shared" si="62"/>
        <v>0</v>
      </c>
      <c r="AW134" s="1120">
        <f t="shared" si="63"/>
        <v>0</v>
      </c>
      <c r="AX134" s="1120">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1120">
        <f t="shared" si="62"/>
        <v>0</v>
      </c>
      <c r="AW135" s="1120">
        <f t="shared" si="63"/>
        <v>0</v>
      </c>
      <c r="AX135" s="1120">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1120">
        <f t="shared" si="62"/>
        <v>0</v>
      </c>
      <c r="AW136" s="1120">
        <f t="shared" si="63"/>
        <v>0</v>
      </c>
      <c r="AX136" s="1120">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1120">
        <f t="shared" si="62"/>
        <v>0</v>
      </c>
      <c r="AW137" s="1120">
        <f t="shared" si="63"/>
        <v>0</v>
      </c>
      <c r="AX137" s="1120">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1120">
        <f t="shared" si="62"/>
        <v>0</v>
      </c>
      <c r="AW138" s="1120">
        <f t="shared" si="63"/>
        <v>0</v>
      </c>
      <c r="AX138" s="1120">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1120">
        <f t="shared" si="62"/>
        <v>0</v>
      </c>
      <c r="AW139" s="1120">
        <f t="shared" si="63"/>
        <v>0</v>
      </c>
      <c r="AX139" s="1120">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1120">
        <f t="shared" si="62"/>
        <v>0</v>
      </c>
      <c r="AW140" s="1120">
        <f t="shared" si="63"/>
        <v>0</v>
      </c>
      <c r="AX140" s="1120">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1120">
        <f t="shared" si="62"/>
        <v>0</v>
      </c>
      <c r="AW141" s="1120">
        <f t="shared" si="63"/>
        <v>0</v>
      </c>
      <c r="AX141" s="1120">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1120">
        <f t="shared" si="62"/>
        <v>0</v>
      </c>
      <c r="AW142" s="1120">
        <f t="shared" si="63"/>
        <v>0</v>
      </c>
      <c r="AX142" s="1120">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1120">
        <f t="shared" si="62"/>
        <v>0</v>
      </c>
      <c r="AW143" s="1120">
        <f t="shared" si="63"/>
        <v>0</v>
      </c>
      <c r="AX143" s="1120">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1120">
        <f t="shared" si="62"/>
        <v>0</v>
      </c>
      <c r="AW144" s="1120">
        <f t="shared" si="63"/>
        <v>0</v>
      </c>
      <c r="AX144" s="1120">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1120">
        <f t="shared" ref="AV145:AV176" si="91">A145</f>
        <v>0</v>
      </c>
      <c r="AW145" s="1120">
        <f t="shared" ref="AW145:AW176" si="92">B145</f>
        <v>0</v>
      </c>
      <c r="AX145" s="1120">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1120">
        <f t="shared" si="91"/>
        <v>0</v>
      </c>
      <c r="AW146" s="1120">
        <f t="shared" si="92"/>
        <v>0</v>
      </c>
      <c r="AX146" s="1120">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1120">
        <f t="shared" si="91"/>
        <v>0</v>
      </c>
      <c r="AW147" s="1120">
        <f t="shared" si="92"/>
        <v>0</v>
      </c>
      <c r="AX147" s="1120">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1120">
        <f t="shared" si="91"/>
        <v>0</v>
      </c>
      <c r="AW148" s="1120">
        <f t="shared" si="92"/>
        <v>0</v>
      </c>
      <c r="AX148" s="1120">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1120">
        <f t="shared" si="91"/>
        <v>0</v>
      </c>
      <c r="AW149" s="1120">
        <f t="shared" si="92"/>
        <v>0</v>
      </c>
      <c r="AX149" s="1120">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1120">
        <f t="shared" si="91"/>
        <v>0</v>
      </c>
      <c r="AW150" s="1120">
        <f t="shared" si="92"/>
        <v>0</v>
      </c>
      <c r="AX150" s="1120">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1120">
        <f t="shared" si="91"/>
        <v>0</v>
      </c>
      <c r="AW151" s="1120">
        <f t="shared" si="92"/>
        <v>0</v>
      </c>
      <c r="AX151" s="1120">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1120">
        <f t="shared" si="91"/>
        <v>0</v>
      </c>
      <c r="AW152" s="1120">
        <f t="shared" si="92"/>
        <v>0</v>
      </c>
      <c r="AX152" s="1120">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1120">
        <f t="shared" si="91"/>
        <v>0</v>
      </c>
      <c r="AW153" s="1120">
        <f t="shared" si="92"/>
        <v>0</v>
      </c>
      <c r="AX153" s="1120">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1120">
        <f t="shared" si="91"/>
        <v>0</v>
      </c>
      <c r="AW154" s="1120">
        <f t="shared" si="92"/>
        <v>0</v>
      </c>
      <c r="AX154" s="1120">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1120">
        <f t="shared" si="91"/>
        <v>0</v>
      </c>
      <c r="AW155" s="1120">
        <f t="shared" si="92"/>
        <v>0</v>
      </c>
      <c r="AX155" s="1120">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1120">
        <f t="shared" si="91"/>
        <v>0</v>
      </c>
      <c r="AW156" s="1120">
        <f t="shared" si="92"/>
        <v>0</v>
      </c>
      <c r="AX156" s="1120">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1120">
        <f t="shared" si="91"/>
        <v>0</v>
      </c>
      <c r="AW157" s="1120">
        <f t="shared" si="92"/>
        <v>0</v>
      </c>
      <c r="AX157" s="1120">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1120">
        <f t="shared" si="91"/>
        <v>0</v>
      </c>
      <c r="AW158" s="1120">
        <f t="shared" si="92"/>
        <v>0</v>
      </c>
      <c r="AX158" s="1120">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1120">
        <f t="shared" si="91"/>
        <v>0</v>
      </c>
      <c r="AW159" s="1120">
        <f t="shared" si="92"/>
        <v>0</v>
      </c>
      <c r="AX159" s="1120">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1120">
        <f t="shared" si="91"/>
        <v>0</v>
      </c>
      <c r="AW160" s="1120">
        <f t="shared" si="92"/>
        <v>0</v>
      </c>
      <c r="AX160" s="1120">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1120">
        <f t="shared" si="91"/>
        <v>0</v>
      </c>
      <c r="AW161" s="1120">
        <f t="shared" si="92"/>
        <v>0</v>
      </c>
      <c r="AX161" s="1120">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1120">
        <f t="shared" si="91"/>
        <v>0</v>
      </c>
      <c r="AW162" s="1120">
        <f t="shared" si="92"/>
        <v>0</v>
      </c>
      <c r="AX162" s="1120">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1120">
        <f t="shared" si="91"/>
        <v>0</v>
      </c>
      <c r="AW163" s="1120">
        <f t="shared" si="92"/>
        <v>0</v>
      </c>
      <c r="AX163" s="1120">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1120">
        <f t="shared" si="91"/>
        <v>0</v>
      </c>
      <c r="AW164" s="1120">
        <f t="shared" si="92"/>
        <v>0</v>
      </c>
      <c r="AX164" s="1120">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1120">
        <f t="shared" si="91"/>
        <v>0</v>
      </c>
      <c r="AW165" s="1120">
        <f t="shared" si="92"/>
        <v>0</v>
      </c>
      <c r="AX165" s="1120">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1120">
        <f t="shared" si="91"/>
        <v>0</v>
      </c>
      <c r="AW166" s="1120">
        <f t="shared" si="92"/>
        <v>0</v>
      </c>
      <c r="AX166" s="1120">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1120">
        <f t="shared" si="91"/>
        <v>0</v>
      </c>
      <c r="AW167" s="1120">
        <f t="shared" si="92"/>
        <v>0</v>
      </c>
      <c r="AX167" s="1120">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1120">
        <f t="shared" si="91"/>
        <v>0</v>
      </c>
      <c r="AW168" s="1120">
        <f t="shared" si="92"/>
        <v>0</v>
      </c>
      <c r="AX168" s="1120">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1120">
        <f t="shared" si="91"/>
        <v>0</v>
      </c>
      <c r="AW169" s="1120">
        <f t="shared" si="92"/>
        <v>0</v>
      </c>
      <c r="AX169" s="1120">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1120">
        <f t="shared" si="91"/>
        <v>0</v>
      </c>
      <c r="AW170" s="1120">
        <f t="shared" si="92"/>
        <v>0</v>
      </c>
      <c r="AX170" s="1120">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1120">
        <f t="shared" si="91"/>
        <v>0</v>
      </c>
      <c r="AW171" s="1120">
        <f t="shared" si="92"/>
        <v>0</v>
      </c>
      <c r="AX171" s="1120">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1120">
        <f t="shared" si="91"/>
        <v>0</v>
      </c>
      <c r="AW172" s="1120">
        <f t="shared" si="92"/>
        <v>0</v>
      </c>
      <c r="AX172" s="1120">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1120">
        <f t="shared" si="91"/>
        <v>0</v>
      </c>
      <c r="AW173" s="1120">
        <f t="shared" si="92"/>
        <v>0</v>
      </c>
      <c r="AX173" s="1120">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1120">
        <f t="shared" si="91"/>
        <v>0</v>
      </c>
      <c r="AW174" s="1120">
        <f t="shared" si="92"/>
        <v>0</v>
      </c>
      <c r="AX174" s="1120">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1120">
        <f t="shared" si="91"/>
        <v>0</v>
      </c>
      <c r="AW175" s="1120">
        <f t="shared" si="92"/>
        <v>0</v>
      </c>
      <c r="AX175" s="1120">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1120">
        <f t="shared" si="91"/>
        <v>0</v>
      </c>
      <c r="AW176" s="1120">
        <f t="shared" si="92"/>
        <v>0</v>
      </c>
      <c r="AX176" s="1120">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1120">
        <f t="shared" ref="AV177:AV207" si="120">A177</f>
        <v>0</v>
      </c>
      <c r="AW177" s="1120">
        <f t="shared" ref="AW177:AW207" si="121">B177</f>
        <v>0</v>
      </c>
      <c r="AX177" s="1120">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1120">
        <f t="shared" si="120"/>
        <v>0</v>
      </c>
      <c r="AW178" s="1120">
        <f t="shared" si="121"/>
        <v>0</v>
      </c>
      <c r="AX178" s="1120">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1120">
        <f t="shared" si="120"/>
        <v>0</v>
      </c>
      <c r="AW179" s="1120">
        <f t="shared" si="121"/>
        <v>0</v>
      </c>
      <c r="AX179" s="1120">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1120">
        <f t="shared" si="120"/>
        <v>0</v>
      </c>
      <c r="AW180" s="1120">
        <f t="shared" si="121"/>
        <v>0</v>
      </c>
      <c r="AX180" s="1120">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1120">
        <f t="shared" si="120"/>
        <v>0</v>
      </c>
      <c r="AW181" s="1120">
        <f t="shared" si="121"/>
        <v>0</v>
      </c>
      <c r="AX181" s="1120">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1120">
        <f t="shared" si="120"/>
        <v>0</v>
      </c>
      <c r="AW182" s="1120">
        <f t="shared" si="121"/>
        <v>0</v>
      </c>
      <c r="AX182" s="1120">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1120">
        <f t="shared" si="120"/>
        <v>0</v>
      </c>
      <c r="AW183" s="1120">
        <f t="shared" si="121"/>
        <v>0</v>
      </c>
      <c r="AX183" s="1120">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1120">
        <f t="shared" si="120"/>
        <v>0</v>
      </c>
      <c r="AW184" s="1120">
        <f t="shared" si="121"/>
        <v>0</v>
      </c>
      <c r="AX184" s="1120">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1120">
        <f t="shared" si="120"/>
        <v>0</v>
      </c>
      <c r="AW185" s="1120">
        <f t="shared" si="121"/>
        <v>0</v>
      </c>
      <c r="AX185" s="1120">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1120">
        <f t="shared" si="120"/>
        <v>0</v>
      </c>
      <c r="AW186" s="1120">
        <f t="shared" si="121"/>
        <v>0</v>
      </c>
      <c r="AX186" s="1120">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1120">
        <f t="shared" si="120"/>
        <v>0</v>
      </c>
      <c r="AW187" s="1120">
        <f t="shared" si="121"/>
        <v>0</v>
      </c>
      <c r="AX187" s="1120">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1120">
        <f t="shared" si="120"/>
        <v>0</v>
      </c>
      <c r="AW188" s="1120">
        <f t="shared" si="121"/>
        <v>0</v>
      </c>
      <c r="AX188" s="1120">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1120">
        <f t="shared" si="120"/>
        <v>0</v>
      </c>
      <c r="AW189" s="1120">
        <f t="shared" si="121"/>
        <v>0</v>
      </c>
      <c r="AX189" s="1120">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1120">
        <f t="shared" si="120"/>
        <v>0</v>
      </c>
      <c r="AW190" s="1120">
        <f t="shared" si="121"/>
        <v>0</v>
      </c>
      <c r="AX190" s="1120">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1120">
        <f t="shared" si="120"/>
        <v>0</v>
      </c>
      <c r="AW191" s="1120">
        <f t="shared" si="121"/>
        <v>0</v>
      </c>
      <c r="AX191" s="1120">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1120">
        <f t="shared" si="120"/>
        <v>0</v>
      </c>
      <c r="AW192" s="1120">
        <f t="shared" si="121"/>
        <v>0</v>
      </c>
      <c r="AX192" s="1120">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1120">
        <f t="shared" si="120"/>
        <v>0</v>
      </c>
      <c r="AW193" s="1120">
        <f t="shared" si="121"/>
        <v>0</v>
      </c>
      <c r="AX193" s="1120">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1120">
        <f t="shared" si="120"/>
        <v>0</v>
      </c>
      <c r="AW194" s="1120">
        <f t="shared" si="121"/>
        <v>0</v>
      </c>
      <c r="AX194" s="1120">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1120">
        <f t="shared" si="120"/>
        <v>0</v>
      </c>
      <c r="AW195" s="1120">
        <f t="shared" si="121"/>
        <v>0</v>
      </c>
      <c r="AX195" s="1120">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1120">
        <f t="shared" si="120"/>
        <v>0</v>
      </c>
      <c r="AW196" s="1120">
        <f t="shared" si="121"/>
        <v>0</v>
      </c>
      <c r="AX196" s="1120">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1120">
        <f t="shared" si="120"/>
        <v>0</v>
      </c>
      <c r="AW197" s="1120">
        <f t="shared" si="121"/>
        <v>0</v>
      </c>
      <c r="AX197" s="1120">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1120">
        <f t="shared" si="120"/>
        <v>0</v>
      </c>
      <c r="AW198" s="1120">
        <f t="shared" si="121"/>
        <v>0</v>
      </c>
      <c r="AX198" s="1120">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1120">
        <f t="shared" si="120"/>
        <v>0</v>
      </c>
      <c r="AW199" s="1120">
        <f t="shared" si="121"/>
        <v>0</v>
      </c>
      <c r="AX199" s="1120">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1120">
        <f t="shared" si="120"/>
        <v>0</v>
      </c>
      <c r="AW200" s="1120">
        <f t="shared" si="121"/>
        <v>0</v>
      </c>
      <c r="AX200" s="1120">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1120">
        <f t="shared" si="120"/>
        <v>0</v>
      </c>
      <c r="AW201" s="1120">
        <f t="shared" si="121"/>
        <v>0</v>
      </c>
      <c r="AX201" s="1120">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1120">
        <f t="shared" si="120"/>
        <v>0</v>
      </c>
      <c r="AW202" s="1120">
        <f t="shared" si="121"/>
        <v>0</v>
      </c>
      <c r="AX202" s="1120">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1120">
        <f t="shared" si="120"/>
        <v>0</v>
      </c>
      <c r="AW203" s="1120">
        <f t="shared" si="121"/>
        <v>0</v>
      </c>
      <c r="AX203" s="1120">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1120">
        <f t="shared" si="120"/>
        <v>0</v>
      </c>
      <c r="AW204" s="1120">
        <f t="shared" si="121"/>
        <v>0</v>
      </c>
      <c r="AX204" s="1120">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1120">
        <f t="shared" si="120"/>
        <v>0</v>
      </c>
      <c r="AW205" s="1120">
        <f t="shared" si="121"/>
        <v>0</v>
      </c>
      <c r="AX205" s="1120">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1120">
        <f t="shared" si="120"/>
        <v>0</v>
      </c>
      <c r="AW206" s="1120">
        <f t="shared" si="121"/>
        <v>0</v>
      </c>
      <c r="AX206" s="1120">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1120">
        <f t="shared" si="120"/>
        <v>0</v>
      </c>
      <c r="AW207" s="1120">
        <f t="shared" si="121"/>
        <v>0</v>
      </c>
      <c r="AX207" s="1120">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1120">
        <f t="shared" ref="AV208:AV302" si="127">A208</f>
        <v>0</v>
      </c>
      <c r="AW208" s="1120">
        <f t="shared" ref="AW208:AW302" si="128">B208</f>
        <v>0</v>
      </c>
      <c r="AX208" s="1120">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1120">
        <f t="shared" si="127"/>
        <v>0</v>
      </c>
      <c r="AW209" s="1120">
        <f t="shared" si="128"/>
        <v>0</v>
      </c>
      <c r="AX209" s="1120">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1120">
        <f t="shared" si="127"/>
        <v>0</v>
      </c>
      <c r="AW210" s="1120">
        <f t="shared" si="128"/>
        <v>0</v>
      </c>
      <c r="AX210" s="1120">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1120">
        <f t="shared" si="127"/>
        <v>0</v>
      </c>
      <c r="AW211" s="1120">
        <f t="shared" si="128"/>
        <v>0</v>
      </c>
      <c r="AX211" s="1120">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1120">
        <f t="shared" si="127"/>
        <v>0</v>
      </c>
      <c r="AW212" s="1120">
        <f t="shared" si="128"/>
        <v>0</v>
      </c>
      <c r="AX212" s="1120">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1120">
        <f t="shared" si="127"/>
        <v>0</v>
      </c>
      <c r="AW213" s="1120">
        <f t="shared" si="128"/>
        <v>0</v>
      </c>
      <c r="AX213" s="1120">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1120">
        <f t="shared" si="127"/>
        <v>0</v>
      </c>
      <c r="AW214" s="1120">
        <f t="shared" si="128"/>
        <v>0</v>
      </c>
      <c r="AX214" s="1120">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1120">
        <f t="shared" si="127"/>
        <v>0</v>
      </c>
      <c r="AW215" s="1120">
        <f t="shared" si="128"/>
        <v>0</v>
      </c>
      <c r="AX215" s="1120">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1120">
        <f t="shared" si="127"/>
        <v>0</v>
      </c>
      <c r="AW216" s="1120">
        <f t="shared" si="128"/>
        <v>0</v>
      </c>
      <c r="AX216" s="1120">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1120">
        <f t="shared" si="127"/>
        <v>0</v>
      </c>
      <c r="AW217" s="1120">
        <f t="shared" si="128"/>
        <v>0</v>
      </c>
      <c r="AX217" s="1120">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1120">
        <f t="shared" si="127"/>
        <v>0</v>
      </c>
      <c r="AW218" s="1120">
        <f t="shared" si="128"/>
        <v>0</v>
      </c>
      <c r="AX218" s="1120">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1120">
        <f t="shared" si="127"/>
        <v>0</v>
      </c>
      <c r="AW219" s="1120">
        <f t="shared" si="128"/>
        <v>0</v>
      </c>
      <c r="AX219" s="1120">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1120">
        <f t="shared" si="127"/>
        <v>0</v>
      </c>
      <c r="AW220" s="1120">
        <f t="shared" si="128"/>
        <v>0</v>
      </c>
      <c r="AX220" s="1120">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1120">
        <f t="shared" si="127"/>
        <v>0</v>
      </c>
      <c r="AW221" s="1120">
        <f t="shared" si="128"/>
        <v>0</v>
      </c>
      <c r="AX221" s="1120">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1120">
        <f t="shared" si="127"/>
        <v>0</v>
      </c>
      <c r="AW222" s="1120">
        <f t="shared" si="128"/>
        <v>0</v>
      </c>
      <c r="AX222" s="1120">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1120">
        <f t="shared" si="127"/>
        <v>0</v>
      </c>
      <c r="AW223" s="1120">
        <f t="shared" si="128"/>
        <v>0</v>
      </c>
      <c r="AX223" s="1120">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1120">
        <f t="shared" si="127"/>
        <v>0</v>
      </c>
      <c r="AW224" s="1120">
        <f t="shared" si="128"/>
        <v>0</v>
      </c>
      <c r="AX224" s="1120">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1120">
        <f t="shared" si="127"/>
        <v>0</v>
      </c>
      <c r="AW225" s="1120">
        <f t="shared" si="128"/>
        <v>0</v>
      </c>
      <c r="AX225" s="1120">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1120">
        <f t="shared" si="127"/>
        <v>0</v>
      </c>
      <c r="AW226" s="1120">
        <f t="shared" si="128"/>
        <v>0</v>
      </c>
      <c r="AX226" s="1120">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1120">
        <f t="shared" si="127"/>
        <v>0</v>
      </c>
      <c r="AW227" s="1120">
        <f t="shared" si="128"/>
        <v>0</v>
      </c>
      <c r="AX227" s="1120">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1120">
        <f t="shared" si="127"/>
        <v>0</v>
      </c>
      <c r="AW228" s="1120">
        <f t="shared" si="128"/>
        <v>0</v>
      </c>
      <c r="AX228" s="1120">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1120">
        <f t="shared" si="127"/>
        <v>0</v>
      </c>
      <c r="AW229" s="1120">
        <f t="shared" si="128"/>
        <v>0</v>
      </c>
      <c r="AX229" s="1120">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1120">
        <f t="shared" si="127"/>
        <v>0</v>
      </c>
      <c r="AW230" s="1120">
        <f t="shared" si="128"/>
        <v>0</v>
      </c>
      <c r="AX230" s="1120">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1120">
        <f t="shared" si="127"/>
        <v>0</v>
      </c>
      <c r="AW231" s="1120">
        <f t="shared" si="128"/>
        <v>0</v>
      </c>
      <c r="AX231" s="1120">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1120">
        <f t="shared" si="127"/>
        <v>0</v>
      </c>
      <c r="AW232" s="1120">
        <f t="shared" si="128"/>
        <v>0</v>
      </c>
      <c r="AX232" s="1120">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1120">
        <f t="shared" si="127"/>
        <v>0</v>
      </c>
      <c r="AW233" s="1120">
        <f t="shared" si="128"/>
        <v>0</v>
      </c>
      <c r="AX233" s="1120">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1120">
        <f t="shared" si="127"/>
        <v>0</v>
      </c>
      <c r="AW234" s="1120">
        <f t="shared" si="128"/>
        <v>0</v>
      </c>
      <c r="AX234" s="1120">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1120">
        <f t="shared" si="127"/>
        <v>0</v>
      </c>
      <c r="AW235" s="1120">
        <f t="shared" si="128"/>
        <v>0</v>
      </c>
      <c r="AX235" s="1120">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1120">
        <f t="shared" si="127"/>
        <v>0</v>
      </c>
      <c r="AW236" s="1120">
        <f t="shared" si="128"/>
        <v>0</v>
      </c>
      <c r="AX236" s="1120">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1120">
        <f t="shared" si="127"/>
        <v>0</v>
      </c>
      <c r="AW237" s="1120">
        <f t="shared" si="128"/>
        <v>0</v>
      </c>
      <c r="AX237" s="1120">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1120">
        <f t="shared" si="127"/>
        <v>0</v>
      </c>
      <c r="AW238" s="1120">
        <f t="shared" si="128"/>
        <v>0</v>
      </c>
      <c r="AX238" s="1120">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1120">
        <f t="shared" si="127"/>
        <v>0</v>
      </c>
      <c r="AW239" s="1120">
        <f t="shared" si="128"/>
        <v>0</v>
      </c>
      <c r="AX239" s="1120">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1120">
        <f t="shared" si="127"/>
        <v>0</v>
      </c>
      <c r="AW240" s="1120">
        <f t="shared" si="128"/>
        <v>0</v>
      </c>
      <c r="AX240" s="1120">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1120">
        <f t="shared" si="127"/>
        <v>0</v>
      </c>
      <c r="AW241" s="1120">
        <f t="shared" si="128"/>
        <v>0</v>
      </c>
      <c r="AX241" s="1120">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1120">
        <f t="shared" si="127"/>
        <v>0</v>
      </c>
      <c r="AW242" s="1120">
        <f t="shared" si="128"/>
        <v>0</v>
      </c>
      <c r="AX242" s="1120">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1120">
        <f t="shared" si="127"/>
        <v>0</v>
      </c>
      <c r="AW243" s="1120">
        <f t="shared" si="128"/>
        <v>0</v>
      </c>
      <c r="AX243" s="1120">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1120">
        <f t="shared" si="127"/>
        <v>0</v>
      </c>
      <c r="AW244" s="1120">
        <f t="shared" si="128"/>
        <v>0</v>
      </c>
      <c r="AX244" s="1120">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1120">
        <f t="shared" si="127"/>
        <v>0</v>
      </c>
      <c r="AW245" s="1120">
        <f t="shared" si="128"/>
        <v>0</v>
      </c>
      <c r="AX245" s="1120">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1120">
        <f t="shared" si="127"/>
        <v>0</v>
      </c>
      <c r="AW246" s="1120">
        <f t="shared" si="128"/>
        <v>0</v>
      </c>
      <c r="AX246" s="1120">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1120">
        <f t="shared" si="127"/>
        <v>0</v>
      </c>
      <c r="AW247" s="1120">
        <f t="shared" si="128"/>
        <v>0</v>
      </c>
      <c r="AX247" s="1120">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1120">
        <f t="shared" si="127"/>
        <v>0</v>
      </c>
      <c r="AW248" s="1120">
        <f t="shared" si="128"/>
        <v>0</v>
      </c>
      <c r="AX248" s="1120">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1120">
        <f t="shared" si="127"/>
        <v>0</v>
      </c>
      <c r="AW249" s="1120">
        <f t="shared" si="128"/>
        <v>0</v>
      </c>
      <c r="AX249" s="1120">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1120">
        <f t="shared" si="127"/>
        <v>0</v>
      </c>
      <c r="AW250" s="1120">
        <f t="shared" si="128"/>
        <v>0</v>
      </c>
      <c r="AX250" s="1120">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1120">
        <f t="shared" si="127"/>
        <v>0</v>
      </c>
      <c r="AW251" s="1120">
        <f t="shared" si="128"/>
        <v>0</v>
      </c>
      <c r="AX251" s="1120">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1120">
        <f t="shared" si="127"/>
        <v>0</v>
      </c>
      <c r="AW252" s="1120">
        <f t="shared" si="128"/>
        <v>0</v>
      </c>
      <c r="AX252" s="1120">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1120">
        <f t="shared" si="127"/>
        <v>0</v>
      </c>
      <c r="AW253" s="1120">
        <f t="shared" si="128"/>
        <v>0</v>
      </c>
      <c r="AX253" s="1120">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1120">
        <f t="shared" si="127"/>
        <v>0</v>
      </c>
      <c r="AW254" s="1120">
        <f t="shared" si="128"/>
        <v>0</v>
      </c>
      <c r="AX254" s="1120">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1120">
        <f t="shared" si="127"/>
        <v>0</v>
      </c>
      <c r="AW255" s="1120">
        <f t="shared" si="128"/>
        <v>0</v>
      </c>
      <c r="AX255" s="1120">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1120">
        <f t="shared" si="127"/>
        <v>0</v>
      </c>
      <c r="AW256" s="1120">
        <f t="shared" si="128"/>
        <v>0</v>
      </c>
      <c r="AX256" s="1120">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1120">
        <f t="shared" si="127"/>
        <v>0</v>
      </c>
      <c r="AW257" s="1120">
        <f t="shared" si="128"/>
        <v>0</v>
      </c>
      <c r="AX257" s="1120">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1120">
        <f t="shared" si="127"/>
        <v>0</v>
      </c>
      <c r="AW258" s="1120">
        <f t="shared" si="128"/>
        <v>0</v>
      </c>
      <c r="AX258" s="1120">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1120">
        <f t="shared" si="127"/>
        <v>0</v>
      </c>
      <c r="AW259" s="1120">
        <f t="shared" si="128"/>
        <v>0</v>
      </c>
      <c r="AX259" s="1120">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1120">
        <f t="shared" si="127"/>
        <v>0</v>
      </c>
      <c r="AW260" s="1120">
        <f t="shared" si="128"/>
        <v>0</v>
      </c>
      <c r="AX260" s="1120">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1120">
        <f t="shared" si="127"/>
        <v>0</v>
      </c>
      <c r="AW261" s="1120">
        <f t="shared" si="128"/>
        <v>0</v>
      </c>
      <c r="AX261" s="1120">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1120">
        <f t="shared" si="127"/>
        <v>0</v>
      </c>
      <c r="AW262" s="1120">
        <f t="shared" si="128"/>
        <v>0</v>
      </c>
      <c r="AX262" s="1120">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1120">
        <f t="shared" si="127"/>
        <v>0</v>
      </c>
      <c r="AW263" s="1120">
        <f t="shared" si="128"/>
        <v>0</v>
      </c>
      <c r="AX263" s="1120">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1120">
        <f t="shared" si="127"/>
        <v>0</v>
      </c>
      <c r="AW264" s="1120">
        <f t="shared" si="128"/>
        <v>0</v>
      </c>
      <c r="AX264" s="1120">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1120">
        <f t="shared" si="127"/>
        <v>0</v>
      </c>
      <c r="AW265" s="1120">
        <f t="shared" si="128"/>
        <v>0</v>
      </c>
      <c r="AX265" s="1120">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1120">
        <f t="shared" si="127"/>
        <v>0</v>
      </c>
      <c r="AW266" s="1120">
        <f t="shared" si="128"/>
        <v>0</v>
      </c>
      <c r="AX266" s="1120">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1120">
        <f t="shared" si="127"/>
        <v>0</v>
      </c>
      <c r="AW267" s="1120">
        <f t="shared" si="128"/>
        <v>0</v>
      </c>
      <c r="AX267" s="1120">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1120">
        <f t="shared" si="127"/>
        <v>0</v>
      </c>
      <c r="AW268" s="1120">
        <f t="shared" si="128"/>
        <v>0</v>
      </c>
      <c r="AX268" s="1120">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1120">
        <f t="shared" si="127"/>
        <v>0</v>
      </c>
      <c r="AW269" s="1120">
        <f t="shared" si="128"/>
        <v>0</v>
      </c>
      <c r="AX269" s="1120">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1120">
        <f t="shared" si="127"/>
        <v>0</v>
      </c>
      <c r="AW270" s="1120">
        <f t="shared" si="128"/>
        <v>0</v>
      </c>
      <c r="AX270" s="1120">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1120">
        <f t="shared" si="127"/>
        <v>0</v>
      </c>
      <c r="AW271" s="1120">
        <f t="shared" si="128"/>
        <v>0</v>
      </c>
      <c r="AX271" s="1120">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1120">
        <f t="shared" si="127"/>
        <v>0</v>
      </c>
      <c r="AW272" s="1120">
        <f t="shared" si="128"/>
        <v>0</v>
      </c>
      <c r="AX272" s="1120">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1120">
        <f t="shared" si="127"/>
        <v>0</v>
      </c>
      <c r="AW273" s="1120">
        <f t="shared" si="128"/>
        <v>0</v>
      </c>
      <c r="AX273" s="1120">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1120">
        <f t="shared" si="127"/>
        <v>0</v>
      </c>
      <c r="AW274" s="1120">
        <f t="shared" si="128"/>
        <v>0</v>
      </c>
      <c r="AX274" s="1120">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1120">
        <f t="shared" si="127"/>
        <v>0</v>
      </c>
      <c r="AW275" s="1120">
        <f t="shared" si="128"/>
        <v>0</v>
      </c>
      <c r="AX275" s="1120">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1120">
        <f t="shared" si="127"/>
        <v>0</v>
      </c>
      <c r="AW276" s="1120">
        <f t="shared" si="128"/>
        <v>0</v>
      </c>
      <c r="AX276" s="1120">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1120">
        <f t="shared" si="127"/>
        <v>0</v>
      </c>
      <c r="AW277" s="1120">
        <f t="shared" si="128"/>
        <v>0</v>
      </c>
      <c r="AX277" s="1120">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1120">
        <f t="shared" si="127"/>
        <v>0</v>
      </c>
      <c r="AW278" s="1120">
        <f t="shared" si="128"/>
        <v>0</v>
      </c>
      <c r="AX278" s="1120">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1120">
        <f t="shared" si="127"/>
        <v>0</v>
      </c>
      <c r="AW279" s="1120">
        <f t="shared" si="128"/>
        <v>0</v>
      </c>
      <c r="AX279" s="1120">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1120">
        <f t="shared" si="127"/>
        <v>0</v>
      </c>
      <c r="AW280" s="1120">
        <f t="shared" si="128"/>
        <v>0</v>
      </c>
      <c r="AX280" s="1120">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1120">
        <f t="shared" si="127"/>
        <v>0</v>
      </c>
      <c r="AW281" s="1120">
        <f t="shared" si="128"/>
        <v>0</v>
      </c>
      <c r="AX281" s="1120">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1120">
        <f t="shared" si="127"/>
        <v>0</v>
      </c>
      <c r="AW282" s="1120">
        <f t="shared" si="128"/>
        <v>0</v>
      </c>
      <c r="AX282" s="1120">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1120">
        <f t="shared" si="127"/>
        <v>0</v>
      </c>
      <c r="AW283" s="1120">
        <f t="shared" si="128"/>
        <v>0</v>
      </c>
      <c r="AX283" s="1120">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1120">
        <f t="shared" si="127"/>
        <v>0</v>
      </c>
      <c r="AW284" s="1120">
        <f t="shared" si="128"/>
        <v>0</v>
      </c>
      <c r="AX284" s="1120">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1120">
        <f t="shared" si="127"/>
        <v>0</v>
      </c>
      <c r="AW285" s="1120">
        <f t="shared" si="128"/>
        <v>0</v>
      </c>
      <c r="AX285" s="1120">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1120">
        <f t="shared" si="127"/>
        <v>0</v>
      </c>
      <c r="AW286" s="1120">
        <f t="shared" si="128"/>
        <v>0</v>
      </c>
      <c r="AX286" s="1120">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1120">
        <f t="shared" si="127"/>
        <v>0</v>
      </c>
      <c r="AW287" s="1120">
        <f t="shared" si="128"/>
        <v>0</v>
      </c>
      <c r="AX287" s="1120">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1120">
        <f t="shared" si="127"/>
        <v>0</v>
      </c>
      <c r="AW288" s="1120">
        <f t="shared" si="128"/>
        <v>0</v>
      </c>
      <c r="AX288" s="1120">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1120">
        <f t="shared" si="127"/>
        <v>0</v>
      </c>
      <c r="AW289" s="1120">
        <f t="shared" si="128"/>
        <v>0</v>
      </c>
      <c r="AX289" s="1120">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1120">
        <f t="shared" si="127"/>
        <v>0</v>
      </c>
      <c r="AW290" s="1120">
        <f t="shared" si="128"/>
        <v>0</v>
      </c>
      <c r="AX290" s="1120">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1120">
        <f t="shared" si="127"/>
        <v>0</v>
      </c>
      <c r="AW291" s="1120">
        <f t="shared" si="128"/>
        <v>0</v>
      </c>
      <c r="AX291" s="1120">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1120">
        <f t="shared" si="127"/>
        <v>0</v>
      </c>
      <c r="AW292" s="1120">
        <f t="shared" si="128"/>
        <v>0</v>
      </c>
      <c r="AX292" s="1120">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1120">
        <f t="shared" si="127"/>
        <v>0</v>
      </c>
      <c r="AW293" s="1120">
        <f t="shared" si="128"/>
        <v>0</v>
      </c>
      <c r="AX293" s="1120">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1120">
        <f t="shared" si="127"/>
        <v>0</v>
      </c>
      <c r="AW294" s="1120">
        <f t="shared" si="128"/>
        <v>0</v>
      </c>
      <c r="AX294" s="1120">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1120">
        <f t="shared" si="127"/>
        <v>0</v>
      </c>
      <c r="AW295" s="1120">
        <f t="shared" si="128"/>
        <v>0</v>
      </c>
      <c r="AX295" s="1120">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1120">
        <f t="shared" si="127"/>
        <v>0</v>
      </c>
      <c r="AW296" s="1120">
        <f t="shared" si="128"/>
        <v>0</v>
      </c>
      <c r="AX296" s="1120">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1120">
        <f t="shared" si="127"/>
        <v>0</v>
      </c>
      <c r="AW297" s="1120">
        <f t="shared" si="128"/>
        <v>0</v>
      </c>
      <c r="AX297" s="1120">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1120">
        <f t="shared" si="127"/>
        <v>0</v>
      </c>
      <c r="AW298" s="1120">
        <f t="shared" si="128"/>
        <v>0</v>
      </c>
      <c r="AX298" s="1120">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1120">
        <f t="shared" si="127"/>
        <v>0</v>
      </c>
      <c r="AW299" s="1120">
        <f t="shared" si="128"/>
        <v>0</v>
      </c>
      <c r="AX299" s="1120">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1120">
        <f t="shared" si="127"/>
        <v>0</v>
      </c>
      <c r="AW300" s="1120">
        <f t="shared" si="128"/>
        <v>0</v>
      </c>
      <c r="AX300" s="1120">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1120">
        <f t="shared" si="127"/>
        <v>0</v>
      </c>
      <c r="AW301" s="1120">
        <f t="shared" si="128"/>
        <v>0</v>
      </c>
      <c r="AX301" s="1120">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1120">
        <f t="shared" si="127"/>
        <v>0</v>
      </c>
      <c r="AW302" s="1120">
        <f t="shared" si="128"/>
        <v>0</v>
      </c>
      <c r="AX302" s="1120">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1120">
        <f t="shared" ref="AV303:AV334" si="178">A303</f>
        <v>0</v>
      </c>
      <c r="AW303" s="1120">
        <f t="shared" ref="AW303:AW334" si="179">B303</f>
        <v>0</v>
      </c>
      <c r="AX303" s="1120">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1120">
        <f t="shared" si="178"/>
        <v>0</v>
      </c>
      <c r="AW304" s="1120">
        <f t="shared" si="179"/>
        <v>0</v>
      </c>
      <c r="AX304" s="1120">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1120">
        <f t="shared" si="178"/>
        <v>0</v>
      </c>
      <c r="AW305" s="1120">
        <f t="shared" si="179"/>
        <v>0</v>
      </c>
      <c r="AX305" s="1120">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1120">
        <f t="shared" si="178"/>
        <v>0</v>
      </c>
      <c r="AW306" s="1120">
        <f t="shared" si="179"/>
        <v>0</v>
      </c>
      <c r="AX306" s="1120">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1120">
        <f t="shared" si="178"/>
        <v>0</v>
      </c>
      <c r="AW307" s="1120">
        <f t="shared" si="179"/>
        <v>0</v>
      </c>
      <c r="AX307" s="1120">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1120">
        <f t="shared" si="178"/>
        <v>0</v>
      </c>
      <c r="AW308" s="1120">
        <f t="shared" si="179"/>
        <v>0</v>
      </c>
      <c r="AX308" s="1120">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1120">
        <f t="shared" si="178"/>
        <v>0</v>
      </c>
      <c r="AW309" s="1120">
        <f t="shared" si="179"/>
        <v>0</v>
      </c>
      <c r="AX309" s="1120">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1120">
        <f t="shared" si="178"/>
        <v>0</v>
      </c>
      <c r="AW310" s="1120">
        <f t="shared" si="179"/>
        <v>0</v>
      </c>
      <c r="AX310" s="1120">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1120">
        <f t="shared" si="178"/>
        <v>0</v>
      </c>
      <c r="AW311" s="1120">
        <f t="shared" si="179"/>
        <v>0</v>
      </c>
      <c r="AX311" s="1120">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1120">
        <f t="shared" si="178"/>
        <v>0</v>
      </c>
      <c r="AW312" s="1120">
        <f t="shared" si="179"/>
        <v>0</v>
      </c>
      <c r="AX312" s="1120">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1120">
        <f t="shared" si="178"/>
        <v>0</v>
      </c>
      <c r="AW313" s="1120">
        <f t="shared" si="179"/>
        <v>0</v>
      </c>
      <c r="AX313" s="1120">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1120">
        <f t="shared" si="178"/>
        <v>0</v>
      </c>
      <c r="AW314" s="1120">
        <f t="shared" si="179"/>
        <v>0</v>
      </c>
      <c r="AX314" s="1120">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1120">
        <f t="shared" si="178"/>
        <v>0</v>
      </c>
      <c r="AW315" s="1120">
        <f t="shared" si="179"/>
        <v>0</v>
      </c>
      <c r="AX315" s="1120">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1120">
        <f t="shared" si="178"/>
        <v>0</v>
      </c>
      <c r="AW316" s="1120">
        <f t="shared" si="179"/>
        <v>0</v>
      </c>
      <c r="AX316" s="1120">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1120">
        <f t="shared" si="178"/>
        <v>0</v>
      </c>
      <c r="AW317" s="1120">
        <f t="shared" si="179"/>
        <v>0</v>
      </c>
      <c r="AX317" s="1120">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1120">
        <f t="shared" si="178"/>
        <v>0</v>
      </c>
      <c r="AW318" s="1120">
        <f t="shared" si="179"/>
        <v>0</v>
      </c>
      <c r="AX318" s="1120">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1120">
        <f t="shared" si="178"/>
        <v>0</v>
      </c>
      <c r="AW319" s="1120">
        <f t="shared" si="179"/>
        <v>0</v>
      </c>
      <c r="AX319" s="1120">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1120">
        <f t="shared" si="178"/>
        <v>0</v>
      </c>
      <c r="AW320" s="1120">
        <f t="shared" si="179"/>
        <v>0</v>
      </c>
      <c r="AX320" s="1120">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1120">
        <f t="shared" si="178"/>
        <v>0</v>
      </c>
      <c r="AW321" s="1120">
        <f t="shared" si="179"/>
        <v>0</v>
      </c>
      <c r="AX321" s="1120">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1120">
        <f t="shared" si="178"/>
        <v>0</v>
      </c>
      <c r="AW322" s="1120">
        <f t="shared" si="179"/>
        <v>0</v>
      </c>
      <c r="AX322" s="1120">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1120">
        <f t="shared" si="178"/>
        <v>0</v>
      </c>
      <c r="AW323" s="1120">
        <f t="shared" si="179"/>
        <v>0</v>
      </c>
      <c r="AX323" s="1120">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1120">
        <f t="shared" si="178"/>
        <v>0</v>
      </c>
      <c r="AW324" s="1120">
        <f t="shared" si="179"/>
        <v>0</v>
      </c>
      <c r="AX324" s="1120">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1120">
        <f t="shared" si="178"/>
        <v>0</v>
      </c>
      <c r="AW325" s="1120">
        <f t="shared" si="179"/>
        <v>0</v>
      </c>
      <c r="AX325" s="1120">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1120">
        <f t="shared" si="178"/>
        <v>0</v>
      </c>
      <c r="AW326" s="1120">
        <f t="shared" si="179"/>
        <v>0</v>
      </c>
      <c r="AX326" s="1120">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1120">
        <f t="shared" si="178"/>
        <v>0</v>
      </c>
      <c r="AW327" s="1120">
        <f t="shared" si="179"/>
        <v>0</v>
      </c>
      <c r="AX327" s="1120">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1120">
        <f t="shared" si="178"/>
        <v>0</v>
      </c>
      <c r="AW328" s="1120">
        <f t="shared" si="179"/>
        <v>0</v>
      </c>
      <c r="AX328" s="1120">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1120">
        <f t="shared" si="178"/>
        <v>0</v>
      </c>
      <c r="AW329" s="1120">
        <f t="shared" si="179"/>
        <v>0</v>
      </c>
      <c r="AX329" s="1120">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1120">
        <f t="shared" si="178"/>
        <v>0</v>
      </c>
      <c r="AW330" s="1120">
        <f t="shared" si="179"/>
        <v>0</v>
      </c>
      <c r="AX330" s="1120">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1120">
        <f t="shared" si="178"/>
        <v>0</v>
      </c>
      <c r="AW331" s="1120">
        <f t="shared" si="179"/>
        <v>0</v>
      </c>
      <c r="AX331" s="1120">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1120">
        <f t="shared" si="178"/>
        <v>0</v>
      </c>
      <c r="AW332" s="1120">
        <f t="shared" si="179"/>
        <v>0</v>
      </c>
      <c r="AX332" s="1120">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1120">
        <f t="shared" si="178"/>
        <v>0</v>
      </c>
      <c r="AW333" s="1120">
        <f t="shared" si="179"/>
        <v>0</v>
      </c>
      <c r="AX333" s="1120">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1120">
        <f t="shared" si="178"/>
        <v>0</v>
      </c>
      <c r="AW334" s="1120">
        <f t="shared" si="179"/>
        <v>0</v>
      </c>
      <c r="AX334" s="1120">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1120">
        <f t="shared" ref="AV335:AV366" si="207">A335</f>
        <v>0</v>
      </c>
      <c r="AW335" s="1120">
        <f t="shared" ref="AW335:AW366" si="208">B335</f>
        <v>0</v>
      </c>
      <c r="AX335" s="1120">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1120">
        <f t="shared" si="207"/>
        <v>0</v>
      </c>
      <c r="AW336" s="1120">
        <f t="shared" si="208"/>
        <v>0</v>
      </c>
      <c r="AX336" s="1120">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1120">
        <f t="shared" si="207"/>
        <v>0</v>
      </c>
      <c r="AW337" s="1120">
        <f t="shared" si="208"/>
        <v>0</v>
      </c>
      <c r="AX337" s="1120">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1120">
        <f t="shared" si="207"/>
        <v>0</v>
      </c>
      <c r="AW338" s="1120">
        <f t="shared" si="208"/>
        <v>0</v>
      </c>
      <c r="AX338" s="1120">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1120">
        <f t="shared" si="207"/>
        <v>0</v>
      </c>
      <c r="AW339" s="1120">
        <f t="shared" si="208"/>
        <v>0</v>
      </c>
      <c r="AX339" s="1120">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1120">
        <f t="shared" si="207"/>
        <v>0</v>
      </c>
      <c r="AW340" s="1120">
        <f t="shared" si="208"/>
        <v>0</v>
      </c>
      <c r="AX340" s="1120">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1120">
        <f t="shared" si="207"/>
        <v>0</v>
      </c>
      <c r="AW341" s="1120">
        <f t="shared" si="208"/>
        <v>0</v>
      </c>
      <c r="AX341" s="1120">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1120">
        <f t="shared" si="207"/>
        <v>0</v>
      </c>
      <c r="AW342" s="1120">
        <f t="shared" si="208"/>
        <v>0</v>
      </c>
      <c r="AX342" s="1120">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1120">
        <f t="shared" si="207"/>
        <v>0</v>
      </c>
      <c r="AW343" s="1120">
        <f t="shared" si="208"/>
        <v>0</v>
      </c>
      <c r="AX343" s="1120">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1120">
        <f t="shared" si="207"/>
        <v>0</v>
      </c>
      <c r="AW344" s="1120">
        <f t="shared" si="208"/>
        <v>0</v>
      </c>
      <c r="AX344" s="1120">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1120">
        <f t="shared" si="207"/>
        <v>0</v>
      </c>
      <c r="AW345" s="1120">
        <f t="shared" si="208"/>
        <v>0</v>
      </c>
      <c r="AX345" s="1120">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1120">
        <f t="shared" si="207"/>
        <v>0</v>
      </c>
      <c r="AW346" s="1120">
        <f t="shared" si="208"/>
        <v>0</v>
      </c>
      <c r="AX346" s="1120">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1120">
        <f t="shared" si="207"/>
        <v>0</v>
      </c>
      <c r="AW347" s="1120">
        <f t="shared" si="208"/>
        <v>0</v>
      </c>
      <c r="AX347" s="1120">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1120">
        <f t="shared" si="207"/>
        <v>0</v>
      </c>
      <c r="AW348" s="1120">
        <f t="shared" si="208"/>
        <v>0</v>
      </c>
      <c r="AX348" s="1120">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1120">
        <f t="shared" si="207"/>
        <v>0</v>
      </c>
      <c r="AW349" s="1120">
        <f t="shared" si="208"/>
        <v>0</v>
      </c>
      <c r="AX349" s="1120">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1120">
        <f t="shared" si="207"/>
        <v>0</v>
      </c>
      <c r="AW350" s="1120">
        <f t="shared" si="208"/>
        <v>0</v>
      </c>
      <c r="AX350" s="1120">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1120">
        <f t="shared" si="207"/>
        <v>0</v>
      </c>
      <c r="AW351" s="1120">
        <f t="shared" si="208"/>
        <v>0</v>
      </c>
      <c r="AX351" s="1120">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1120">
        <f t="shared" si="207"/>
        <v>0</v>
      </c>
      <c r="AW352" s="1120">
        <f t="shared" si="208"/>
        <v>0</v>
      </c>
      <c r="AX352" s="1120">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1120">
        <f t="shared" si="207"/>
        <v>0</v>
      </c>
      <c r="AW353" s="1120">
        <f t="shared" si="208"/>
        <v>0</v>
      </c>
      <c r="AX353" s="1120">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1120">
        <f t="shared" si="207"/>
        <v>0</v>
      </c>
      <c r="AW354" s="1120">
        <f t="shared" si="208"/>
        <v>0</v>
      </c>
      <c r="AX354" s="1120">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1120">
        <f t="shared" si="207"/>
        <v>0</v>
      </c>
      <c r="AW355" s="1120">
        <f t="shared" si="208"/>
        <v>0</v>
      </c>
      <c r="AX355" s="1120">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1120">
        <f t="shared" si="207"/>
        <v>0</v>
      </c>
      <c r="AW356" s="1120">
        <f t="shared" si="208"/>
        <v>0</v>
      </c>
      <c r="AX356" s="1120">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1120">
        <f t="shared" si="207"/>
        <v>0</v>
      </c>
      <c r="AW357" s="1120">
        <f t="shared" si="208"/>
        <v>0</v>
      </c>
      <c r="AX357" s="1120">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1120">
        <f t="shared" si="207"/>
        <v>0</v>
      </c>
      <c r="AW358" s="1120">
        <f t="shared" si="208"/>
        <v>0</v>
      </c>
      <c r="AX358" s="1120">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1120">
        <f t="shared" si="207"/>
        <v>0</v>
      </c>
      <c r="AW359" s="1120">
        <f t="shared" si="208"/>
        <v>0</v>
      </c>
      <c r="AX359" s="1120">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1120">
        <f t="shared" si="207"/>
        <v>0</v>
      </c>
      <c r="AW360" s="1120">
        <f t="shared" si="208"/>
        <v>0</v>
      </c>
      <c r="AX360" s="1120">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1120">
        <f t="shared" si="207"/>
        <v>0</v>
      </c>
      <c r="AW361" s="1120">
        <f t="shared" si="208"/>
        <v>0</v>
      </c>
      <c r="AX361" s="1120">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1120">
        <f t="shared" si="207"/>
        <v>0</v>
      </c>
      <c r="AW362" s="1120">
        <f t="shared" si="208"/>
        <v>0</v>
      </c>
      <c r="AX362" s="1120">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1120">
        <f t="shared" si="207"/>
        <v>0</v>
      </c>
      <c r="AW363" s="1120">
        <f t="shared" si="208"/>
        <v>0</v>
      </c>
      <c r="AX363" s="1120">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1120">
        <f t="shared" si="207"/>
        <v>0</v>
      </c>
      <c r="AW364" s="1120">
        <f t="shared" si="208"/>
        <v>0</v>
      </c>
      <c r="AX364" s="1120">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1120">
        <f t="shared" si="207"/>
        <v>0</v>
      </c>
      <c r="AW365" s="1120">
        <f t="shared" si="208"/>
        <v>0</v>
      </c>
      <c r="AX365" s="1120">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1120">
        <f t="shared" si="207"/>
        <v>0</v>
      </c>
      <c r="AW366" s="1120">
        <f t="shared" si="208"/>
        <v>0</v>
      </c>
      <c r="AX366" s="1120">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1120">
        <f t="shared" ref="AV367:AV397" si="236">A367</f>
        <v>0</v>
      </c>
      <c r="AW367" s="1120">
        <f t="shared" ref="AW367:AW397" si="237">B367</f>
        <v>0</v>
      </c>
      <c r="AX367" s="1120">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1120">
        <f t="shared" si="236"/>
        <v>0</v>
      </c>
      <c r="AW368" s="1120">
        <f t="shared" si="237"/>
        <v>0</v>
      </c>
      <c r="AX368" s="1120">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1120">
        <f t="shared" si="236"/>
        <v>0</v>
      </c>
      <c r="AW369" s="1120">
        <f t="shared" si="237"/>
        <v>0</v>
      </c>
      <c r="AX369" s="1120">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1120">
        <f t="shared" si="236"/>
        <v>0</v>
      </c>
      <c r="AW370" s="1120">
        <f t="shared" si="237"/>
        <v>0</v>
      </c>
      <c r="AX370" s="1120">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1120">
        <f t="shared" si="236"/>
        <v>0</v>
      </c>
      <c r="AW371" s="1120">
        <f t="shared" si="237"/>
        <v>0</v>
      </c>
      <c r="AX371" s="1120">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1120">
        <f t="shared" si="236"/>
        <v>0</v>
      </c>
      <c r="AW372" s="1120">
        <f t="shared" si="237"/>
        <v>0</v>
      </c>
      <c r="AX372" s="1120">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1120">
        <f t="shared" si="236"/>
        <v>0</v>
      </c>
      <c r="AW373" s="1120">
        <f t="shared" si="237"/>
        <v>0</v>
      </c>
      <c r="AX373" s="1120">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1120">
        <f t="shared" si="236"/>
        <v>0</v>
      </c>
      <c r="AW374" s="1120">
        <f t="shared" si="237"/>
        <v>0</v>
      </c>
      <c r="AX374" s="1120">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1120">
        <f t="shared" si="236"/>
        <v>0</v>
      </c>
      <c r="AW375" s="1120">
        <f t="shared" si="237"/>
        <v>0</v>
      </c>
      <c r="AX375" s="1120">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1120">
        <f t="shared" si="236"/>
        <v>0</v>
      </c>
      <c r="AW376" s="1120">
        <f t="shared" si="237"/>
        <v>0</v>
      </c>
      <c r="AX376" s="1120">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1120">
        <f t="shared" si="236"/>
        <v>0</v>
      </c>
      <c r="AW377" s="1120">
        <f t="shared" si="237"/>
        <v>0</v>
      </c>
      <c r="AX377" s="1120">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1120">
        <f t="shared" si="236"/>
        <v>0</v>
      </c>
      <c r="AW378" s="1120">
        <f t="shared" si="237"/>
        <v>0</v>
      </c>
      <c r="AX378" s="1120">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1120">
        <f t="shared" si="236"/>
        <v>0</v>
      </c>
      <c r="AW379" s="1120">
        <f t="shared" si="237"/>
        <v>0</v>
      </c>
      <c r="AX379" s="1120">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1120">
        <f t="shared" si="236"/>
        <v>0</v>
      </c>
      <c r="AW380" s="1120">
        <f t="shared" si="237"/>
        <v>0</v>
      </c>
      <c r="AX380" s="1120">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1120">
        <f t="shared" si="236"/>
        <v>0</v>
      </c>
      <c r="AW381" s="1120">
        <f t="shared" si="237"/>
        <v>0</v>
      </c>
      <c r="AX381" s="1120">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1120">
        <f t="shared" si="236"/>
        <v>0</v>
      </c>
      <c r="AW382" s="1120">
        <f t="shared" si="237"/>
        <v>0</v>
      </c>
      <c r="AX382" s="1120">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1120">
        <f t="shared" si="236"/>
        <v>0</v>
      </c>
      <c r="AW383" s="1120">
        <f t="shared" si="237"/>
        <v>0</v>
      </c>
      <c r="AX383" s="1120">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1120">
        <f t="shared" si="236"/>
        <v>0</v>
      </c>
      <c r="AW384" s="1120">
        <f t="shared" si="237"/>
        <v>0</v>
      </c>
      <c r="AX384" s="1120">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1120">
        <f t="shared" si="236"/>
        <v>0</v>
      </c>
      <c r="AW385" s="1120">
        <f t="shared" si="237"/>
        <v>0</v>
      </c>
      <c r="AX385" s="1120">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1120">
        <f t="shared" si="236"/>
        <v>0</v>
      </c>
      <c r="AW386" s="1120">
        <f t="shared" si="237"/>
        <v>0</v>
      </c>
      <c r="AX386" s="1120">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1120">
        <f t="shared" si="236"/>
        <v>0</v>
      </c>
      <c r="AW387" s="1120">
        <f t="shared" si="237"/>
        <v>0</v>
      </c>
      <c r="AX387" s="1120">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1120">
        <f t="shared" si="236"/>
        <v>0</v>
      </c>
      <c r="AW388" s="1120">
        <f t="shared" si="237"/>
        <v>0</v>
      </c>
      <c r="AX388" s="1120">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1120">
        <f t="shared" si="236"/>
        <v>0</v>
      </c>
      <c r="AW389" s="1120">
        <f t="shared" si="237"/>
        <v>0</v>
      </c>
      <c r="AX389" s="1120">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1120">
        <f t="shared" si="236"/>
        <v>0</v>
      </c>
      <c r="AW390" s="1120">
        <f t="shared" si="237"/>
        <v>0</v>
      </c>
      <c r="AX390" s="1120">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1120">
        <f t="shared" si="236"/>
        <v>0</v>
      </c>
      <c r="AW391" s="1120">
        <f t="shared" si="237"/>
        <v>0</v>
      </c>
      <c r="AX391" s="1120">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1120">
        <f t="shared" si="236"/>
        <v>0</v>
      </c>
      <c r="AW392" s="1120">
        <f t="shared" si="237"/>
        <v>0</v>
      </c>
      <c r="AX392" s="1120">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1120">
        <f t="shared" si="236"/>
        <v>0</v>
      </c>
      <c r="AW393" s="1120">
        <f t="shared" si="237"/>
        <v>0</v>
      </c>
      <c r="AX393" s="1120">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1120">
        <f t="shared" si="236"/>
        <v>0</v>
      </c>
      <c r="AW394" s="1120">
        <f t="shared" si="237"/>
        <v>0</v>
      </c>
      <c r="AX394" s="1120">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1120">
        <f t="shared" si="236"/>
        <v>0</v>
      </c>
      <c r="AW395" s="1120">
        <f t="shared" si="237"/>
        <v>0</v>
      </c>
      <c r="AX395" s="1120">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1120">
        <f t="shared" si="236"/>
        <v>0</v>
      </c>
      <c r="AW396" s="1120">
        <f t="shared" si="237"/>
        <v>0</v>
      </c>
      <c r="AX396" s="1120">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1120">
        <f t="shared" si="236"/>
        <v>0</v>
      </c>
      <c r="AW397" s="1120">
        <f t="shared" si="237"/>
        <v>0</v>
      </c>
      <c r="AX397" s="1120">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1120">
        <f t="shared" ref="AV398:AV492" si="243">A398</f>
        <v>0</v>
      </c>
      <c r="AW398" s="1120">
        <f t="shared" ref="AW398:AW492" si="244">B398</f>
        <v>0</v>
      </c>
      <c r="AX398" s="1120">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1120">
        <f t="shared" si="243"/>
        <v>0</v>
      </c>
      <c r="AW399" s="1120">
        <f t="shared" si="244"/>
        <v>0</v>
      </c>
      <c r="AX399" s="1120">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1120">
        <f t="shared" si="243"/>
        <v>0</v>
      </c>
      <c r="AW400" s="1120">
        <f t="shared" si="244"/>
        <v>0</v>
      </c>
      <c r="AX400" s="1120">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1120">
        <f t="shared" si="243"/>
        <v>0</v>
      </c>
      <c r="AW401" s="1120">
        <f t="shared" si="244"/>
        <v>0</v>
      </c>
      <c r="AX401" s="1120">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1120">
        <f t="shared" si="243"/>
        <v>0</v>
      </c>
      <c r="AW402" s="1120">
        <f t="shared" si="244"/>
        <v>0</v>
      </c>
      <c r="AX402" s="1120">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1120">
        <f t="shared" si="243"/>
        <v>0</v>
      </c>
      <c r="AW403" s="1120">
        <f t="shared" si="244"/>
        <v>0</v>
      </c>
      <c r="AX403" s="1120">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1120">
        <f t="shared" si="243"/>
        <v>0</v>
      </c>
      <c r="AW404" s="1120">
        <f t="shared" si="244"/>
        <v>0</v>
      </c>
      <c r="AX404" s="1120">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1120">
        <f t="shared" si="243"/>
        <v>0</v>
      </c>
      <c r="AW405" s="1120">
        <f t="shared" si="244"/>
        <v>0</v>
      </c>
      <c r="AX405" s="1120">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1120">
        <f t="shared" si="243"/>
        <v>0</v>
      </c>
      <c r="AW406" s="1120">
        <f t="shared" si="244"/>
        <v>0</v>
      </c>
      <c r="AX406" s="1120">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1120">
        <f t="shared" si="243"/>
        <v>0</v>
      </c>
      <c r="AW407" s="1120">
        <f t="shared" si="244"/>
        <v>0</v>
      </c>
      <c r="AX407" s="1120">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1120">
        <f t="shared" si="243"/>
        <v>0</v>
      </c>
      <c r="AW408" s="1120">
        <f t="shared" si="244"/>
        <v>0</v>
      </c>
      <c r="AX408" s="1120">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1120">
        <f t="shared" si="243"/>
        <v>0</v>
      </c>
      <c r="AW409" s="1120">
        <f t="shared" si="244"/>
        <v>0</v>
      </c>
      <c r="AX409" s="1120">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1120">
        <f t="shared" si="243"/>
        <v>0</v>
      </c>
      <c r="AW410" s="1120">
        <f t="shared" si="244"/>
        <v>0</v>
      </c>
      <c r="AX410" s="1120">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1120">
        <f t="shared" si="243"/>
        <v>0</v>
      </c>
      <c r="AW411" s="1120">
        <f t="shared" si="244"/>
        <v>0</v>
      </c>
      <c r="AX411" s="1120">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1120">
        <f t="shared" si="243"/>
        <v>0</v>
      </c>
      <c r="AW412" s="1120">
        <f t="shared" si="244"/>
        <v>0</v>
      </c>
      <c r="AX412" s="1120">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1120">
        <f t="shared" si="243"/>
        <v>0</v>
      </c>
      <c r="AW413" s="1120">
        <f t="shared" si="244"/>
        <v>0</v>
      </c>
      <c r="AX413" s="1120">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1120">
        <f t="shared" si="243"/>
        <v>0</v>
      </c>
      <c r="AW414" s="1120">
        <f t="shared" si="244"/>
        <v>0</v>
      </c>
      <c r="AX414" s="1120">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1120">
        <f t="shared" si="243"/>
        <v>0</v>
      </c>
      <c r="AW415" s="1120">
        <f t="shared" si="244"/>
        <v>0</v>
      </c>
      <c r="AX415" s="1120">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1120">
        <f t="shared" si="243"/>
        <v>0</v>
      </c>
      <c r="AW416" s="1120">
        <f t="shared" si="244"/>
        <v>0</v>
      </c>
      <c r="AX416" s="1120">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1120">
        <f t="shared" si="243"/>
        <v>0</v>
      </c>
      <c r="AW417" s="1120">
        <f t="shared" si="244"/>
        <v>0</v>
      </c>
      <c r="AX417" s="1120">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1120">
        <f t="shared" si="243"/>
        <v>0</v>
      </c>
      <c r="AW418" s="1120">
        <f t="shared" si="244"/>
        <v>0</v>
      </c>
      <c r="AX418" s="1120">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1120">
        <f t="shared" si="243"/>
        <v>0</v>
      </c>
      <c r="AW419" s="1120">
        <f t="shared" si="244"/>
        <v>0</v>
      </c>
      <c r="AX419" s="1120">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1120">
        <f t="shared" si="243"/>
        <v>0</v>
      </c>
      <c r="AW420" s="1120">
        <f t="shared" si="244"/>
        <v>0</v>
      </c>
      <c r="AX420" s="1120">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1120">
        <f t="shared" si="243"/>
        <v>0</v>
      </c>
      <c r="AW421" s="1120">
        <f t="shared" si="244"/>
        <v>0</v>
      </c>
      <c r="AX421" s="1120">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1120">
        <f t="shared" si="243"/>
        <v>0</v>
      </c>
      <c r="AW422" s="1120">
        <f t="shared" si="244"/>
        <v>0</v>
      </c>
      <c r="AX422" s="1120">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1120">
        <f t="shared" si="243"/>
        <v>0</v>
      </c>
      <c r="AW423" s="1120">
        <f t="shared" si="244"/>
        <v>0</v>
      </c>
      <c r="AX423" s="1120">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1120">
        <f t="shared" si="243"/>
        <v>0</v>
      </c>
      <c r="AW424" s="1120">
        <f t="shared" si="244"/>
        <v>0</v>
      </c>
      <c r="AX424" s="1120">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1120">
        <f t="shared" si="243"/>
        <v>0</v>
      </c>
      <c r="AW425" s="1120">
        <f t="shared" si="244"/>
        <v>0</v>
      </c>
      <c r="AX425" s="1120">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1120">
        <f t="shared" si="243"/>
        <v>0</v>
      </c>
      <c r="AW426" s="1120">
        <f t="shared" si="244"/>
        <v>0</v>
      </c>
      <c r="AX426" s="1120">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1120">
        <f t="shared" si="243"/>
        <v>0</v>
      </c>
      <c r="AW427" s="1120">
        <f t="shared" si="244"/>
        <v>0</v>
      </c>
      <c r="AX427" s="1120">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1120">
        <f t="shared" si="243"/>
        <v>0</v>
      </c>
      <c r="AW428" s="1120">
        <f t="shared" si="244"/>
        <v>0</v>
      </c>
      <c r="AX428" s="1120">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1120">
        <f t="shared" si="243"/>
        <v>0</v>
      </c>
      <c r="AW429" s="1120">
        <f t="shared" si="244"/>
        <v>0</v>
      </c>
      <c r="AX429" s="1120">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1120">
        <f t="shared" si="243"/>
        <v>0</v>
      </c>
      <c r="AW430" s="1120">
        <f t="shared" si="244"/>
        <v>0</v>
      </c>
      <c r="AX430" s="1120">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1120">
        <f t="shared" si="243"/>
        <v>0</v>
      </c>
      <c r="AW431" s="1120">
        <f t="shared" si="244"/>
        <v>0</v>
      </c>
      <c r="AX431" s="1120">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1120">
        <f t="shared" si="243"/>
        <v>0</v>
      </c>
      <c r="AW432" s="1120">
        <f t="shared" si="244"/>
        <v>0</v>
      </c>
      <c r="AX432" s="1120">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1120">
        <f t="shared" si="243"/>
        <v>0</v>
      </c>
      <c r="AW433" s="1120">
        <f t="shared" si="244"/>
        <v>0</v>
      </c>
      <c r="AX433" s="1120">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1120">
        <f t="shared" si="243"/>
        <v>0</v>
      </c>
      <c r="AW434" s="1120">
        <f t="shared" si="244"/>
        <v>0</v>
      </c>
      <c r="AX434" s="1120">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1120">
        <f t="shared" si="243"/>
        <v>0</v>
      </c>
      <c r="AW435" s="1120">
        <f t="shared" si="244"/>
        <v>0</v>
      </c>
      <c r="AX435" s="1120">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1120">
        <f t="shared" si="243"/>
        <v>0</v>
      </c>
      <c r="AW436" s="1120">
        <f t="shared" si="244"/>
        <v>0</v>
      </c>
      <c r="AX436" s="1120">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1120">
        <f t="shared" si="243"/>
        <v>0</v>
      </c>
      <c r="AW437" s="1120">
        <f t="shared" si="244"/>
        <v>0</v>
      </c>
      <c r="AX437" s="1120">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1120">
        <f t="shared" si="243"/>
        <v>0</v>
      </c>
      <c r="AW438" s="1120">
        <f t="shared" si="244"/>
        <v>0</v>
      </c>
      <c r="AX438" s="1120">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1120">
        <f t="shared" si="243"/>
        <v>0</v>
      </c>
      <c r="AW439" s="1120">
        <f t="shared" si="244"/>
        <v>0</v>
      </c>
      <c r="AX439" s="1120">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1120">
        <f t="shared" si="243"/>
        <v>0</v>
      </c>
      <c r="AW440" s="1120">
        <f t="shared" si="244"/>
        <v>0</v>
      </c>
      <c r="AX440" s="1120">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1120">
        <f t="shared" si="243"/>
        <v>0</v>
      </c>
      <c r="AW441" s="1120">
        <f t="shared" si="244"/>
        <v>0</v>
      </c>
      <c r="AX441" s="1120">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1120">
        <f t="shared" si="243"/>
        <v>0</v>
      </c>
      <c r="AW442" s="1120">
        <f t="shared" si="244"/>
        <v>0</v>
      </c>
      <c r="AX442" s="1120">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1120">
        <f t="shared" si="243"/>
        <v>0</v>
      </c>
      <c r="AW443" s="1120">
        <f t="shared" si="244"/>
        <v>0</v>
      </c>
      <c r="AX443" s="1120">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1120">
        <f t="shared" si="243"/>
        <v>0</v>
      </c>
      <c r="AW444" s="1120">
        <f t="shared" si="244"/>
        <v>0</v>
      </c>
      <c r="AX444" s="1120">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1120">
        <f t="shared" si="243"/>
        <v>0</v>
      </c>
      <c r="AW445" s="1120">
        <f t="shared" si="244"/>
        <v>0</v>
      </c>
      <c r="AX445" s="1120">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1120">
        <f t="shared" si="243"/>
        <v>0</v>
      </c>
      <c r="AW446" s="1120">
        <f t="shared" si="244"/>
        <v>0</v>
      </c>
      <c r="AX446" s="1120">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1120">
        <f t="shared" si="243"/>
        <v>0</v>
      </c>
      <c r="AW447" s="1120">
        <f t="shared" si="244"/>
        <v>0</v>
      </c>
      <c r="AX447" s="1120">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1120">
        <f t="shared" si="243"/>
        <v>0</v>
      </c>
      <c r="AW448" s="1120">
        <f t="shared" si="244"/>
        <v>0</v>
      </c>
      <c r="AX448" s="1120">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1120">
        <f t="shared" si="243"/>
        <v>0</v>
      </c>
      <c r="AW449" s="1120">
        <f t="shared" si="244"/>
        <v>0</v>
      </c>
      <c r="AX449" s="1120">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1120">
        <f t="shared" si="243"/>
        <v>0</v>
      </c>
      <c r="AW450" s="1120">
        <f t="shared" si="244"/>
        <v>0</v>
      </c>
      <c r="AX450" s="1120">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1120">
        <f t="shared" si="243"/>
        <v>0</v>
      </c>
      <c r="AW451" s="1120">
        <f t="shared" si="244"/>
        <v>0</v>
      </c>
      <c r="AX451" s="1120">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1120">
        <f t="shared" si="243"/>
        <v>0</v>
      </c>
      <c r="AW452" s="1120">
        <f t="shared" si="244"/>
        <v>0</v>
      </c>
      <c r="AX452" s="1120">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1120">
        <f t="shared" si="243"/>
        <v>0</v>
      </c>
      <c r="AW453" s="1120">
        <f t="shared" si="244"/>
        <v>0</v>
      </c>
      <c r="AX453" s="1120">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1120">
        <f t="shared" si="243"/>
        <v>0</v>
      </c>
      <c r="AW454" s="1120">
        <f t="shared" si="244"/>
        <v>0</v>
      </c>
      <c r="AX454" s="1120">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1120">
        <f t="shared" si="243"/>
        <v>0</v>
      </c>
      <c r="AW455" s="1120">
        <f t="shared" si="244"/>
        <v>0</v>
      </c>
      <c r="AX455" s="1120">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1120">
        <f t="shared" si="243"/>
        <v>0</v>
      </c>
      <c r="AW456" s="1120">
        <f t="shared" si="244"/>
        <v>0</v>
      </c>
      <c r="AX456" s="1120">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1120">
        <f t="shared" si="243"/>
        <v>0</v>
      </c>
      <c r="AW457" s="1120">
        <f t="shared" si="244"/>
        <v>0</v>
      </c>
      <c r="AX457" s="1120">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1120">
        <f t="shared" si="243"/>
        <v>0</v>
      </c>
      <c r="AW458" s="1120">
        <f t="shared" si="244"/>
        <v>0</v>
      </c>
      <c r="AX458" s="1120">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1120">
        <f t="shared" si="243"/>
        <v>0</v>
      </c>
      <c r="AW459" s="1120">
        <f t="shared" si="244"/>
        <v>0</v>
      </c>
      <c r="AX459" s="1120">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1120">
        <f t="shared" si="243"/>
        <v>0</v>
      </c>
      <c r="AW460" s="1120">
        <f t="shared" si="244"/>
        <v>0</v>
      </c>
      <c r="AX460" s="1120">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1120">
        <f t="shared" si="243"/>
        <v>0</v>
      </c>
      <c r="AW461" s="1120">
        <f t="shared" si="244"/>
        <v>0</v>
      </c>
      <c r="AX461" s="1120">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1120">
        <f t="shared" si="243"/>
        <v>0</v>
      </c>
      <c r="AW462" s="1120">
        <f t="shared" si="244"/>
        <v>0</v>
      </c>
      <c r="AX462" s="1120">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1120">
        <f t="shared" si="243"/>
        <v>0</v>
      </c>
      <c r="AW463" s="1120">
        <f t="shared" si="244"/>
        <v>0</v>
      </c>
      <c r="AX463" s="1120">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1120">
        <f t="shared" si="243"/>
        <v>0</v>
      </c>
      <c r="AW464" s="1120">
        <f t="shared" si="244"/>
        <v>0</v>
      </c>
      <c r="AX464" s="1120">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1120">
        <f t="shared" si="243"/>
        <v>0</v>
      </c>
      <c r="AW465" s="1120">
        <f t="shared" si="244"/>
        <v>0</v>
      </c>
      <c r="AX465" s="1120">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1120">
        <f t="shared" si="243"/>
        <v>0</v>
      </c>
      <c r="AW466" s="1120">
        <f t="shared" si="244"/>
        <v>0</v>
      </c>
      <c r="AX466" s="1120">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1120">
        <f t="shared" si="243"/>
        <v>0</v>
      </c>
      <c r="AW467" s="1120">
        <f t="shared" si="244"/>
        <v>0</v>
      </c>
      <c r="AX467" s="1120">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1120">
        <f t="shared" si="243"/>
        <v>0</v>
      </c>
      <c r="AW468" s="1120">
        <f t="shared" si="244"/>
        <v>0</v>
      </c>
      <c r="AX468" s="1120">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1120">
        <f t="shared" si="243"/>
        <v>0</v>
      </c>
      <c r="AW469" s="1120">
        <f t="shared" si="244"/>
        <v>0</v>
      </c>
      <c r="AX469" s="1120">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1120">
        <f t="shared" si="243"/>
        <v>0</v>
      </c>
      <c r="AW470" s="1120">
        <f t="shared" si="244"/>
        <v>0</v>
      </c>
      <c r="AX470" s="1120">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1120">
        <f t="shared" si="243"/>
        <v>0</v>
      </c>
      <c r="AW471" s="1120">
        <f t="shared" si="244"/>
        <v>0</v>
      </c>
      <c r="AX471" s="1120">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1120">
        <f t="shared" si="243"/>
        <v>0</v>
      </c>
      <c r="AW472" s="1120">
        <f t="shared" si="244"/>
        <v>0</v>
      </c>
      <c r="AX472" s="1120">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1120">
        <f t="shared" si="243"/>
        <v>0</v>
      </c>
      <c r="AW473" s="1120">
        <f t="shared" si="244"/>
        <v>0</v>
      </c>
      <c r="AX473" s="1120">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1120">
        <f t="shared" si="243"/>
        <v>0</v>
      </c>
      <c r="AW474" s="1120">
        <f t="shared" si="244"/>
        <v>0</v>
      </c>
      <c r="AX474" s="1120">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1120">
        <f t="shared" si="243"/>
        <v>0</v>
      </c>
      <c r="AW475" s="1120">
        <f t="shared" si="244"/>
        <v>0</v>
      </c>
      <c r="AX475" s="1120">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1120">
        <f t="shared" si="243"/>
        <v>0</v>
      </c>
      <c r="AW476" s="1120">
        <f t="shared" si="244"/>
        <v>0</v>
      </c>
      <c r="AX476" s="1120">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1120">
        <f t="shared" si="243"/>
        <v>0</v>
      </c>
      <c r="AW477" s="1120">
        <f t="shared" si="244"/>
        <v>0</v>
      </c>
      <c r="AX477" s="1120">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1120">
        <f t="shared" si="243"/>
        <v>0</v>
      </c>
      <c r="AW478" s="1120">
        <f t="shared" si="244"/>
        <v>0</v>
      </c>
      <c r="AX478" s="1120">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1120">
        <f t="shared" si="243"/>
        <v>0</v>
      </c>
      <c r="AW479" s="1120">
        <f t="shared" si="244"/>
        <v>0</v>
      </c>
      <c r="AX479" s="1120">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1120">
        <f t="shared" si="243"/>
        <v>0</v>
      </c>
      <c r="AW480" s="1120">
        <f t="shared" si="244"/>
        <v>0</v>
      </c>
      <c r="AX480" s="1120">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1120">
        <f t="shared" si="243"/>
        <v>0</v>
      </c>
      <c r="AW481" s="1120">
        <f t="shared" si="244"/>
        <v>0</v>
      </c>
      <c r="AX481" s="1120">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1120">
        <f t="shared" si="243"/>
        <v>0</v>
      </c>
      <c r="AW482" s="1120">
        <f t="shared" si="244"/>
        <v>0</v>
      </c>
      <c r="AX482" s="1120">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1120">
        <f t="shared" si="243"/>
        <v>0</v>
      </c>
      <c r="AW483" s="1120">
        <f t="shared" si="244"/>
        <v>0</v>
      </c>
      <c r="AX483" s="1120">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1120">
        <f t="shared" si="243"/>
        <v>0</v>
      </c>
      <c r="AW484" s="1120">
        <f t="shared" si="244"/>
        <v>0</v>
      </c>
      <c r="AX484" s="1120">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1120">
        <f t="shared" si="243"/>
        <v>0</v>
      </c>
      <c r="AW485" s="1120">
        <f t="shared" si="244"/>
        <v>0</v>
      </c>
      <c r="AX485" s="1120">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1120">
        <f t="shared" si="243"/>
        <v>0</v>
      </c>
      <c r="AW486" s="1120">
        <f t="shared" si="244"/>
        <v>0</v>
      </c>
      <c r="AX486" s="1120">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1120">
        <f t="shared" si="243"/>
        <v>0</v>
      </c>
      <c r="AW487" s="1120">
        <f t="shared" si="244"/>
        <v>0</v>
      </c>
      <c r="AX487" s="1120">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1120">
        <f t="shared" si="243"/>
        <v>0</v>
      </c>
      <c r="AW488" s="1120">
        <f t="shared" si="244"/>
        <v>0</v>
      </c>
      <c r="AX488" s="1120">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1120">
        <f t="shared" si="243"/>
        <v>0</v>
      </c>
      <c r="AW489" s="1120">
        <f t="shared" si="244"/>
        <v>0</v>
      </c>
      <c r="AX489" s="1120">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1120">
        <f t="shared" si="243"/>
        <v>0</v>
      </c>
      <c r="AW490" s="1120">
        <f t="shared" si="244"/>
        <v>0</v>
      </c>
      <c r="AX490" s="1120">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1120">
        <f t="shared" si="243"/>
        <v>0</v>
      </c>
      <c r="AW491" s="1120">
        <f t="shared" si="244"/>
        <v>0</v>
      </c>
      <c r="AX491" s="1120">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1120">
        <f t="shared" si="243"/>
        <v>0</v>
      </c>
      <c r="AW492" s="1120">
        <f t="shared" si="244"/>
        <v>0</v>
      </c>
      <c r="AX492" s="1120">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1120">
        <f t="shared" ref="AV493:AV520" si="294">A493</f>
        <v>0</v>
      </c>
      <c r="AW493" s="1120">
        <f t="shared" ref="AW493:AW520" si="295">B493</f>
        <v>0</v>
      </c>
      <c r="AX493" s="1120">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1120">
        <f t="shared" si="294"/>
        <v>0</v>
      </c>
      <c r="AW494" s="1120">
        <f t="shared" si="295"/>
        <v>0</v>
      </c>
      <c r="AX494" s="1120">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1120">
        <f t="shared" si="294"/>
        <v>0</v>
      </c>
      <c r="AW495" s="1120">
        <f t="shared" si="295"/>
        <v>0</v>
      </c>
      <c r="AX495" s="1120">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1120">
        <f t="shared" si="294"/>
        <v>0</v>
      </c>
      <c r="AW496" s="1120">
        <f t="shared" si="295"/>
        <v>0</v>
      </c>
      <c r="AX496" s="1120">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1120">
        <f t="shared" si="294"/>
        <v>0</v>
      </c>
      <c r="AW497" s="1120">
        <f t="shared" si="295"/>
        <v>0</v>
      </c>
      <c r="AX497" s="1120">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1120">
        <f t="shared" si="294"/>
        <v>0</v>
      </c>
      <c r="AW498" s="1120">
        <f t="shared" si="295"/>
        <v>0</v>
      </c>
      <c r="AX498" s="1120">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1120">
        <f t="shared" si="294"/>
        <v>0</v>
      </c>
      <c r="AW499" s="1120">
        <f t="shared" si="295"/>
        <v>0</v>
      </c>
      <c r="AX499" s="1120">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1120">
        <f t="shared" si="294"/>
        <v>0</v>
      </c>
      <c r="AW500" s="1120">
        <f t="shared" si="295"/>
        <v>0</v>
      </c>
      <c r="AX500" s="1120">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1120">
        <f t="shared" si="294"/>
        <v>0</v>
      </c>
      <c r="AW501" s="1120">
        <f t="shared" si="295"/>
        <v>0</v>
      </c>
      <c r="AX501" s="1120">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1120">
        <f t="shared" si="294"/>
        <v>0</v>
      </c>
      <c r="AW502" s="1120">
        <f t="shared" si="295"/>
        <v>0</v>
      </c>
      <c r="AX502" s="1120">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1120">
        <f t="shared" si="294"/>
        <v>0</v>
      </c>
      <c r="AW503" s="1120">
        <f t="shared" si="295"/>
        <v>0</v>
      </c>
      <c r="AX503" s="1120">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1120">
        <f t="shared" si="294"/>
        <v>0</v>
      </c>
      <c r="AW504" s="1120">
        <f t="shared" si="295"/>
        <v>0</v>
      </c>
      <c r="AX504" s="1120">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1120">
        <f t="shared" si="294"/>
        <v>0</v>
      </c>
      <c r="AW505" s="1120">
        <f t="shared" si="295"/>
        <v>0</v>
      </c>
      <c r="AX505" s="1120">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1120">
        <f t="shared" si="294"/>
        <v>0</v>
      </c>
      <c r="AW506" s="1120">
        <f t="shared" si="295"/>
        <v>0</v>
      </c>
      <c r="AX506" s="1120">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1120">
        <f t="shared" si="294"/>
        <v>0</v>
      </c>
      <c r="AW507" s="1120">
        <f t="shared" si="295"/>
        <v>0</v>
      </c>
      <c r="AX507" s="1120">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1120">
        <f t="shared" si="294"/>
        <v>0</v>
      </c>
      <c r="AW508" s="1120">
        <f t="shared" si="295"/>
        <v>0</v>
      </c>
      <c r="AX508" s="1120">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1120">
        <f t="shared" si="294"/>
        <v>0</v>
      </c>
      <c r="AW509" s="1120">
        <f t="shared" si="295"/>
        <v>0</v>
      </c>
      <c r="AX509" s="1120">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1120">
        <f t="shared" si="294"/>
        <v>0</v>
      </c>
      <c r="AW510" s="1120">
        <f t="shared" si="295"/>
        <v>0</v>
      </c>
      <c r="AX510" s="1120">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1120">
        <f t="shared" si="294"/>
        <v>0</v>
      </c>
      <c r="AW511" s="1120">
        <f t="shared" si="295"/>
        <v>0</v>
      </c>
      <c r="AX511" s="1120">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1120">
        <f t="shared" si="294"/>
        <v>0</v>
      </c>
      <c r="AW512" s="1120">
        <f t="shared" si="295"/>
        <v>0</v>
      </c>
      <c r="AX512" s="1120">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1120">
        <f t="shared" si="294"/>
        <v>0</v>
      </c>
      <c r="AW513" s="1120">
        <f t="shared" si="295"/>
        <v>0</v>
      </c>
      <c r="AX513" s="1120">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1120">
        <f t="shared" si="294"/>
        <v>0</v>
      </c>
      <c r="AW514" s="1120">
        <f t="shared" si="295"/>
        <v>0</v>
      </c>
      <c r="AX514" s="1120">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1120">
        <f t="shared" si="294"/>
        <v>0</v>
      </c>
      <c r="AW515" s="1120">
        <f t="shared" si="295"/>
        <v>0</v>
      </c>
      <c r="AX515" s="1120">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1120">
        <f t="shared" si="294"/>
        <v>0</v>
      </c>
      <c r="AW516" s="1120">
        <f t="shared" si="295"/>
        <v>0</v>
      </c>
      <c r="AX516" s="1120">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1120">
        <f t="shared" si="294"/>
        <v>0</v>
      </c>
      <c r="AW517" s="1120">
        <f t="shared" si="295"/>
        <v>0</v>
      </c>
      <c r="AX517" s="1120">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1120">
        <f t="shared" si="294"/>
        <v>0</v>
      </c>
      <c r="AW518" s="1120">
        <f t="shared" si="295"/>
        <v>0</v>
      </c>
      <c r="AX518" s="1120">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1120">
        <f t="shared" si="294"/>
        <v>0</v>
      </c>
      <c r="AW519" s="1120">
        <f t="shared" si="295"/>
        <v>0</v>
      </c>
      <c r="AX519" s="1120">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1120">
        <f t="shared" si="294"/>
        <v>0</v>
      </c>
      <c r="AW520" s="1120">
        <f t="shared" si="295"/>
        <v>0</v>
      </c>
      <c r="AX520" s="1120">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1120">
        <f t="shared" ref="AV521:AV552" si="298">A521</f>
        <v>0</v>
      </c>
      <c r="AW521" s="1120">
        <f t="shared" ref="AW521:AW552" si="299">B521</f>
        <v>0</v>
      </c>
      <c r="AX521" s="1120">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1120">
        <f t="shared" si="298"/>
        <v>0</v>
      </c>
      <c r="AW522" s="1120">
        <f t="shared" si="299"/>
        <v>0</v>
      </c>
      <c r="AX522" s="1120">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1120">
        <f t="shared" si="298"/>
        <v>0</v>
      </c>
      <c r="AW523" s="1120">
        <f t="shared" si="299"/>
        <v>0</v>
      </c>
      <c r="AX523" s="1120">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1120">
        <f t="shared" si="298"/>
        <v>0</v>
      </c>
      <c r="AW524" s="1120">
        <f t="shared" si="299"/>
        <v>0</v>
      </c>
      <c r="AX524" s="1120">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1120">
        <f t="shared" si="298"/>
        <v>0</v>
      </c>
      <c r="AW525" s="1120">
        <f t="shared" si="299"/>
        <v>0</v>
      </c>
      <c r="AX525" s="1120">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1120">
        <f t="shared" si="298"/>
        <v>0</v>
      </c>
      <c r="AW526" s="1120">
        <f t="shared" si="299"/>
        <v>0</v>
      </c>
      <c r="AX526" s="1120">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1120">
        <f t="shared" si="298"/>
        <v>0</v>
      </c>
      <c r="AW527" s="1120">
        <f t="shared" si="299"/>
        <v>0</v>
      </c>
      <c r="AX527" s="1120">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1120">
        <f t="shared" si="298"/>
        <v>0</v>
      </c>
      <c r="AW528" s="1120">
        <f t="shared" si="299"/>
        <v>0</v>
      </c>
      <c r="AX528" s="1120">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1120">
        <f t="shared" si="298"/>
        <v>0</v>
      </c>
      <c r="AW529" s="1120">
        <f t="shared" si="299"/>
        <v>0</v>
      </c>
      <c r="AX529" s="1120">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1120">
        <f t="shared" si="298"/>
        <v>0</v>
      </c>
      <c r="AW530" s="1120">
        <f t="shared" si="299"/>
        <v>0</v>
      </c>
      <c r="AX530" s="1120">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1120">
        <f t="shared" si="298"/>
        <v>0</v>
      </c>
      <c r="AW531" s="1120">
        <f t="shared" si="299"/>
        <v>0</v>
      </c>
      <c r="AX531" s="1120">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1120">
        <f t="shared" si="298"/>
        <v>0</v>
      </c>
      <c r="AW532" s="1120">
        <f t="shared" si="299"/>
        <v>0</v>
      </c>
      <c r="AX532" s="1120">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1120">
        <f t="shared" si="298"/>
        <v>0</v>
      </c>
      <c r="AW533" s="1120">
        <f t="shared" si="299"/>
        <v>0</v>
      </c>
      <c r="AX533" s="1120">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1120">
        <f t="shared" si="298"/>
        <v>0</v>
      </c>
      <c r="AW534" s="1120">
        <f t="shared" si="299"/>
        <v>0</v>
      </c>
      <c r="AX534" s="1120">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1120">
        <f t="shared" si="298"/>
        <v>0</v>
      </c>
      <c r="AW535" s="1120">
        <f t="shared" si="299"/>
        <v>0</v>
      </c>
      <c r="AX535" s="1120">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1120">
        <f t="shared" si="298"/>
        <v>0</v>
      </c>
      <c r="AW536" s="1120">
        <f t="shared" si="299"/>
        <v>0</v>
      </c>
      <c r="AX536" s="1120">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1120">
        <f t="shared" si="298"/>
        <v>0</v>
      </c>
      <c r="AW537" s="1120">
        <f t="shared" si="299"/>
        <v>0</v>
      </c>
      <c r="AX537" s="1120">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1120">
        <f t="shared" si="298"/>
        <v>0</v>
      </c>
      <c r="AW538" s="1120">
        <f t="shared" si="299"/>
        <v>0</v>
      </c>
      <c r="AX538" s="1120">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1120">
        <f t="shared" si="298"/>
        <v>0</v>
      </c>
      <c r="AW539" s="1120">
        <f t="shared" si="299"/>
        <v>0</v>
      </c>
      <c r="AX539" s="1120">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1120">
        <f t="shared" si="298"/>
        <v>0</v>
      </c>
      <c r="AW540" s="1120">
        <f t="shared" si="299"/>
        <v>0</v>
      </c>
      <c r="AX540" s="1120">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1120">
        <f t="shared" si="298"/>
        <v>0</v>
      </c>
      <c r="AW541" s="1120">
        <f t="shared" si="299"/>
        <v>0</v>
      </c>
      <c r="AX541" s="1120">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1120">
        <f t="shared" si="298"/>
        <v>0</v>
      </c>
      <c r="AW542" s="1120">
        <f t="shared" si="299"/>
        <v>0</v>
      </c>
      <c r="AX542" s="1120">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1120">
        <f t="shared" si="298"/>
        <v>0</v>
      </c>
      <c r="AW543" s="1120">
        <f t="shared" si="299"/>
        <v>0</v>
      </c>
      <c r="AX543" s="1120">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1120">
        <f t="shared" si="298"/>
        <v>0</v>
      </c>
      <c r="AW544" s="1120">
        <f t="shared" si="299"/>
        <v>0</v>
      </c>
      <c r="AX544" s="1120">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1120">
        <f t="shared" si="298"/>
        <v>0</v>
      </c>
      <c r="AW545" s="1120">
        <f t="shared" si="299"/>
        <v>0</v>
      </c>
      <c r="AX545" s="1120">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1120">
        <f t="shared" si="298"/>
        <v>0</v>
      </c>
      <c r="AW546" s="1120">
        <f t="shared" si="299"/>
        <v>0</v>
      </c>
      <c r="AX546" s="1120">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1120">
        <f t="shared" si="298"/>
        <v>0</v>
      </c>
      <c r="AW547" s="1120">
        <f t="shared" si="299"/>
        <v>0</v>
      </c>
      <c r="AX547" s="1120">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1120">
        <f t="shared" si="298"/>
        <v>0</v>
      </c>
      <c r="AW548" s="1120">
        <f t="shared" si="299"/>
        <v>0</v>
      </c>
      <c r="AX548" s="1120">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1120">
        <f t="shared" si="298"/>
        <v>0</v>
      </c>
      <c r="AW549" s="1120">
        <f t="shared" si="299"/>
        <v>0</v>
      </c>
      <c r="AX549" s="1120">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1120">
        <f t="shared" si="298"/>
        <v>0</v>
      </c>
      <c r="AW550" s="1120">
        <f t="shared" si="299"/>
        <v>0</v>
      </c>
      <c r="AX550" s="1120">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1120">
        <f t="shared" si="298"/>
        <v>0</v>
      </c>
      <c r="AW551" s="1120">
        <f t="shared" si="299"/>
        <v>0</v>
      </c>
      <c r="AX551" s="1120">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1120">
        <f t="shared" si="298"/>
        <v>0</v>
      </c>
      <c r="AW552" s="1120">
        <f t="shared" si="299"/>
        <v>0</v>
      </c>
      <c r="AX552" s="1120">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1120">
        <f t="shared" ref="AV553:AV587" si="330">A553</f>
        <v>0</v>
      </c>
      <c r="AW553" s="1120">
        <f t="shared" ref="AW553:AW587" si="331">B553</f>
        <v>0</v>
      </c>
      <c r="AX553" s="1120">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1120">
        <f t="shared" si="330"/>
        <v>0</v>
      </c>
      <c r="AW554" s="1120">
        <f t="shared" si="331"/>
        <v>0</v>
      </c>
      <c r="AX554" s="1120">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1120">
        <f t="shared" si="330"/>
        <v>0</v>
      </c>
      <c r="AW555" s="1120">
        <f t="shared" si="331"/>
        <v>0</v>
      </c>
      <c r="AX555" s="1120">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1120">
        <f t="shared" si="330"/>
        <v>0</v>
      </c>
      <c r="AW556" s="1120">
        <f t="shared" si="331"/>
        <v>0</v>
      </c>
      <c r="AX556" s="1120">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1120">
        <f t="shared" si="330"/>
        <v>0</v>
      </c>
      <c r="AW557" s="1120">
        <f t="shared" si="331"/>
        <v>0</v>
      </c>
      <c r="AX557" s="1120">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1120">
        <f t="shared" si="330"/>
        <v>0</v>
      </c>
      <c r="AW558" s="1120">
        <f t="shared" si="331"/>
        <v>0</v>
      </c>
      <c r="AX558" s="1120">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1120">
        <f t="shared" si="330"/>
        <v>0</v>
      </c>
      <c r="AW559" s="1120">
        <f t="shared" si="331"/>
        <v>0</v>
      </c>
      <c r="AX559" s="1120">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1120">
        <f t="shared" si="330"/>
        <v>0</v>
      </c>
      <c r="AW560" s="1120">
        <f t="shared" si="331"/>
        <v>0</v>
      </c>
      <c r="AX560" s="1120">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1120">
        <f t="shared" si="330"/>
        <v>0</v>
      </c>
      <c r="AW561" s="1120">
        <f t="shared" si="331"/>
        <v>0</v>
      </c>
      <c r="AX561" s="1120">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1120">
        <f t="shared" si="330"/>
        <v>0</v>
      </c>
      <c r="AW562" s="1120">
        <f t="shared" si="331"/>
        <v>0</v>
      </c>
      <c r="AX562" s="1120">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1120">
        <f t="shared" si="330"/>
        <v>0</v>
      </c>
      <c r="AW563" s="1120">
        <f t="shared" si="331"/>
        <v>0</v>
      </c>
      <c r="AX563" s="1120">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1120">
        <f t="shared" si="330"/>
        <v>0</v>
      </c>
      <c r="AW564" s="1120">
        <f t="shared" si="331"/>
        <v>0</v>
      </c>
      <c r="AX564" s="1120">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1120">
        <f t="shared" si="330"/>
        <v>0</v>
      </c>
      <c r="AW565" s="1120">
        <f t="shared" si="331"/>
        <v>0</v>
      </c>
      <c r="AX565" s="1120">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1120">
        <f t="shared" si="330"/>
        <v>0</v>
      </c>
      <c r="AW566" s="1120">
        <f t="shared" si="331"/>
        <v>0</v>
      </c>
      <c r="AX566" s="1120">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1120">
        <f t="shared" si="330"/>
        <v>0</v>
      </c>
      <c r="AW567" s="1120">
        <f t="shared" si="331"/>
        <v>0</v>
      </c>
      <c r="AX567" s="1120">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1120">
        <f t="shared" si="330"/>
        <v>0</v>
      </c>
      <c r="AW568" s="1120">
        <f t="shared" si="331"/>
        <v>0</v>
      </c>
      <c r="AX568" s="1120">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1120">
        <f t="shared" si="330"/>
        <v>0</v>
      </c>
      <c r="AW569" s="1120">
        <f t="shared" si="331"/>
        <v>0</v>
      </c>
      <c r="AX569" s="1120">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1120">
        <f t="shared" si="330"/>
        <v>0</v>
      </c>
      <c r="AW570" s="1120">
        <f t="shared" si="331"/>
        <v>0</v>
      </c>
      <c r="AX570" s="1120">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1120">
        <f t="shared" si="330"/>
        <v>0</v>
      </c>
      <c r="AW571" s="1120">
        <f t="shared" si="331"/>
        <v>0</v>
      </c>
      <c r="AX571" s="1120">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1120">
        <f t="shared" si="330"/>
        <v>0</v>
      </c>
      <c r="AW572" s="1120">
        <f t="shared" si="331"/>
        <v>0</v>
      </c>
      <c r="AX572" s="1120">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1120">
        <f t="shared" si="330"/>
        <v>0</v>
      </c>
      <c r="AW573" s="1120">
        <f t="shared" si="331"/>
        <v>0</v>
      </c>
      <c r="AX573" s="1120">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1120">
        <f t="shared" si="330"/>
        <v>0</v>
      </c>
      <c r="AW574" s="1120">
        <f t="shared" si="331"/>
        <v>0</v>
      </c>
      <c r="AX574" s="1120">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1120">
        <f t="shared" si="330"/>
        <v>0</v>
      </c>
      <c r="AW575" s="1120">
        <f t="shared" si="331"/>
        <v>0</v>
      </c>
      <c r="AX575" s="1120">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1120">
        <f t="shared" si="330"/>
        <v>0</v>
      </c>
      <c r="AW576" s="1120">
        <f t="shared" si="331"/>
        <v>0</v>
      </c>
      <c r="AX576" s="1120">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1120">
        <f t="shared" si="330"/>
        <v>0</v>
      </c>
      <c r="AW577" s="1120">
        <f t="shared" si="331"/>
        <v>0</v>
      </c>
      <c r="AX577" s="1120">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1120">
        <f t="shared" si="330"/>
        <v>0</v>
      </c>
      <c r="AW578" s="1120">
        <f t="shared" si="331"/>
        <v>0</v>
      </c>
      <c r="AX578" s="1120">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1120">
        <f t="shared" si="330"/>
        <v>0</v>
      </c>
      <c r="AW579" s="1120">
        <f t="shared" si="331"/>
        <v>0</v>
      </c>
      <c r="AX579" s="1120">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1120">
        <f t="shared" si="330"/>
        <v>0</v>
      </c>
      <c r="AW580" s="1120">
        <f t="shared" si="331"/>
        <v>0</v>
      </c>
      <c r="AX580" s="1120">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1120">
        <f t="shared" si="330"/>
        <v>0</v>
      </c>
      <c r="AW581" s="1120">
        <f t="shared" si="331"/>
        <v>0</v>
      </c>
      <c r="AX581" s="1120">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1120">
        <f t="shared" si="330"/>
        <v>0</v>
      </c>
      <c r="AW582" s="1120">
        <f t="shared" si="331"/>
        <v>0</v>
      </c>
      <c r="AX582" s="1120">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1120">
        <f t="shared" si="330"/>
        <v>0</v>
      </c>
      <c r="AW583" s="1120">
        <f t="shared" si="331"/>
        <v>0</v>
      </c>
      <c r="AX583" s="1120">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1120">
        <f t="shared" si="330"/>
        <v>0</v>
      </c>
      <c r="AW584" s="1120">
        <f t="shared" si="331"/>
        <v>0</v>
      </c>
      <c r="AX584" s="1120">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1120">
        <f t="shared" si="330"/>
        <v>0</v>
      </c>
      <c r="AW585" s="1120">
        <f t="shared" si="331"/>
        <v>0</v>
      </c>
      <c r="AX585" s="1120">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1120">
        <f t="shared" si="330"/>
        <v>0</v>
      </c>
      <c r="AW586" s="1120">
        <f t="shared" si="331"/>
        <v>0</v>
      </c>
      <c r="AX586" s="1120">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1120">
        <f t="shared" si="330"/>
        <v>0</v>
      </c>
      <c r="AW587" s="1120">
        <f t="shared" si="331"/>
        <v>0</v>
      </c>
      <c r="AX587" s="1120">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10"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307" t="s">
        <v>469</v>
      </c>
      <c r="B1" s="3307" t="s">
        <v>470</v>
      </c>
      <c r="C1" s="3307" t="s">
        <v>471</v>
      </c>
      <c r="D1" s="3306" t="s">
        <v>472</v>
      </c>
      <c r="E1" s="3306" t="s">
        <v>422</v>
      </c>
      <c r="F1" s="3306"/>
      <c r="G1" s="3306"/>
      <c r="H1" s="3306"/>
      <c r="I1" s="3306"/>
      <c r="J1" s="3306"/>
      <c r="K1" s="3306"/>
      <c r="L1" s="3306"/>
      <c r="M1" s="3306"/>
    </row>
    <row r="2" spans="1:13" ht="27" customHeight="1">
      <c r="A2" s="3307"/>
      <c r="B2" s="3307"/>
      <c r="C2" s="3307"/>
      <c r="D2" s="3306"/>
      <c r="E2" s="3306" t="s">
        <v>425</v>
      </c>
      <c r="F2" s="3306" t="s">
        <v>473</v>
      </c>
      <c r="G2" s="3306"/>
      <c r="H2" s="3306"/>
      <c r="I2" s="3306"/>
      <c r="J2" s="3306" t="s">
        <v>474</v>
      </c>
      <c r="K2" s="3306"/>
      <c r="L2" s="3306"/>
      <c r="M2" s="3306"/>
    </row>
    <row r="3" spans="1:13" ht="28.5">
      <c r="A3" s="3307"/>
      <c r="B3" s="3307"/>
      <c r="C3" s="3307"/>
      <c r="D3" s="3306"/>
      <c r="E3" s="3306"/>
      <c r="F3" s="2860" t="s">
        <v>475</v>
      </c>
      <c r="G3" s="2860" t="s">
        <v>476</v>
      </c>
      <c r="H3" s="2860" t="s">
        <v>477</v>
      </c>
      <c r="I3" s="2860" t="s">
        <v>478</v>
      </c>
      <c r="J3" s="2860" t="s">
        <v>475</v>
      </c>
      <c r="K3" s="2860" t="s">
        <v>479</v>
      </c>
      <c r="L3" s="2860" t="s">
        <v>480</v>
      </c>
      <c r="M3" s="2860" t="s">
        <v>481</v>
      </c>
    </row>
    <row r="4" spans="1:13" ht="42.75">
      <c r="A4" s="2860" t="s">
        <v>482</v>
      </c>
      <c r="B4" s="2860" t="s">
        <v>483</v>
      </c>
      <c r="C4" s="2860" t="s">
        <v>484</v>
      </c>
      <c r="D4" s="2859">
        <v>3807.94</v>
      </c>
      <c r="E4" s="2859">
        <v>20666.91</v>
      </c>
      <c r="F4" s="2859">
        <v>19673</v>
      </c>
      <c r="G4" s="2859">
        <v>0</v>
      </c>
      <c r="H4" s="2859">
        <v>19673</v>
      </c>
      <c r="I4" s="2859">
        <v>0</v>
      </c>
      <c r="J4" s="2859">
        <v>993.91</v>
      </c>
      <c r="K4" s="2859">
        <v>0</v>
      </c>
      <c r="L4" s="2859">
        <v>0</v>
      </c>
      <c r="M4" s="2859">
        <v>993.91</v>
      </c>
    </row>
    <row r="5" spans="1:13" ht="42.75">
      <c r="A5" s="2860" t="s">
        <v>482</v>
      </c>
      <c r="B5" s="2860" t="s">
        <v>485</v>
      </c>
      <c r="C5" s="2860" t="s">
        <v>486</v>
      </c>
      <c r="D5" s="2859">
        <v>3667.86</v>
      </c>
      <c r="E5" s="2859">
        <v>19906.61</v>
      </c>
      <c r="F5" s="2859">
        <v>18792.87</v>
      </c>
      <c r="G5" s="2859">
        <v>18792.87</v>
      </c>
      <c r="H5" s="2859">
        <v>0</v>
      </c>
      <c r="I5" s="2859">
        <v>0</v>
      </c>
      <c r="J5" s="2859">
        <v>1113.74</v>
      </c>
      <c r="K5" s="2859">
        <v>55.59</v>
      </c>
      <c r="L5" s="2859">
        <v>0</v>
      </c>
      <c r="M5" s="2859">
        <v>1058.1500000000001</v>
      </c>
    </row>
    <row r="6" spans="1:13" ht="42.75">
      <c r="A6" s="2860" t="s">
        <v>482</v>
      </c>
      <c r="B6" s="2860" t="s">
        <v>485</v>
      </c>
      <c r="C6" s="2860" t="s">
        <v>487</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482</v>
      </c>
      <c r="B7" s="2860" t="s">
        <v>485</v>
      </c>
      <c r="C7" s="2860" t="s">
        <v>488</v>
      </c>
      <c r="D7" s="2859">
        <v>8.18</v>
      </c>
      <c r="E7" s="2859">
        <v>44.41</v>
      </c>
      <c r="F7" s="2859">
        <v>0</v>
      </c>
      <c r="G7" s="2859">
        <v>0</v>
      </c>
      <c r="H7" s="2859">
        <v>0</v>
      </c>
      <c r="I7" s="2859">
        <v>0</v>
      </c>
      <c r="J7" s="2859">
        <v>44.41</v>
      </c>
      <c r="K7" s="2859">
        <v>44.41</v>
      </c>
      <c r="L7" s="2859">
        <v>0</v>
      </c>
      <c r="M7" s="2859">
        <v>0</v>
      </c>
    </row>
    <row r="8" spans="1:13" ht="42.75">
      <c r="A8" s="2860" t="s">
        <v>482</v>
      </c>
      <c r="B8" s="2860" t="s">
        <v>485</v>
      </c>
      <c r="C8" s="2860" t="s">
        <v>478</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6" t="s">
        <v>489</v>
      </c>
      <c r="B9" s="3306"/>
      <c r="C9" s="3306"/>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I28" sqref="I28"/>
    </sheetView>
  </sheetViews>
  <sheetFormatPr defaultColWidth="9.25" defaultRowHeight="14.25"/>
  <cols>
    <col min="1" max="1" width="12.125" style="2772" customWidth="1"/>
    <col min="2" max="2" width="10.25" style="2772" customWidth="1"/>
    <col min="3" max="3" width="18.5" style="2772" customWidth="1"/>
    <col min="4" max="4" width="11.625" style="2772" customWidth="1"/>
    <col min="5" max="5" width="13.375" style="2772" customWidth="1"/>
    <col min="6" max="8" width="11.5" style="2772" customWidth="1"/>
    <col min="9" max="9" width="11.125" style="2772" customWidth="1"/>
    <col min="10" max="10" width="3.125" style="2773" customWidth="1"/>
    <col min="11" max="16" width="10" style="2772" customWidth="1"/>
    <col min="17" max="17" width="2.625" style="2772" customWidth="1"/>
    <col min="18" max="18" width="9.375" style="2772" customWidth="1"/>
    <col min="19" max="19" width="10.5" style="2772" customWidth="1"/>
    <col min="20" max="16384" width="9.25" style="2772"/>
  </cols>
  <sheetData>
    <row r="1" spans="1:16" ht="18.75">
      <c r="A1" s="2159" t="s">
        <v>490</v>
      </c>
      <c r="B1" s="2233"/>
      <c r="C1" s="2233"/>
      <c r="D1" s="2233"/>
      <c r="E1" s="2233"/>
      <c r="F1" s="2233"/>
      <c r="G1" s="2233"/>
      <c r="H1" s="2233"/>
      <c r="I1" s="2233"/>
      <c r="J1" s="2233"/>
      <c r="K1" s="2233"/>
      <c r="L1" s="2233"/>
      <c r="M1" s="2233"/>
      <c r="N1" s="2233"/>
      <c r="O1" s="2233"/>
      <c r="P1" s="2233"/>
    </row>
    <row r="2" spans="1:16" ht="15">
      <c r="A2" s="3317" t="s">
        <v>491</v>
      </c>
      <c r="B2" s="3317"/>
      <c r="C2" s="3317"/>
      <c r="D2" s="2065" t="s">
        <v>492</v>
      </c>
      <c r="E2" s="2774" t="s">
        <v>493</v>
      </c>
      <c r="F2" s="2775"/>
      <c r="G2" s="2776"/>
      <c r="H2" s="2777"/>
      <c r="I2" s="2386" t="s">
        <v>494</v>
      </c>
      <c r="J2" s="2775"/>
      <c r="K2" s="2775"/>
      <c r="L2" s="2775"/>
      <c r="M2" s="2775"/>
      <c r="N2" s="1246"/>
      <c r="O2" s="2775"/>
      <c r="P2" s="2775"/>
    </row>
    <row r="3" spans="1:16" ht="15">
      <c r="A3" s="3318" t="s">
        <v>495</v>
      </c>
      <c r="B3" s="3318"/>
      <c r="C3" s="3318"/>
      <c r="D3" s="2778">
        <f>'数据-基础表'!AY6</f>
        <v>0</v>
      </c>
      <c r="E3" s="2778">
        <f>'数据-基础表'!AZ5</f>
        <v>842.81</v>
      </c>
      <c r="F3" s="2775"/>
      <c r="G3" s="2779"/>
      <c r="H3" s="2185" t="s">
        <v>496</v>
      </c>
      <c r="I3" s="2839" t="e">
        <f>ROUND('数据-基础表'!B3/'数据-基础表'!A3,2)</f>
        <v>#DIV/0!</v>
      </c>
      <c r="J3" s="2775"/>
      <c r="K3" s="2775"/>
      <c r="L3" s="2775"/>
      <c r="M3" s="2775"/>
      <c r="N3" s="1246"/>
      <c r="O3" s="2775"/>
      <c r="P3" s="2775"/>
    </row>
    <row r="4" spans="1:16" ht="15">
      <c r="A4" s="3319"/>
      <c r="B4" s="3320"/>
      <c r="C4" s="3321"/>
      <c r="D4" s="2780" t="s">
        <v>492</v>
      </c>
      <c r="E4" s="2781" t="s">
        <v>493</v>
      </c>
      <c r="F4" s="2775"/>
      <c r="G4" s="2782" t="s">
        <v>497</v>
      </c>
      <c r="H4" s="2185" t="s">
        <v>498</v>
      </c>
      <c r="I4" s="2839" t="e">
        <f>ROUND(SUMIF('数据-基础表'!I9:AS9,"地上",'数据-基础表'!I5:AS5)/'数据-基础表'!A3,2)</f>
        <v>#DIV/0!</v>
      </c>
      <c r="J4" s="2775"/>
      <c r="K4" s="2775"/>
      <c r="L4" s="2775"/>
      <c r="M4" s="2775"/>
      <c r="N4" s="1246"/>
      <c r="O4" s="2775"/>
      <c r="P4" s="2775"/>
    </row>
    <row r="5" spans="1:16">
      <c r="A5" s="2783" t="s">
        <v>499</v>
      </c>
      <c r="B5" s="3322" t="s">
        <v>500</v>
      </c>
      <c r="C5" s="3322"/>
      <c r="D5" s="2784">
        <f>ROUND($D$3*E5/$E$3,2)</f>
        <v>0</v>
      </c>
      <c r="E5" s="2785">
        <f>SUMIF('数据-基础表'!$11:$11,"住宅",'数据-基础表'!$5:$5)</f>
        <v>0</v>
      </c>
      <c r="F5" s="2775"/>
      <c r="G5" s="2779"/>
      <c r="H5" s="2185" t="s">
        <v>496</v>
      </c>
      <c r="I5" s="2839" t="e">
        <f>ROUND(E31/D31,2)</f>
        <v>#DIV/0!</v>
      </c>
      <c r="J5" s="2775"/>
      <c r="K5" s="2775"/>
      <c r="L5" s="2775"/>
      <c r="M5" s="2775"/>
      <c r="N5" s="2775"/>
      <c r="O5" s="2775"/>
      <c r="P5" s="2775"/>
    </row>
    <row r="6" spans="1:16">
      <c r="A6" s="2786"/>
      <c r="B6" s="3322" t="s">
        <v>501</v>
      </c>
      <c r="C6" s="3322"/>
      <c r="D6" s="2784">
        <f>ROUND($D$3*E6/$E$3,2)</f>
        <v>0</v>
      </c>
      <c r="E6" s="2785">
        <f>E3-E5</f>
        <v>842.81</v>
      </c>
      <c r="F6" s="2775"/>
      <c r="G6" s="2787" t="s">
        <v>502</v>
      </c>
      <c r="H6" s="2788" t="s">
        <v>498</v>
      </c>
      <c r="I6" s="2840" t="e">
        <f>ROUND(F31/D31,2)</f>
        <v>#DIV/0!</v>
      </c>
      <c r="J6" s="2775"/>
      <c r="K6" s="2775"/>
      <c r="L6" s="2775"/>
      <c r="M6" s="2775"/>
      <c r="N6" s="2775"/>
      <c r="O6" s="2775"/>
      <c r="P6" s="2775"/>
    </row>
    <row r="7" spans="1:16" ht="15">
      <c r="A7" s="3308"/>
      <c r="B7" s="3309"/>
      <c r="C7" s="3310"/>
      <c r="D7" s="2780" t="s">
        <v>492</v>
      </c>
      <c r="E7" s="2789" t="s">
        <v>503</v>
      </c>
      <c r="F7" s="2775"/>
      <c r="G7" s="2790" t="s">
        <v>504</v>
      </c>
      <c r="H7" s="2791"/>
      <c r="I7" s="2841"/>
      <c r="J7" s="2775"/>
      <c r="K7" s="2775"/>
      <c r="L7" s="2775"/>
      <c r="M7" s="2775"/>
      <c r="N7" s="2775"/>
      <c r="O7" s="2775"/>
      <c r="P7" s="2775"/>
    </row>
    <row r="8" spans="1:16">
      <c r="A8" s="2783" t="s">
        <v>505</v>
      </c>
      <c r="B8" s="2792" t="s">
        <v>506</v>
      </c>
      <c r="C8" s="2784" t="s">
        <v>507</v>
      </c>
      <c r="D8" s="2784">
        <f t="shared" ref="D8:D15" si="0">ROUND($D$3*E8/$E$3,2)</f>
        <v>0</v>
      </c>
      <c r="E8" s="2793">
        <f>SUMIF('数据-基础表'!BB10:BK10,"地上",'数据-基础表'!BB5:BK5)</f>
        <v>632.1099999999999</v>
      </c>
      <c r="F8" s="2775"/>
      <c r="G8" s="2794"/>
      <c r="H8" s="2794"/>
      <c r="I8" s="2775"/>
      <c r="J8" s="2775"/>
      <c r="K8" s="2775"/>
      <c r="L8" s="2775"/>
      <c r="M8" s="2775"/>
      <c r="N8" s="2775"/>
      <c r="O8" s="2775"/>
      <c r="P8" s="2775"/>
    </row>
    <row r="9" spans="1:16">
      <c r="A9" s="2795"/>
      <c r="B9" s="2796"/>
      <c r="C9" s="2784" t="s">
        <v>508</v>
      </c>
      <c r="D9" s="2784">
        <f t="shared" si="0"/>
        <v>0</v>
      </c>
      <c r="E9" s="2797">
        <v>0</v>
      </c>
      <c r="F9" s="2775"/>
      <c r="G9" s="2794"/>
      <c r="H9" s="2794"/>
      <c r="I9" s="2775"/>
      <c r="J9" s="2775"/>
      <c r="K9" s="2775"/>
      <c r="L9" s="2775"/>
      <c r="M9" s="2775"/>
      <c r="N9" s="2775"/>
      <c r="O9" s="2775"/>
      <c r="P9" s="2775"/>
    </row>
    <row r="10" spans="1:16">
      <c r="A10" s="2795"/>
      <c r="B10" s="2796"/>
      <c r="C10" s="2784" t="s">
        <v>509</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c r="A11" s="2795"/>
      <c r="B11" s="2796"/>
      <c r="C11" s="2784" t="s">
        <v>510</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c r="A12" s="2795"/>
      <c r="B12" s="2796"/>
      <c r="C12" s="2784" t="s">
        <v>511</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c r="A13" s="2795"/>
      <c r="B13" s="2796"/>
      <c r="C13" s="2784" t="s">
        <v>512</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c r="A14" s="2795"/>
      <c r="B14" s="2796"/>
      <c r="C14" s="2784" t="s">
        <v>513</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c r="A15" s="2795"/>
      <c r="B15" s="2796"/>
      <c r="C15" s="2784" t="s">
        <v>514</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5">
      <c r="A16" s="2786"/>
      <c r="B16" s="2796"/>
      <c r="C16" s="2792" t="s">
        <v>515</v>
      </c>
      <c r="D16" s="2792">
        <f>SUM(D8:D15)</f>
        <v>0</v>
      </c>
      <c r="E16" s="2798">
        <f>SUM(E8:E15)</f>
        <v>632.1099999999999</v>
      </c>
      <c r="F16" s="2775"/>
      <c r="G16" s="2794"/>
      <c r="H16" s="2799" t="s">
        <v>516</v>
      </c>
      <c r="I16" s="2842"/>
      <c r="J16" s="2233"/>
      <c r="K16" s="3311" t="s">
        <v>516</v>
      </c>
      <c r="L16" s="3312"/>
      <c r="M16" s="3312"/>
      <c r="N16" s="3312"/>
      <c r="O16" s="3312"/>
      <c r="P16" s="3313"/>
    </row>
    <row r="17" spans="1:19" ht="15">
      <c r="A17" s="2734" t="s">
        <v>517</v>
      </c>
      <c r="B17" s="2800" t="s">
        <v>518</v>
      </c>
      <c r="C17" s="2733" t="s">
        <v>519</v>
      </c>
      <c r="D17" s="2801" t="s">
        <v>492</v>
      </c>
      <c r="E17" s="2802" t="s">
        <v>493</v>
      </c>
      <c r="F17" s="2803"/>
      <c r="G17" s="2804"/>
      <c r="H17" s="2805" t="s">
        <v>520</v>
      </c>
      <c r="I17" s="2843" t="s">
        <v>521</v>
      </c>
      <c r="J17" s="2233"/>
      <c r="K17" s="3314" t="s">
        <v>522</v>
      </c>
      <c r="L17" s="3315"/>
      <c r="M17" s="3316"/>
      <c r="N17" s="3314" t="s">
        <v>523</v>
      </c>
      <c r="O17" s="3315"/>
      <c r="P17" s="3316"/>
      <c r="R17" s="2856" t="s">
        <v>524</v>
      </c>
      <c r="S17" s="2174"/>
    </row>
    <row r="18" spans="1:19" ht="15">
      <c r="A18" s="2795"/>
      <c r="B18" s="2806"/>
      <c r="C18" s="2807"/>
      <c r="D18" s="2808"/>
      <c r="E18" s="2809" t="s">
        <v>525</v>
      </c>
      <c r="F18" s="2810" t="s">
        <v>498</v>
      </c>
      <c r="G18" s="2811" t="s">
        <v>526</v>
      </c>
      <c r="H18" s="2739" t="s">
        <v>527</v>
      </c>
      <c r="I18" s="2844" t="s">
        <v>528</v>
      </c>
      <c r="J18" s="2233"/>
      <c r="K18" s="2739" t="s">
        <v>529</v>
      </c>
      <c r="L18" s="2399" t="s">
        <v>530</v>
      </c>
      <c r="M18" s="2839" t="s">
        <v>531</v>
      </c>
      <c r="N18" s="2739" t="s">
        <v>529</v>
      </c>
      <c r="O18" s="2399" t="s">
        <v>530</v>
      </c>
      <c r="P18" s="2839" t="s">
        <v>531</v>
      </c>
      <c r="R18" s="2185" t="s">
        <v>527</v>
      </c>
      <c r="S18" s="2185" t="s">
        <v>528</v>
      </c>
    </row>
    <row r="19" spans="1:19">
      <c r="A19" s="2812"/>
      <c r="B19" s="2792" t="s">
        <v>532</v>
      </c>
      <c r="C19" s="2813" t="s">
        <v>2655</v>
      </c>
      <c r="D19" s="2784">
        <f>ROUND($D$3*E19/$E$3,2)</f>
        <v>0</v>
      </c>
      <c r="E19" s="2814">
        <f t="shared" ref="E19:E26" si="1">SUM(F19:G19)</f>
        <v>842.81</v>
      </c>
      <c r="F19" s="2815">
        <f>'数据-基础表'!I13</f>
        <v>632.1099999999999</v>
      </c>
      <c r="G19" s="2816">
        <f>'数据-基础表'!K13</f>
        <v>210.7</v>
      </c>
      <c r="H19" s="2723">
        <f>ROUND($D$3*I19/$E$3,2)</f>
        <v>0</v>
      </c>
      <c r="I19" s="2793">
        <f t="shared" ref="I19:I26" si="2">IF($I$17="自定义",P19,M19)</f>
        <v>0</v>
      </c>
      <c r="J19" s="2233"/>
      <c r="K19" s="2845">
        <f t="shared" ref="K19:K26" si="3">ROUND(E$28*E19/E$27,2)</f>
        <v>0</v>
      </c>
      <c r="L19" s="2185">
        <f t="shared" ref="L19:L26" si="4">ROUND(IF(COUNTIF(C19,"*住宅*")&gt;0,E$29*E19/E$32,0),2)</f>
        <v>0</v>
      </c>
      <c r="M19" s="2846">
        <f>K19+L19</f>
        <v>0</v>
      </c>
      <c r="N19" s="2847"/>
      <c r="O19" s="2848"/>
      <c r="P19" s="2846">
        <f>N19+O19</f>
        <v>0</v>
      </c>
      <c r="R19" s="2185">
        <f t="shared" ref="R19:S26" si="5">D19+H19</f>
        <v>0</v>
      </c>
      <c r="S19" s="2857">
        <f t="shared" si="5"/>
        <v>842.81</v>
      </c>
    </row>
    <row r="20" spans="1:19">
      <c r="A20" s="2817"/>
      <c r="B20" s="2792" t="s">
        <v>532</v>
      </c>
      <c r="C20" s="2813"/>
      <c r="D20" s="2784">
        <f t="shared" ref="D20:D26" si="6">ROUND($D$3*E20/$E$3,2)</f>
        <v>0</v>
      </c>
      <c r="E20" s="2814">
        <f t="shared" si="1"/>
        <v>0</v>
      </c>
      <c r="F20" s="2815"/>
      <c r="G20" s="2816"/>
      <c r="H20" s="2723">
        <f t="shared" ref="H20:H26" si="7">ROUND($D$3*I20/$E$3,2)</f>
        <v>0</v>
      </c>
      <c r="I20" s="2793">
        <f t="shared" si="2"/>
        <v>0</v>
      </c>
      <c r="J20" s="2233"/>
      <c r="K20" s="2845">
        <f t="shared" si="3"/>
        <v>0</v>
      </c>
      <c r="L20" s="2185">
        <f t="shared" si="4"/>
        <v>0</v>
      </c>
      <c r="M20" s="2846">
        <f t="shared" ref="M20:M26" si="8">K20+L20</f>
        <v>0</v>
      </c>
      <c r="N20" s="2847"/>
      <c r="O20" s="2848"/>
      <c r="P20" s="2846">
        <f t="shared" ref="P20:P26" si="9">N20+O20</f>
        <v>0</v>
      </c>
      <c r="R20" s="2185">
        <f t="shared" si="5"/>
        <v>0</v>
      </c>
      <c r="S20" s="2857">
        <f t="shared" si="5"/>
        <v>0</v>
      </c>
    </row>
    <row r="21" spans="1:19">
      <c r="A21" s="2817"/>
      <c r="B21" s="2792" t="s">
        <v>532</v>
      </c>
      <c r="C21" s="2818"/>
      <c r="D21" s="2784">
        <f t="shared" si="6"/>
        <v>0</v>
      </c>
      <c r="E21" s="2814">
        <f t="shared" si="1"/>
        <v>0</v>
      </c>
      <c r="F21" s="2815"/>
      <c r="G21" s="2816"/>
      <c r="H21" s="2723">
        <f t="shared" si="7"/>
        <v>0</v>
      </c>
      <c r="I21" s="2793">
        <f t="shared" si="2"/>
        <v>0</v>
      </c>
      <c r="J21" s="2233"/>
      <c r="K21" s="2845">
        <f t="shared" si="3"/>
        <v>0</v>
      </c>
      <c r="L21" s="2185">
        <f t="shared" si="4"/>
        <v>0</v>
      </c>
      <c r="M21" s="2846">
        <f t="shared" si="8"/>
        <v>0</v>
      </c>
      <c r="N21" s="2847"/>
      <c r="O21" s="2848"/>
      <c r="P21" s="2846">
        <f t="shared" si="9"/>
        <v>0</v>
      </c>
      <c r="R21" s="2185">
        <f t="shared" si="5"/>
        <v>0</v>
      </c>
      <c r="S21" s="2857">
        <f t="shared" si="5"/>
        <v>0</v>
      </c>
    </row>
    <row r="22" spans="1:19">
      <c r="A22" s="2817"/>
      <c r="B22" s="2792" t="s">
        <v>532</v>
      </c>
      <c r="C22" s="2819"/>
      <c r="D22" s="2784">
        <f t="shared" si="6"/>
        <v>0</v>
      </c>
      <c r="E22" s="2814">
        <f t="shared" si="1"/>
        <v>0</v>
      </c>
      <c r="F22" s="2820"/>
      <c r="G22" s="2821"/>
      <c r="H22" s="2723">
        <f t="shared" si="7"/>
        <v>0</v>
      </c>
      <c r="I22" s="2793">
        <f t="shared" si="2"/>
        <v>0</v>
      </c>
      <c r="J22" s="2233"/>
      <c r="K22" s="2845">
        <f t="shared" si="3"/>
        <v>0</v>
      </c>
      <c r="L22" s="2185">
        <f t="shared" si="4"/>
        <v>0</v>
      </c>
      <c r="M22" s="2846">
        <f t="shared" si="8"/>
        <v>0</v>
      </c>
      <c r="N22" s="2847"/>
      <c r="O22" s="2848"/>
      <c r="P22" s="2846">
        <f t="shared" si="9"/>
        <v>0</v>
      </c>
      <c r="R22" s="2185">
        <f t="shared" si="5"/>
        <v>0</v>
      </c>
      <c r="S22" s="2857">
        <f t="shared" si="5"/>
        <v>0</v>
      </c>
    </row>
    <row r="23" spans="1:19">
      <c r="A23" s="2817"/>
      <c r="B23" s="2792" t="s">
        <v>532</v>
      </c>
      <c r="C23" s="2819"/>
      <c r="D23" s="2784">
        <f t="shared" si="6"/>
        <v>0</v>
      </c>
      <c r="E23" s="2814">
        <f t="shared" si="1"/>
        <v>0</v>
      </c>
      <c r="F23" s="2820"/>
      <c r="G23" s="2821"/>
      <c r="H23" s="2723">
        <f t="shared" si="7"/>
        <v>0</v>
      </c>
      <c r="I23" s="2793">
        <f t="shared" si="2"/>
        <v>0</v>
      </c>
      <c r="J23" s="2233"/>
      <c r="K23" s="2845">
        <f t="shared" si="3"/>
        <v>0</v>
      </c>
      <c r="L23" s="2185">
        <f t="shared" si="4"/>
        <v>0</v>
      </c>
      <c r="M23" s="2846">
        <f t="shared" si="8"/>
        <v>0</v>
      </c>
      <c r="N23" s="2847"/>
      <c r="O23" s="2848"/>
      <c r="P23" s="2846">
        <f t="shared" si="9"/>
        <v>0</v>
      </c>
      <c r="R23" s="2185">
        <f t="shared" si="5"/>
        <v>0</v>
      </c>
      <c r="S23" s="2857">
        <f t="shared" si="5"/>
        <v>0</v>
      </c>
    </row>
    <row r="24" spans="1:19">
      <c r="A24" s="2817"/>
      <c r="B24" s="2792" t="s">
        <v>532</v>
      </c>
      <c r="C24" s="2819"/>
      <c r="D24" s="2784">
        <f t="shared" si="6"/>
        <v>0</v>
      </c>
      <c r="E24" s="2814">
        <f t="shared" si="1"/>
        <v>0</v>
      </c>
      <c r="F24" s="2820"/>
      <c r="G24" s="2821"/>
      <c r="H24" s="2723">
        <f t="shared" si="7"/>
        <v>0</v>
      </c>
      <c r="I24" s="2793">
        <f t="shared" si="2"/>
        <v>0</v>
      </c>
      <c r="J24" s="2233"/>
      <c r="K24" s="2845">
        <f t="shared" si="3"/>
        <v>0</v>
      </c>
      <c r="L24" s="2185">
        <f t="shared" si="4"/>
        <v>0</v>
      </c>
      <c r="M24" s="2846">
        <f t="shared" si="8"/>
        <v>0</v>
      </c>
      <c r="N24" s="2847"/>
      <c r="O24" s="2848"/>
      <c r="P24" s="2846">
        <f t="shared" si="9"/>
        <v>0</v>
      </c>
      <c r="R24" s="2185">
        <f t="shared" si="5"/>
        <v>0</v>
      </c>
      <c r="S24" s="2857">
        <f t="shared" si="5"/>
        <v>0</v>
      </c>
    </row>
    <row r="25" spans="1:19">
      <c r="A25" s="2817"/>
      <c r="B25" s="2792" t="s">
        <v>532</v>
      </c>
      <c r="C25" s="2819"/>
      <c r="D25" s="2784">
        <f t="shared" si="6"/>
        <v>0</v>
      </c>
      <c r="E25" s="2814">
        <f t="shared" si="1"/>
        <v>0</v>
      </c>
      <c r="F25" s="2820"/>
      <c r="G25" s="2821"/>
      <c r="H25" s="2783">
        <f t="shared" si="7"/>
        <v>0</v>
      </c>
      <c r="I25" s="2793">
        <f t="shared" si="2"/>
        <v>0</v>
      </c>
      <c r="J25" s="2233"/>
      <c r="K25" s="2845">
        <f t="shared" si="3"/>
        <v>0</v>
      </c>
      <c r="L25" s="2185">
        <f t="shared" si="4"/>
        <v>0</v>
      </c>
      <c r="M25" s="2846">
        <f t="shared" si="8"/>
        <v>0</v>
      </c>
      <c r="N25" s="2847"/>
      <c r="O25" s="2848"/>
      <c r="P25" s="2846">
        <f t="shared" si="9"/>
        <v>0</v>
      </c>
      <c r="R25" s="2185">
        <f t="shared" si="5"/>
        <v>0</v>
      </c>
      <c r="S25" s="2857">
        <f t="shared" si="5"/>
        <v>0</v>
      </c>
    </row>
    <row r="26" spans="1:19">
      <c r="A26" s="2817"/>
      <c r="B26" s="2792" t="s">
        <v>532</v>
      </c>
      <c r="C26" s="2822"/>
      <c r="D26" s="2784">
        <f t="shared" si="6"/>
        <v>0</v>
      </c>
      <c r="E26" s="2814">
        <f t="shared" si="1"/>
        <v>0</v>
      </c>
      <c r="F26" s="2820"/>
      <c r="G26" s="2821"/>
      <c r="H26" s="2783">
        <f t="shared" si="7"/>
        <v>0</v>
      </c>
      <c r="I26" s="2793">
        <f t="shared" si="2"/>
        <v>0</v>
      </c>
      <c r="J26" s="2233"/>
      <c r="K26" s="2779">
        <f t="shared" si="3"/>
        <v>0</v>
      </c>
      <c r="L26" s="2788">
        <f t="shared" si="4"/>
        <v>0</v>
      </c>
      <c r="M26" s="2829">
        <f t="shared" si="8"/>
        <v>0</v>
      </c>
      <c r="N26" s="2849"/>
      <c r="O26" s="2850"/>
      <c r="P26" s="2829">
        <f t="shared" si="9"/>
        <v>0</v>
      </c>
      <c r="R26" s="2185">
        <f t="shared" si="5"/>
        <v>0</v>
      </c>
      <c r="S26" s="2857">
        <f t="shared" si="5"/>
        <v>0</v>
      </c>
    </row>
    <row r="27" spans="1:19" ht="15">
      <c r="A27" s="2817"/>
      <c r="B27" s="2784"/>
      <c r="C27" s="2389" t="s">
        <v>534</v>
      </c>
      <c r="D27" s="2823">
        <f>SUM(D19:D26)</f>
        <v>0</v>
      </c>
      <c r="E27" s="2824">
        <f>IF(SUM(E19:E26)='数据-基础表'!BA5,SUM(E19:E26),IF(F27="地上面积有误","面积有误","地下面积有误"))</f>
        <v>842.81</v>
      </c>
      <c r="F27" s="2823">
        <f>IF(SUM(F19:F26)=E8,SUM(F19:F26),"地上面积有误")</f>
        <v>632.1099999999999</v>
      </c>
      <c r="G27" s="2825">
        <f>SUM(G19:G26)</f>
        <v>210.7</v>
      </c>
      <c r="H27" s="2826">
        <f>SUM(H19:H26)</f>
        <v>0</v>
      </c>
      <c r="I27" s="2851">
        <f>SUM(I19:I26)</f>
        <v>0</v>
      </c>
      <c r="J27" s="2233"/>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0</v>
      </c>
      <c r="S27" s="2185">
        <f>IF(SUM(S19:S26)=$E$3,SUM(S19:S26),SUM(S19:S26)&amp;"误差"&amp;ROUND(SUM(S19:S26)-E3,2))</f>
        <v>842.81</v>
      </c>
    </row>
    <row r="28" spans="1:19">
      <c r="A28" s="2817"/>
      <c r="B28" s="2792" t="s">
        <v>535</v>
      </c>
      <c r="C28" s="2743" t="s">
        <v>536</v>
      </c>
      <c r="D28" s="2784">
        <f>ROUND($D$3*E28/$E$3,2)</f>
        <v>0</v>
      </c>
      <c r="E28" s="2814">
        <f>SUM(F28:G28)</f>
        <v>0</v>
      </c>
      <c r="F28" s="2174">
        <f>'数据-基础表'!BQ5+'数据-基础表'!BS5</f>
        <v>0</v>
      </c>
      <c r="G28" s="2827">
        <f>'数据-基础表'!BR5+'数据-基础表'!BT5</f>
        <v>0</v>
      </c>
      <c r="H28" s="2775"/>
      <c r="I28" s="2775"/>
      <c r="J28" s="2775"/>
      <c r="K28" s="2775"/>
      <c r="L28" s="2775"/>
      <c r="M28" s="2775"/>
      <c r="N28" s="2775"/>
      <c r="O28" s="2775"/>
      <c r="P28" s="2775"/>
    </row>
    <row r="29" spans="1:19">
      <c r="A29" s="2817"/>
      <c r="B29" s="2792" t="s">
        <v>535</v>
      </c>
      <c r="C29" s="2231" t="s">
        <v>537</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5">
      <c r="A30" s="2817"/>
      <c r="B30" s="2792"/>
      <c r="C30" s="2830" t="s">
        <v>534</v>
      </c>
      <c r="D30" s="2823">
        <f>SUM(D28:D29)</f>
        <v>0</v>
      </c>
      <c r="E30" s="2823">
        <f>SUM(E28:E29)</f>
        <v>0</v>
      </c>
      <c r="F30" s="2823">
        <f>SUM(F28:F29)</f>
        <v>0</v>
      </c>
      <c r="G30" s="2825">
        <f>SUM(G28:G29)</f>
        <v>0</v>
      </c>
      <c r="H30" s="2775"/>
      <c r="I30" s="2775"/>
      <c r="J30" s="2775"/>
      <c r="K30" s="2775"/>
      <c r="L30" s="2775"/>
      <c r="M30" s="2775"/>
      <c r="N30" s="2775"/>
      <c r="O30" s="2775"/>
      <c r="P30" s="2775"/>
    </row>
    <row r="31" spans="1:19" ht="15">
      <c r="A31" s="2831"/>
      <c r="B31" s="2832"/>
      <c r="C31" s="2108" t="s">
        <v>538</v>
      </c>
      <c r="D31" s="2833">
        <f>D27+D30</f>
        <v>0</v>
      </c>
      <c r="E31" s="2833">
        <f>E27+E30</f>
        <v>842.81</v>
      </c>
      <c r="F31" s="2834">
        <f>F27+F30</f>
        <v>632.1099999999999</v>
      </c>
      <c r="G31" s="2835">
        <f>G27+G30</f>
        <v>210.7</v>
      </c>
      <c r="H31" s="2775"/>
      <c r="I31" s="2775"/>
      <c r="J31" s="2775"/>
      <c r="K31" s="2775"/>
      <c r="L31" s="2775"/>
      <c r="M31" s="2775"/>
      <c r="N31" s="2775"/>
      <c r="O31" s="2775"/>
      <c r="P31" s="2775"/>
    </row>
    <row r="32" spans="1:19">
      <c r="A32" s="2836"/>
      <c r="B32" s="2836" t="s">
        <v>539</v>
      </c>
      <c r="C32" s="2836"/>
      <c r="D32" s="2836"/>
      <c r="E32" s="2837">
        <f>SUMIF(C19:C26,"*住宅*",E19:E26)</f>
        <v>0</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575" customWidth="1"/>
    <col min="2" max="2" width="12" style="2576" customWidth="1"/>
    <col min="3" max="3" width="12.75" style="2576" customWidth="1"/>
    <col min="4" max="4" width="9.125" style="2577" customWidth="1"/>
    <col min="5" max="5" width="15" style="2576" customWidth="1"/>
    <col min="6" max="10" width="8.875" style="2576" customWidth="1"/>
    <col min="11" max="12" width="12.375" style="2578" customWidth="1"/>
    <col min="13" max="13" width="8.625" style="2576" customWidth="1"/>
    <col min="14" max="14" width="11.875" style="2576" customWidth="1"/>
    <col min="15" max="15" width="8.5" style="2576" customWidth="1"/>
    <col min="16" max="17" width="10.875" style="2576" customWidth="1"/>
    <col min="18" max="19" width="12.5" style="2576" customWidth="1"/>
    <col min="20" max="20" width="12.125" style="2576" customWidth="1"/>
    <col min="21" max="21" width="7.5" style="2576" customWidth="1"/>
    <col min="22" max="22" width="6.375" style="2576" customWidth="1"/>
    <col min="23" max="30" width="6.75" style="2576" customWidth="1"/>
    <col min="31" max="31" width="8" style="2576" customWidth="1"/>
    <col min="32" max="34" width="7.25" style="2576" customWidth="1"/>
    <col min="35" max="39" width="8" style="2576" customWidth="1"/>
    <col min="40" max="40" width="13.75" style="2574"/>
    <col min="41" max="41" width="11.625" style="2574" customWidth="1"/>
    <col min="42" max="42" width="9.75" style="2574" customWidth="1"/>
    <col min="43" max="67" width="13.75" style="2574"/>
    <col min="68" max="16384" width="13.75" style="2576"/>
  </cols>
  <sheetData>
    <row r="1" spans="1:67" ht="18.75">
      <c r="A1" s="2579" t="s">
        <v>540</v>
      </c>
      <c r="B1" s="2580"/>
      <c r="C1" s="1864"/>
      <c r="D1" s="2581"/>
      <c r="E1" s="1864"/>
      <c r="F1" s="1864"/>
      <c r="G1" s="1864"/>
      <c r="H1" s="1864"/>
      <c r="I1" s="1864"/>
      <c r="J1" s="1864"/>
      <c r="K1" s="283"/>
      <c r="L1" s="283"/>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c r="AM1" s="1864"/>
      <c r="AN1" s="2048"/>
      <c r="AO1" s="2048"/>
      <c r="AP1" s="2048"/>
      <c r="AQ1" s="2048"/>
      <c r="AR1" s="2048"/>
    </row>
    <row r="2" spans="1:67" s="2571" customFormat="1" ht="15">
      <c r="A2" s="2582" t="s">
        <v>541</v>
      </c>
      <c r="B2" s="2583">
        <f>项目基本情况!D3</f>
        <v>44725</v>
      </c>
      <c r="C2" s="2584"/>
      <c r="D2" s="2585"/>
      <c r="E2" s="2584"/>
      <c r="F2" s="2584"/>
      <c r="G2" s="2584"/>
      <c r="H2" s="2584"/>
      <c r="I2" s="2584"/>
      <c r="J2" s="2584"/>
      <c r="K2" s="2681"/>
      <c r="L2" s="2681"/>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617"/>
      <c r="AO2" s="2617"/>
      <c r="AP2" s="2617"/>
      <c r="AQ2" s="2617"/>
      <c r="AR2" s="2617"/>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row>
    <row r="3" spans="1:67" s="2571" customFormat="1" ht="14.25">
      <c r="A3" s="2586"/>
      <c r="B3" s="2587"/>
      <c r="C3" s="2584"/>
      <c r="D3" s="2585"/>
      <c r="E3" s="2584"/>
      <c r="F3" s="2584"/>
      <c r="G3" s="2584"/>
      <c r="H3" s="2584"/>
      <c r="I3" s="2584"/>
      <c r="J3" s="2584"/>
      <c r="K3" s="2681"/>
      <c r="L3" s="2681"/>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617"/>
      <c r="AO3" s="2617"/>
      <c r="AP3" s="2617"/>
      <c r="AQ3" s="2617"/>
      <c r="AR3" s="2617"/>
      <c r="AS3" s="2501"/>
      <c r="AT3" s="2501"/>
      <c r="AU3" s="2501"/>
      <c r="AV3" s="2501"/>
      <c r="AW3" s="2501"/>
      <c r="AX3" s="2501"/>
      <c r="AY3" s="2501"/>
      <c r="AZ3" s="2501"/>
      <c r="BA3" s="2501"/>
      <c r="BB3" s="2501"/>
      <c r="BC3" s="2501"/>
      <c r="BD3" s="2501"/>
      <c r="BE3" s="2501"/>
      <c r="BF3" s="2501"/>
      <c r="BG3" s="2501"/>
      <c r="BH3" s="2501"/>
      <c r="BI3" s="2501"/>
      <c r="BJ3" s="2501"/>
      <c r="BK3" s="2501"/>
      <c r="BL3" s="2501"/>
      <c r="BM3" s="2501"/>
      <c r="BN3" s="2501"/>
      <c r="BO3" s="2501"/>
    </row>
    <row r="4" spans="1:67" s="2571" customFormat="1" ht="14.25">
      <c r="A4" s="1365" t="s">
        <v>542</v>
      </c>
      <c r="B4" s="2192"/>
      <c r="C4" s="2588"/>
      <c r="D4" s="2589"/>
      <c r="E4" s="2588" t="s">
        <v>543</v>
      </c>
      <c r="F4" s="2588"/>
      <c r="G4" s="2588"/>
      <c r="H4" s="2588"/>
      <c r="I4" s="2588"/>
      <c r="J4" s="2682"/>
      <c r="K4" s="2683"/>
      <c r="L4" s="2684"/>
      <c r="M4" s="2588"/>
      <c r="N4" s="2588" t="s">
        <v>544</v>
      </c>
      <c r="O4" s="2588"/>
      <c r="P4" s="2588"/>
      <c r="Q4" s="2588"/>
      <c r="R4" s="2588"/>
      <c r="S4" s="2682"/>
      <c r="T4" s="2706" t="str">
        <f>'数据-汇总表'!I17</f>
        <v>按面积比例</v>
      </c>
      <c r="U4" s="2192" t="s">
        <v>545</v>
      </c>
      <c r="V4" s="2588"/>
      <c r="W4" s="2588"/>
      <c r="X4" s="2588"/>
      <c r="Y4" s="2682"/>
      <c r="Z4" s="2733" t="s">
        <v>546</v>
      </c>
      <c r="AA4" s="2733"/>
      <c r="AB4" s="2733"/>
      <c r="AC4" s="2733"/>
      <c r="AD4" s="2733"/>
      <c r="AE4" s="2734" t="s">
        <v>547</v>
      </c>
      <c r="AF4" s="2733"/>
      <c r="AG4" s="2747"/>
      <c r="AH4" s="2192"/>
      <c r="AI4" s="2588"/>
      <c r="AJ4" s="2588"/>
      <c r="AK4" s="2588"/>
      <c r="AL4" s="2588"/>
      <c r="AM4" s="2682"/>
      <c r="AN4" s="2617"/>
      <c r="AO4" s="2617"/>
      <c r="AP4" s="2617"/>
      <c r="AQ4" s="2617"/>
      <c r="AR4" s="2617"/>
      <c r="AS4" s="2501"/>
      <c r="AT4" s="2501"/>
      <c r="AU4" s="2501"/>
      <c r="AV4" s="2501"/>
      <c r="AW4" s="2501"/>
      <c r="AX4" s="2501"/>
      <c r="AY4" s="2501"/>
      <c r="AZ4" s="2501"/>
      <c r="BA4" s="2501"/>
      <c r="BB4" s="2501"/>
      <c r="BC4" s="2501"/>
      <c r="BD4" s="2501"/>
      <c r="BE4" s="2501"/>
      <c r="BF4" s="2501"/>
      <c r="BG4" s="2501"/>
      <c r="BH4" s="2501"/>
      <c r="BI4" s="2501"/>
      <c r="BJ4" s="2501"/>
      <c r="BK4" s="2501"/>
      <c r="BL4" s="2501"/>
      <c r="BM4" s="2501"/>
      <c r="BN4" s="2501"/>
      <c r="BO4" s="2501"/>
    </row>
    <row r="5" spans="1:67" s="2572" customFormat="1" ht="42">
      <c r="A5" s="2590" t="s">
        <v>519</v>
      </c>
      <c r="B5" s="2591" t="s">
        <v>518</v>
      </c>
      <c r="C5" s="2592" t="s">
        <v>548</v>
      </c>
      <c r="D5" s="2593" t="s">
        <v>549</v>
      </c>
      <c r="E5" s="2594" t="s">
        <v>550</v>
      </c>
      <c r="F5" s="2595" t="s">
        <v>551</v>
      </c>
      <c r="G5" s="2594" t="s">
        <v>552</v>
      </c>
      <c r="H5" s="2594" t="s">
        <v>553</v>
      </c>
      <c r="I5" s="2594" t="s">
        <v>554</v>
      </c>
      <c r="J5" s="2685" t="s">
        <v>555</v>
      </c>
      <c r="K5" s="2686" t="s">
        <v>528</v>
      </c>
      <c r="L5" s="2687" t="s">
        <v>556</v>
      </c>
      <c r="M5" s="2688" t="s">
        <v>557</v>
      </c>
      <c r="N5" s="2689" t="s">
        <v>558</v>
      </c>
      <c r="O5" s="2687" t="s">
        <v>559</v>
      </c>
      <c r="P5" s="2690" t="s">
        <v>560</v>
      </c>
      <c r="Q5" s="1253" t="s">
        <v>561</v>
      </c>
      <c r="R5" s="2707" t="s">
        <v>562</v>
      </c>
      <c r="S5" s="2708" t="s">
        <v>563</v>
      </c>
      <c r="T5" s="2709" t="s">
        <v>564</v>
      </c>
      <c r="U5" s="2710" t="s">
        <v>565</v>
      </c>
      <c r="V5" s="2594" t="s">
        <v>566</v>
      </c>
      <c r="W5" s="2594" t="s">
        <v>567</v>
      </c>
      <c r="X5" s="939"/>
      <c r="Y5" s="1382" t="s">
        <v>568</v>
      </c>
      <c r="Z5" s="2735" t="s">
        <v>565</v>
      </c>
      <c r="AA5" s="2594" t="s">
        <v>566</v>
      </c>
      <c r="AB5" s="2594" t="s">
        <v>567</v>
      </c>
      <c r="AC5" s="939"/>
      <c r="AD5" s="939" t="s">
        <v>568</v>
      </c>
      <c r="AE5" s="2710" t="s">
        <v>569</v>
      </c>
      <c r="AF5" s="2594" t="s">
        <v>570</v>
      </c>
      <c r="AG5" s="1382" t="s">
        <v>571</v>
      </c>
      <c r="AH5" s="2710" t="s">
        <v>572</v>
      </c>
      <c r="AI5" s="2735" t="s">
        <v>573</v>
      </c>
      <c r="AJ5" s="2735" t="s">
        <v>574</v>
      </c>
      <c r="AK5" s="2594" t="s">
        <v>575</v>
      </c>
      <c r="AL5" s="2594" t="s">
        <v>576</v>
      </c>
      <c r="AM5" s="1382" t="s">
        <v>577</v>
      </c>
      <c r="AN5" s="2748" t="s">
        <v>578</v>
      </c>
      <c r="AO5" s="2765" t="s">
        <v>579</v>
      </c>
      <c r="AP5" s="2766" t="s">
        <v>580</v>
      </c>
      <c r="AQ5" s="2767" t="s">
        <v>581</v>
      </c>
      <c r="AR5" s="2767" t="s">
        <v>582</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571" customFormat="1" ht="14.25">
      <c r="A6" s="2596" t="str">
        <f>'数据-汇总表'!C19</f>
        <v>办公楼</v>
      </c>
      <c r="B6" s="2597" t="str">
        <f>IF(A6=0,"","经营性")</f>
        <v>经营性</v>
      </c>
      <c r="C6" s="2598" t="s">
        <v>457</v>
      </c>
      <c r="D6" s="2599">
        <f>SUMIF(项目基本情况!D$12:I$12,C6,项目基本情况!D$14:I$14)</f>
        <v>50</v>
      </c>
      <c r="E6" s="2600">
        <f>IF(B6="","",SUMIF(项目基本情况!D$12:I$12,C6,项目基本情况!D$13:I$13))</f>
        <v>56590</v>
      </c>
      <c r="F6" s="2601">
        <f>SUMIF(项目基本情况!D$12:I$12,C6,项目基本情况!D$15:I$15)</f>
        <v>32.5</v>
      </c>
      <c r="G6" s="2602">
        <f>IF(ISERROR(ROUND(POWER(1+H6,D6-F6)*(POWER(1+H6,F6)-1)/(POWER(1+H6,D6)-1),3)),0,ROUND(POWER(1+H6,D6-F6)*(POWER(1+H6,F6)-1)/(POWER(1+H6,D6)-1),3))</f>
        <v>0.871</v>
      </c>
      <c r="H6" s="2603">
        <v>0.05</v>
      </c>
      <c r="I6" s="2603">
        <v>5.5E-2</v>
      </c>
      <c r="J6" s="2604"/>
      <c r="K6" s="2691">
        <f>SUMIF('数据-汇总表'!C$19:C$33,A6,'数据-汇总表'!E$19:E$33)</f>
        <v>842.81</v>
      </c>
      <c r="L6" s="2692">
        <v>3500</v>
      </c>
      <c r="M6" s="2693">
        <f t="shared" ref="M6:M14" si="0">ROUND(K6*L6/10000,0)</f>
        <v>295</v>
      </c>
      <c r="N6" s="2694">
        <f>ROUND(1-(2022-2015)/60,2)</f>
        <v>0.88</v>
      </c>
      <c r="O6" s="2693" t="str">
        <f>IF($N$5="成新度","——",ROUND(M6*N6,0))</f>
        <v>——</v>
      </c>
      <c r="P6" s="2695" t="str">
        <f>IF($N$5="成新度","——",M6-O6)</f>
        <v>——</v>
      </c>
      <c r="Q6" s="2711">
        <v>0.1</v>
      </c>
      <c r="R6" s="2712">
        <f ca="1">SUMIF('数据-汇总表'!C$19:C$33,A6,'数据-汇总表'!R$19:R$27)</f>
        <v>0</v>
      </c>
      <c r="S6" s="2713">
        <f>IF('数据-汇总表'!$I$17="按面积比例",SUMIF('数据-汇总表'!C$19:C$33,A6,'数据-汇总表'!K$19:K$33),SUMIF('数据-汇总表'!C$19:C$33,A6,'数据-汇总表'!N$19:N$33))</f>
        <v>0</v>
      </c>
      <c r="T6" s="2714">
        <f>ROUND($L$14*S6/10000,0)</f>
        <v>0</v>
      </c>
      <c r="U6" s="2715">
        <v>2.2999999999999998</v>
      </c>
      <c r="V6" s="2716">
        <v>0.02</v>
      </c>
      <c r="W6" s="2716">
        <v>0.1</v>
      </c>
      <c r="X6" s="2717"/>
      <c r="Y6" s="2736">
        <f>N6</f>
        <v>0.88</v>
      </c>
      <c r="Z6" s="2737"/>
      <c r="AA6" s="2604"/>
      <c r="AB6" s="2604"/>
      <c r="AC6" s="2717"/>
      <c r="AD6" s="2738"/>
      <c r="AE6" s="2739">
        <f ca="1">IF(AN6="",0,SUMIF(INDIRECT("'"&amp;AN6&amp;"'"&amp;"!E:E"),$AE$5,INDIRECT("'"&amp;AN6&amp;"'"&amp;"!F:F")))</f>
        <v>32.5</v>
      </c>
      <c r="AF6" s="2171"/>
      <c r="AG6" s="1526">
        <f>IF(AF6="",0,AE6-AF6)</f>
        <v>0</v>
      </c>
      <c r="AH6" s="2721"/>
      <c r="AI6" s="2749">
        <v>365</v>
      </c>
      <c r="AJ6" s="2750"/>
      <c r="AK6" s="2756">
        <v>0.01</v>
      </c>
      <c r="AL6" s="2757">
        <v>1E-3</v>
      </c>
      <c r="AM6" s="2758">
        <v>0.01</v>
      </c>
      <c r="AN6" s="2753" t="s">
        <v>583</v>
      </c>
      <c r="AO6" s="1131">
        <f ca="1">SUMIF(INDIRECT("'"&amp;AN6&amp;"'"&amp;"!A:A"),"总价",INDIRECT("'"&amp;AN6&amp;"'"&amp;"!B:B"))</f>
        <v>913</v>
      </c>
      <c r="AP6" s="2768">
        <f>IF(C6="住宅",K6*L6,0)</f>
        <v>0</v>
      </c>
      <c r="AQ6" s="1131">
        <f>ROUND($L$14*$N$14*S6/10000,0)</f>
        <v>0</v>
      </c>
      <c r="AR6" s="1131">
        <f>ROUND($L$14*(1-$N$14)*S6/10000,0)</f>
        <v>0</v>
      </c>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row>
    <row r="7" spans="1:67" s="2571" customFormat="1" ht="14.25">
      <c r="A7" s="2596">
        <f>'数据-汇总表'!C20</f>
        <v>0</v>
      </c>
      <c r="B7" s="2597" t="str">
        <f t="shared" ref="B7:B13" si="1">IF(A7=0,"","经营性")</f>
        <v/>
      </c>
      <c r="C7" s="2598"/>
      <c r="D7" s="2599">
        <f>SUMIF(项目基本情况!D$12:I$12,C7,项目基本情况!D$14:I$14)</f>
        <v>0</v>
      </c>
      <c r="E7" s="2600" t="str">
        <f>IF(B7="","",SUMIF(项目基本情况!D$12:I$12,C7,项目基本情况!D$13:I$13))</f>
        <v/>
      </c>
      <c r="F7" s="2601">
        <f>SUMIF(项目基本情况!D$12:I$12,C7,项目基本情况!D$15:I$15)</f>
        <v>0</v>
      </c>
      <c r="G7" s="2602">
        <f t="shared" ref="G7:G13" si="2">IF(ISERROR(ROUND(POWER(1+H7,D7-F7)*(POWER(1+H7,F7)-1)/(POWER(1+H7,D7)-1),3)),0,ROUND(POWER(1+H7,D7-F7)*(POWER(1+H7,F7)-1)/(POWER(1+H7,D7)-1),3))</f>
        <v>0</v>
      </c>
      <c r="H7" s="2603"/>
      <c r="I7" s="2603"/>
      <c r="J7" s="2604"/>
      <c r="K7" s="2691">
        <f>SUMIF('数据-汇总表'!C$19:C$33,A7,'数据-汇总表'!E$19:E$33)</f>
        <v>0</v>
      </c>
      <c r="L7" s="2696"/>
      <c r="M7" s="2693">
        <f t="shared" si="0"/>
        <v>0</v>
      </c>
      <c r="N7" s="2694"/>
      <c r="O7" s="2693" t="str">
        <f t="shared" ref="O7:O14" si="3">IF($N$5="成新度","——",ROUND(M7*N7,0))</f>
        <v>——</v>
      </c>
      <c r="P7" s="2695" t="str">
        <f t="shared" ref="P7:P14" si="4">IF($N$5="成新度","——",M7-O7)</f>
        <v>——</v>
      </c>
      <c r="Q7" s="2711"/>
      <c r="R7" s="2712">
        <f ca="1">SUMIF('数据-汇总表'!C$19:C$33,A7,'数据-汇总表'!R$19:R$27)</f>
        <v>0</v>
      </c>
      <c r="S7" s="2713">
        <f>IF('数据-汇总表'!$I$17="按面积比例",SUMIF('数据-汇总表'!C$19:C$33,A7,'数据-汇总表'!K$19:K$33),SUMIF('数据-汇总表'!C$19:C$33,A7,'数据-汇总表'!N$19:N$33))</f>
        <v>0</v>
      </c>
      <c r="T7" s="2714">
        <f t="shared" ref="T7:T13" si="5">ROUND($L$14*S7/10000,0)</f>
        <v>0</v>
      </c>
      <c r="U7" s="2715"/>
      <c r="V7" s="2715"/>
      <c r="W7" s="2715"/>
      <c r="X7" s="2717"/>
      <c r="Y7" s="2736"/>
      <c r="Z7" s="2737"/>
      <c r="AA7" s="2604"/>
      <c r="AB7" s="2604"/>
      <c r="AC7" s="2717"/>
      <c r="AD7" s="2738"/>
      <c r="AE7" s="2739">
        <f t="shared" ref="AE7:AE13" ca="1" si="6">IF(AN7="",0,SUMIF(INDIRECT("'"&amp;AN7&amp;"'"&amp;"!E:E"),$AE$5,INDIRECT("'"&amp;AN7&amp;"'"&amp;"!F:F")))</f>
        <v>0</v>
      </c>
      <c r="AF7" s="2171"/>
      <c r="AG7" s="1526">
        <f t="shared" ref="AG7:AG13" si="7">IF(AF7="",0,AE7-AF7)</f>
        <v>0</v>
      </c>
      <c r="AH7" s="2721"/>
      <c r="AI7" s="2749"/>
      <c r="AJ7" s="2750"/>
      <c r="AK7" s="2756"/>
      <c r="AL7" s="2757"/>
      <c r="AM7" s="2758"/>
      <c r="AN7" s="2753"/>
      <c r="AO7" s="1131" t="e">
        <f t="shared" ref="AO7:AO13" ca="1" si="8">SUMIF(INDIRECT("'"&amp;AN7&amp;"'"&amp;"!A:A"),"总价",INDIRECT("'"&amp;AN7&amp;"'"&amp;"!B:B"))</f>
        <v>#REF!</v>
      </c>
      <c r="AP7" s="2768">
        <f t="shared" ref="AP7:AP13" si="9">IF(C7="住宅",K7*L7,0)</f>
        <v>0</v>
      </c>
      <c r="AQ7" s="1131">
        <f t="shared" ref="AQ7:AQ13" si="10">ROUND($L$14*$N$14*S7/10000,0)</f>
        <v>0</v>
      </c>
      <c r="AR7" s="1131">
        <f t="shared" ref="AR7:AR13" si="11">ROUND($L$14*(1-$N$14)*S7/10000,0)</f>
        <v>0</v>
      </c>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row>
    <row r="8" spans="1:67" s="2571" customFormat="1" ht="14.25">
      <c r="A8" s="2596">
        <f>'数据-汇总表'!C21</f>
        <v>0</v>
      </c>
      <c r="B8" s="2597" t="str">
        <f t="shared" si="1"/>
        <v/>
      </c>
      <c r="C8" s="2598"/>
      <c r="D8" s="2599">
        <f>SUMIF(项目基本情况!D$12:I$12,C8,项目基本情况!D$14:I$14)</f>
        <v>0</v>
      </c>
      <c r="E8" s="2600" t="str">
        <f>IF(B8="","",SUMIF(项目基本情况!D$12:I$12,C8,项目基本情况!D$13:I$13))</f>
        <v/>
      </c>
      <c r="F8" s="2601">
        <f>SUMIF(项目基本情况!D$12:I$12,C8,项目基本情况!D$15:I$15)</f>
        <v>0</v>
      </c>
      <c r="G8" s="2602">
        <f t="shared" si="2"/>
        <v>0</v>
      </c>
      <c r="H8" s="2603"/>
      <c r="I8" s="2603"/>
      <c r="J8" s="2604"/>
      <c r="K8" s="2691">
        <f>SUMIF('数据-汇总表'!C$19:C$33,A8,'数据-汇总表'!E$19:E$33)</f>
        <v>0</v>
      </c>
      <c r="L8" s="2696"/>
      <c r="M8" s="2693">
        <f t="shared" si="0"/>
        <v>0</v>
      </c>
      <c r="N8" s="2694"/>
      <c r="O8" s="2693" t="str">
        <f t="shared" si="3"/>
        <v>——</v>
      </c>
      <c r="P8" s="2695"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8"/>
      <c r="V8" s="2719"/>
      <c r="W8" s="2719"/>
      <c r="X8" s="2717"/>
      <c r="Y8" s="2740"/>
      <c r="Z8" s="2737"/>
      <c r="AA8" s="2604"/>
      <c r="AB8" s="2604"/>
      <c r="AC8" s="2717"/>
      <c r="AD8" s="2738"/>
      <c r="AE8" s="2739">
        <f t="shared" ca="1" si="6"/>
        <v>0</v>
      </c>
      <c r="AF8" s="2171"/>
      <c r="AG8" s="1526">
        <f t="shared" si="7"/>
        <v>0</v>
      </c>
      <c r="AH8" s="2755"/>
      <c r="AI8" s="2749"/>
      <c r="AJ8" s="2750"/>
      <c r="AK8" s="2756"/>
      <c r="AL8" s="2757"/>
      <c r="AM8" s="2758"/>
      <c r="AN8" s="2753"/>
      <c r="AO8" s="1131" t="e">
        <f t="shared" ca="1" si="8"/>
        <v>#REF!</v>
      </c>
      <c r="AP8" s="2768">
        <f t="shared" si="9"/>
        <v>0</v>
      </c>
      <c r="AQ8" s="1131">
        <f t="shared" si="10"/>
        <v>0</v>
      </c>
      <c r="AR8" s="1131">
        <f t="shared" si="11"/>
        <v>0</v>
      </c>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row>
    <row r="9" spans="1:67" s="2571" customFormat="1" ht="14.25">
      <c r="A9" s="2596">
        <f>'数据-汇总表'!C22</f>
        <v>0</v>
      </c>
      <c r="B9" s="2597" t="str">
        <f t="shared" si="1"/>
        <v/>
      </c>
      <c r="C9" s="2598"/>
      <c r="D9" s="2599">
        <f>SUMIF(项目基本情况!D$12:I$12,C9,项目基本情况!D$14:I$14)</f>
        <v>0</v>
      </c>
      <c r="E9" s="2600" t="str">
        <f>IF(B9="","",SUMIF(项目基本情况!D$12:I$12,C9,项目基本情况!D$13:I$13))</f>
        <v/>
      </c>
      <c r="F9" s="2601">
        <f>SUMIF(项目基本情况!D$12:I$12,C9,项目基本情况!D$15:I$15)</f>
        <v>0</v>
      </c>
      <c r="G9" s="2602">
        <f t="shared" si="2"/>
        <v>0</v>
      </c>
      <c r="H9" s="2604"/>
      <c r="I9" s="2604"/>
      <c r="J9" s="2604"/>
      <c r="K9" s="2691">
        <f>SUMIF('数据-汇总表'!C$19:C$33,A9,'数据-汇总表'!E$19:E$33)</f>
        <v>0</v>
      </c>
      <c r="L9" s="2696"/>
      <c r="M9" s="2693">
        <f t="shared" si="0"/>
        <v>0</v>
      </c>
      <c r="N9" s="2694"/>
      <c r="O9" s="2693" t="str">
        <f t="shared" si="3"/>
        <v>——</v>
      </c>
      <c r="P9" s="2695" t="str">
        <f t="shared" si="4"/>
        <v>——</v>
      </c>
      <c r="Q9" s="2720"/>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6"/>
      <c r="Z9" s="2737"/>
      <c r="AA9" s="2604"/>
      <c r="AB9" s="2604"/>
      <c r="AC9" s="2717"/>
      <c r="AD9" s="2738"/>
      <c r="AE9" s="2739">
        <f t="shared" ca="1" si="6"/>
        <v>0</v>
      </c>
      <c r="AF9" s="2171"/>
      <c r="AG9" s="1526">
        <f t="shared" si="7"/>
        <v>0</v>
      </c>
      <c r="AH9" s="2721"/>
      <c r="AI9" s="2749"/>
      <c r="AJ9" s="2750"/>
      <c r="AK9" s="2751"/>
      <c r="AL9" s="2752"/>
      <c r="AM9" s="2754"/>
      <c r="AN9" s="2753"/>
      <c r="AO9" s="1131" t="e">
        <f t="shared" ca="1" si="8"/>
        <v>#REF!</v>
      </c>
      <c r="AP9" s="2768">
        <f t="shared" si="9"/>
        <v>0</v>
      </c>
      <c r="AQ9" s="1131">
        <f t="shared" si="10"/>
        <v>0</v>
      </c>
      <c r="AR9" s="1131">
        <f t="shared" si="11"/>
        <v>0</v>
      </c>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row>
    <row r="10" spans="1:67" s="2571" customFormat="1" ht="14.25">
      <c r="A10" s="2596">
        <f>'数据-汇总表'!C23</f>
        <v>0</v>
      </c>
      <c r="B10" s="2597" t="str">
        <f t="shared" si="1"/>
        <v/>
      </c>
      <c r="C10" s="2598"/>
      <c r="D10" s="2599">
        <f>SUMIF(项目基本情况!D$12:I$12,C10,项目基本情况!D$14:I$14)</f>
        <v>0</v>
      </c>
      <c r="E10" s="2600" t="str">
        <f>IF(B10="","",SUMIF(项目基本情况!D$12:I$12,C10,项目基本情况!D$13:I$13))</f>
        <v/>
      </c>
      <c r="F10" s="2601">
        <f>SUMIF(项目基本情况!D$12:I$12,C10,项目基本情况!D$15:I$15)</f>
        <v>0</v>
      </c>
      <c r="G10" s="2602">
        <f t="shared" si="2"/>
        <v>0</v>
      </c>
      <c r="H10" s="2604"/>
      <c r="I10" s="2604"/>
      <c r="J10" s="2604"/>
      <c r="K10" s="2691">
        <f>SUMIF('数据-汇总表'!C$19:C$33,A10,'数据-汇总表'!E$19:E$33)</f>
        <v>0</v>
      </c>
      <c r="L10" s="2692"/>
      <c r="M10" s="2693">
        <f t="shared" si="0"/>
        <v>0</v>
      </c>
      <c r="N10" s="2694"/>
      <c r="O10" s="2693" t="str">
        <f t="shared" si="3"/>
        <v>——</v>
      </c>
      <c r="P10" s="2695" t="str">
        <f t="shared" si="4"/>
        <v>——</v>
      </c>
      <c r="Q10" s="2720"/>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6"/>
      <c r="Z10" s="2737"/>
      <c r="AA10" s="2604"/>
      <c r="AB10" s="2604"/>
      <c r="AC10" s="2717"/>
      <c r="AD10" s="2738"/>
      <c r="AE10" s="2739">
        <f t="shared" ca="1" si="6"/>
        <v>0</v>
      </c>
      <c r="AF10" s="2171"/>
      <c r="AG10" s="1526">
        <f t="shared" si="7"/>
        <v>0</v>
      </c>
      <c r="AH10" s="2721"/>
      <c r="AI10" s="2749"/>
      <c r="AJ10" s="2750"/>
      <c r="AK10" s="2751"/>
      <c r="AL10" s="2752"/>
      <c r="AM10" s="2754"/>
      <c r="AN10" s="2753"/>
      <c r="AO10" s="1131" t="e">
        <f t="shared" ca="1" si="8"/>
        <v>#REF!</v>
      </c>
      <c r="AP10" s="2768">
        <f t="shared" si="9"/>
        <v>0</v>
      </c>
      <c r="AQ10" s="1131">
        <f t="shared" si="10"/>
        <v>0</v>
      </c>
      <c r="AR10" s="1131">
        <f t="shared" si="11"/>
        <v>0</v>
      </c>
      <c r="AS10" s="2501"/>
      <c r="AT10" s="2501"/>
      <c r="AU10" s="2501"/>
      <c r="AV10" s="2501"/>
      <c r="AW10" s="2501"/>
      <c r="AX10" s="2501"/>
      <c r="AY10" s="2501"/>
      <c r="AZ10" s="2501"/>
      <c r="BA10" s="2501"/>
      <c r="BB10" s="2501"/>
      <c r="BC10" s="2501"/>
      <c r="BD10" s="2501"/>
      <c r="BE10" s="2501"/>
      <c r="BF10" s="2501"/>
      <c r="BG10" s="2501"/>
      <c r="BH10" s="2501"/>
      <c r="BI10" s="2501"/>
      <c r="BJ10" s="2501"/>
      <c r="BK10" s="2501"/>
      <c r="BL10" s="2501"/>
      <c r="BM10" s="2501"/>
      <c r="BN10" s="2501"/>
      <c r="BO10" s="2501"/>
    </row>
    <row r="11" spans="1:67" s="2571" customFormat="1" ht="14.25">
      <c r="A11" s="2596">
        <f>'数据-汇总表'!C24</f>
        <v>0</v>
      </c>
      <c r="B11" s="2597" t="str">
        <f t="shared" si="1"/>
        <v/>
      </c>
      <c r="C11" s="2598"/>
      <c r="D11" s="2599">
        <f>SUMIF(项目基本情况!D$12:I$12,C11,项目基本情况!D$14:I$14)</f>
        <v>0</v>
      </c>
      <c r="E11" s="2600" t="str">
        <f>IF(B11="","",SUMIF(项目基本情况!D$12:I$12,C11,项目基本情况!D$13:I$13))</f>
        <v/>
      </c>
      <c r="F11" s="2601">
        <f>SUMIF(项目基本情况!D$12:I$12,C11,项目基本情况!D$15:I$15)</f>
        <v>0</v>
      </c>
      <c r="G11" s="2602">
        <f t="shared" si="2"/>
        <v>0</v>
      </c>
      <c r="H11" s="2604"/>
      <c r="I11" s="2604"/>
      <c r="J11" s="2604"/>
      <c r="K11" s="2691">
        <f>SUMIF('数据-汇总表'!C$19:C$33,A11,'数据-汇总表'!E$19:E$33)</f>
        <v>0</v>
      </c>
      <c r="L11" s="2696"/>
      <c r="M11" s="2693">
        <f t="shared" si="0"/>
        <v>0</v>
      </c>
      <c r="N11" s="2697"/>
      <c r="O11" s="2693" t="str">
        <f t="shared" si="3"/>
        <v>——</v>
      </c>
      <c r="P11" s="2695" t="str">
        <f t="shared" si="4"/>
        <v>——</v>
      </c>
      <c r="Q11" s="2720"/>
      <c r="R11" s="2712">
        <f ca="1">SUMIF('数据-汇总表'!C$19:C$33,A11,'数据-汇总表'!R$19:R$27)</f>
        <v>0</v>
      </c>
      <c r="S11" s="2713">
        <f>IF('数据-汇总表'!$I$17="按面积比例",SUMIF('数据-汇总表'!C$19:C$33,A11,'数据-汇总表'!K$19:K$33),SUMIF('数据-汇总表'!C$19:C$33,A11,'数据-汇总表'!N$19:N$33))</f>
        <v>0</v>
      </c>
      <c r="T11" s="2714">
        <f t="shared" si="5"/>
        <v>0</v>
      </c>
      <c r="U11" s="2721"/>
      <c r="V11" s="2604"/>
      <c r="W11" s="2604"/>
      <c r="X11" s="2717"/>
      <c r="Y11" s="2736"/>
      <c r="Z11" s="2741"/>
      <c r="AA11" s="2604"/>
      <c r="AB11" s="2604"/>
      <c r="AC11" s="2717"/>
      <c r="AD11" s="2738"/>
      <c r="AE11" s="2739">
        <f t="shared" ca="1" si="6"/>
        <v>0</v>
      </c>
      <c r="AF11" s="2171"/>
      <c r="AG11" s="1526">
        <f t="shared" si="7"/>
        <v>0</v>
      </c>
      <c r="AH11" s="2721"/>
      <c r="AI11" s="2749"/>
      <c r="AJ11" s="2750"/>
      <c r="AK11" s="2759"/>
      <c r="AL11" s="2760"/>
      <c r="AM11" s="2761"/>
      <c r="AN11" s="2753"/>
      <c r="AO11" s="1131" t="e">
        <f t="shared" ca="1" si="8"/>
        <v>#REF!</v>
      </c>
      <c r="AP11" s="2768">
        <f t="shared" si="9"/>
        <v>0</v>
      </c>
      <c r="AQ11" s="1131">
        <f t="shared" si="10"/>
        <v>0</v>
      </c>
      <c r="AR11" s="1131">
        <f t="shared" si="11"/>
        <v>0</v>
      </c>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row>
    <row r="12" spans="1:67" s="2571" customFormat="1" ht="14.25">
      <c r="A12" s="2596">
        <f>'数据-汇总表'!C25</f>
        <v>0</v>
      </c>
      <c r="B12" s="2597" t="str">
        <f t="shared" si="1"/>
        <v/>
      </c>
      <c r="C12" s="2598"/>
      <c r="D12" s="2599">
        <f>SUMIF(项目基本情况!D$12:I$12,C12,项目基本情况!D$14:I$14)</f>
        <v>0</v>
      </c>
      <c r="E12" s="2600" t="str">
        <f>IF(B12="","",SUMIF(项目基本情况!D$12:I$12,C12,项目基本情况!D$13:I$13))</f>
        <v/>
      </c>
      <c r="F12" s="2601">
        <f>SUMIF(项目基本情况!D$12:I$12,C12,项目基本情况!D$15:I$15)</f>
        <v>0</v>
      </c>
      <c r="G12" s="2602">
        <f t="shared" si="2"/>
        <v>0</v>
      </c>
      <c r="H12" s="2604"/>
      <c r="I12" s="2604"/>
      <c r="J12" s="2604"/>
      <c r="K12" s="2691">
        <f>SUMIF('数据-汇总表'!C$19:C$33,A12,'数据-汇总表'!E$19:E$33)</f>
        <v>0</v>
      </c>
      <c r="L12" s="2696"/>
      <c r="M12" s="2693">
        <f t="shared" si="0"/>
        <v>0</v>
      </c>
      <c r="N12" s="2697"/>
      <c r="O12" s="2693" t="str">
        <f t="shared" si="3"/>
        <v>——</v>
      </c>
      <c r="P12" s="2695" t="str">
        <f t="shared" si="4"/>
        <v>——</v>
      </c>
      <c r="Q12" s="2720"/>
      <c r="R12" s="2712">
        <f ca="1">SUMIF('数据-汇总表'!C$19:C$33,A12,'数据-汇总表'!R$19:R$27)</f>
        <v>0</v>
      </c>
      <c r="S12" s="2713">
        <f>IF('数据-汇总表'!$I$17="按面积比例",SUMIF('数据-汇总表'!C$19:C$33,A12,'数据-汇总表'!K$19:K$33),SUMIF('数据-汇总表'!C$19:C$33,A12,'数据-汇总表'!N$19:N$33))</f>
        <v>0</v>
      </c>
      <c r="T12" s="2714">
        <f t="shared" si="5"/>
        <v>0</v>
      </c>
      <c r="U12" s="2721"/>
      <c r="V12" s="2604"/>
      <c r="W12" s="2604"/>
      <c r="X12" s="2717"/>
      <c r="Y12" s="2736"/>
      <c r="Z12" s="2741"/>
      <c r="AA12" s="2604"/>
      <c r="AB12" s="2604"/>
      <c r="AC12" s="2717"/>
      <c r="AD12" s="2738"/>
      <c r="AE12" s="2739">
        <f t="shared" ca="1" si="6"/>
        <v>0</v>
      </c>
      <c r="AF12" s="2171"/>
      <c r="AG12" s="1526">
        <f t="shared" si="7"/>
        <v>0</v>
      </c>
      <c r="AH12" s="2721"/>
      <c r="AI12" s="2749"/>
      <c r="AJ12" s="2750"/>
      <c r="AK12" s="2759"/>
      <c r="AL12" s="2760"/>
      <c r="AM12" s="2761"/>
      <c r="AN12" s="2753"/>
      <c r="AO12" s="1131" t="e">
        <f t="shared" ca="1" si="8"/>
        <v>#REF!</v>
      </c>
      <c r="AP12" s="2768">
        <f t="shared" si="9"/>
        <v>0</v>
      </c>
      <c r="AQ12" s="1131">
        <f t="shared" si="10"/>
        <v>0</v>
      </c>
      <c r="AR12" s="1131">
        <f t="shared" si="11"/>
        <v>0</v>
      </c>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row>
    <row r="13" spans="1:67" s="2571" customFormat="1" ht="14.25">
      <c r="A13" s="2596">
        <f>'数据-汇总表'!C26</f>
        <v>0</v>
      </c>
      <c r="B13" s="2597" t="str">
        <f t="shared" si="1"/>
        <v/>
      </c>
      <c r="C13" s="2598"/>
      <c r="D13" s="2599">
        <f>SUMIF(项目基本情况!D$12:I$12,C13,项目基本情况!D$14:I$14)</f>
        <v>0</v>
      </c>
      <c r="E13" s="2600" t="str">
        <f>IF(B13="","",SUMIF(项目基本情况!D$12:I$12,C13,项目基本情况!D$13:I$13))</f>
        <v/>
      </c>
      <c r="F13" s="2601">
        <f>SUMIF(项目基本情况!D$12:I$12,C13,项目基本情况!D$15:I$15)</f>
        <v>0</v>
      </c>
      <c r="G13" s="2602">
        <f t="shared" si="2"/>
        <v>0</v>
      </c>
      <c r="H13" s="2604"/>
      <c r="I13" s="2604"/>
      <c r="J13" s="2604"/>
      <c r="K13" s="2691">
        <f>SUMIF('数据-汇总表'!C$19:C$33,A13,'数据-汇总表'!E$19:E$33)</f>
        <v>0</v>
      </c>
      <c r="L13" s="2696"/>
      <c r="M13" s="2693">
        <f t="shared" si="0"/>
        <v>0</v>
      </c>
      <c r="N13" s="2697"/>
      <c r="O13" s="2693" t="str">
        <f t="shared" si="3"/>
        <v>——</v>
      </c>
      <c r="P13" s="2695" t="str">
        <f t="shared" si="4"/>
        <v>——</v>
      </c>
      <c r="Q13" s="2720"/>
      <c r="R13" s="2712">
        <f ca="1">SUMIF('数据-汇总表'!C$19:C$33,A13,'数据-汇总表'!R$19:R$27)</f>
        <v>0</v>
      </c>
      <c r="S13" s="2713">
        <f>IF('数据-汇总表'!$I$17="按面积比例",SUMIF('数据-汇总表'!C$19:C$33,A13,'数据-汇总表'!K$19:K$33),SUMIF('数据-汇总表'!C$19:C$33,A13,'数据-汇总表'!N$19:N$33))</f>
        <v>0</v>
      </c>
      <c r="T13" s="2714">
        <f t="shared" si="5"/>
        <v>0</v>
      </c>
      <c r="U13" s="2715"/>
      <c r="V13" s="2716"/>
      <c r="W13" s="2716"/>
      <c r="X13" s="2717"/>
      <c r="Y13" s="2736"/>
      <c r="Z13" s="2737"/>
      <c r="AA13" s="2604"/>
      <c r="AB13" s="2604"/>
      <c r="AC13" s="2717"/>
      <c r="AD13" s="2738"/>
      <c r="AE13" s="2739">
        <f t="shared" ca="1" si="6"/>
        <v>0</v>
      </c>
      <c r="AF13" s="2171"/>
      <c r="AG13" s="1526">
        <f t="shared" si="7"/>
        <v>0</v>
      </c>
      <c r="AH13" s="2721"/>
      <c r="AI13" s="2749"/>
      <c r="AJ13" s="2750"/>
      <c r="AK13" s="2751"/>
      <c r="AL13" s="2752"/>
      <c r="AM13" s="2754"/>
      <c r="AN13" s="2753"/>
      <c r="AO13" s="1131" t="e">
        <f t="shared" ca="1" si="8"/>
        <v>#REF!</v>
      </c>
      <c r="AP13" s="2768">
        <f t="shared" si="9"/>
        <v>0</v>
      </c>
      <c r="AQ13" s="1131">
        <f t="shared" si="10"/>
        <v>0</v>
      </c>
      <c r="AR13" s="1131">
        <f t="shared" si="11"/>
        <v>0</v>
      </c>
      <c r="AS13" s="2501"/>
      <c r="AT13" s="2501"/>
      <c r="AU13" s="2501"/>
      <c r="AV13" s="2501"/>
      <c r="AW13" s="2501"/>
      <c r="AX13" s="2501"/>
      <c r="AY13" s="2501"/>
      <c r="AZ13" s="2501"/>
      <c r="BA13" s="2501"/>
      <c r="BB13" s="2501"/>
      <c r="BC13" s="2501"/>
      <c r="BD13" s="2501"/>
      <c r="BE13" s="2501"/>
      <c r="BF13" s="2501"/>
      <c r="BG13" s="2501"/>
      <c r="BH13" s="2501"/>
      <c r="BI13" s="2501"/>
      <c r="BJ13" s="2501"/>
      <c r="BK13" s="2501"/>
      <c r="BL13" s="2501"/>
      <c r="BM13" s="2501"/>
      <c r="BN13" s="2501"/>
      <c r="BO13" s="2501"/>
    </row>
    <row r="14" spans="1:67" s="2571" customFormat="1" ht="14.25">
      <c r="A14" s="2605" t="s">
        <v>536</v>
      </c>
      <c r="B14" s="2597" t="s">
        <v>535</v>
      </c>
      <c r="C14" s="2606" t="s">
        <v>536</v>
      </c>
      <c r="D14" s="2599"/>
      <c r="E14" s="2600"/>
      <c r="F14" s="2601"/>
      <c r="G14" s="2602"/>
      <c r="H14" s="2607"/>
      <c r="I14" s="2607"/>
      <c r="J14" s="2607"/>
      <c r="K14" s="2691">
        <f>SUMIF('数据-汇总表'!C$19:C$33,A14,'数据-汇总表'!E$19:E$33)</f>
        <v>0</v>
      </c>
      <c r="L14" s="2696"/>
      <c r="M14" s="2693">
        <f t="shared" si="0"/>
        <v>0</v>
      </c>
      <c r="N14" s="2697"/>
      <c r="O14" s="2693" t="str">
        <f t="shared" si="3"/>
        <v>——</v>
      </c>
      <c r="P14" s="2695" t="str">
        <f t="shared" si="4"/>
        <v>——</v>
      </c>
      <c r="Q14" s="2722"/>
      <c r="R14" s="2712"/>
      <c r="S14" s="2713"/>
      <c r="T14" s="2714"/>
      <c r="U14" s="2723"/>
      <c r="V14" s="2724"/>
      <c r="W14" s="2724"/>
      <c r="X14" s="2725"/>
      <c r="Y14" s="2742"/>
      <c r="Z14" s="2743"/>
      <c r="AA14" s="2744"/>
      <c r="AB14" s="2744"/>
      <c r="AC14" s="2717"/>
      <c r="AD14" s="2725"/>
      <c r="AE14" s="2739"/>
      <c r="AF14" s="1131"/>
      <c r="AG14" s="1526"/>
      <c r="AH14" s="2739"/>
      <c r="AI14" s="1119"/>
      <c r="AJ14" s="1130"/>
      <c r="AK14" s="2762"/>
      <c r="AL14" s="2763"/>
      <c r="AM14" s="2764"/>
      <c r="AN14" s="2048"/>
      <c r="AO14" s="2617"/>
      <c r="AP14" s="2617"/>
      <c r="AQ14" s="2617"/>
      <c r="AR14" s="2617"/>
      <c r="AS14" s="2501"/>
      <c r="AT14" s="2501"/>
      <c r="AU14" s="2501"/>
      <c r="AV14" s="2501"/>
      <c r="AW14" s="2501"/>
      <c r="AX14" s="2501"/>
      <c r="AY14" s="2501"/>
      <c r="AZ14" s="2501"/>
      <c r="BA14" s="2501"/>
      <c r="BB14" s="2501"/>
      <c r="BC14" s="2501"/>
      <c r="BD14" s="2501"/>
      <c r="BE14" s="2501"/>
      <c r="BF14" s="2501"/>
      <c r="BG14" s="2501"/>
      <c r="BH14" s="2501"/>
      <c r="BI14" s="2501"/>
      <c r="BJ14" s="2501"/>
      <c r="BK14" s="2501"/>
      <c r="BL14" s="2501"/>
      <c r="BM14" s="2501"/>
      <c r="BN14" s="2501"/>
      <c r="BO14" s="2501"/>
    </row>
    <row r="15" spans="1:67" s="2571" customFormat="1" ht="27">
      <c r="A15" s="2605" t="s">
        <v>537</v>
      </c>
      <c r="B15" s="2597" t="s">
        <v>535</v>
      </c>
      <c r="C15" s="2606" t="s">
        <v>584</v>
      </c>
      <c r="D15" s="2599"/>
      <c r="E15" s="2600"/>
      <c r="F15" s="2601"/>
      <c r="G15" s="2602"/>
      <c r="H15" s="2607"/>
      <c r="I15" s="2607"/>
      <c r="J15" s="2607"/>
      <c r="K15" s="2691">
        <f>SUMIF('数据-汇总表'!C$19:C$33,A15,'数据-汇总表'!E$19:E$33)</f>
        <v>0</v>
      </c>
      <c r="L15" s="2698"/>
      <c r="M15" s="2693"/>
      <c r="N15" s="2699"/>
      <c r="O15" s="2693"/>
      <c r="P15" s="2695"/>
      <c r="Q15" s="2722"/>
      <c r="R15" s="2712"/>
      <c r="S15" s="2713"/>
      <c r="T15" s="2714"/>
      <c r="U15" s="2723"/>
      <c r="V15" s="2724"/>
      <c r="W15" s="2724"/>
      <c r="X15" s="2725"/>
      <c r="Y15" s="2742"/>
      <c r="Z15" s="2743"/>
      <c r="AA15" s="2744"/>
      <c r="AB15" s="2744"/>
      <c r="AC15" s="2717"/>
      <c r="AD15" s="2725"/>
      <c r="AE15" s="2739"/>
      <c r="AF15" s="1131"/>
      <c r="AG15" s="1526"/>
      <c r="AH15" s="2739"/>
      <c r="AI15" s="1119"/>
      <c r="AJ15" s="1130"/>
      <c r="AK15" s="2762"/>
      <c r="AL15" s="2763"/>
      <c r="AM15" s="2764"/>
      <c r="AN15" s="2048"/>
      <c r="AO15" s="2617"/>
      <c r="AP15" s="2617"/>
      <c r="AQ15" s="2617"/>
      <c r="AR15" s="2617"/>
      <c r="AS15" s="2501"/>
      <c r="AT15" s="2501"/>
      <c r="AU15" s="2501"/>
      <c r="AV15" s="2501"/>
      <c r="AW15" s="2501"/>
      <c r="AX15" s="2501"/>
      <c r="AY15" s="2501"/>
      <c r="AZ15" s="2501"/>
      <c r="BA15" s="2501"/>
      <c r="BB15" s="2501"/>
      <c r="BC15" s="2501"/>
      <c r="BD15" s="2501"/>
      <c r="BE15" s="2501"/>
      <c r="BF15" s="2501"/>
      <c r="BG15" s="2501"/>
      <c r="BH15" s="2501"/>
      <c r="BI15" s="2501"/>
      <c r="BJ15" s="2501"/>
      <c r="BK15" s="2501"/>
      <c r="BL15" s="2501"/>
      <c r="BM15" s="2501"/>
      <c r="BN15" s="2501"/>
      <c r="BO15" s="2501"/>
    </row>
    <row r="16" spans="1:67" s="2571" customFormat="1" ht="15">
      <c r="A16" s="2608" t="s">
        <v>538</v>
      </c>
      <c r="B16" s="2609"/>
      <c r="C16" s="2106"/>
      <c r="D16" s="2610"/>
      <c r="E16" s="2609"/>
      <c r="F16" s="2609"/>
      <c r="G16" s="2611">
        <f>ROUND(SUMPRODUCT(G6:G13,K6:K13)/SUMPRODUCT((G6:G13&gt;0)*(K6:K13)),3)</f>
        <v>0.871</v>
      </c>
      <c r="H16" s="2612">
        <f>ROUND(SUMPRODUCT(H6:H13,K6:K13)/SUMPRODUCT((H6:H13&gt;0)*(K6:K13)),3)</f>
        <v>0.05</v>
      </c>
      <c r="I16" s="2700"/>
      <c r="J16" s="2700"/>
      <c r="K16" s="2701">
        <f>SUM(K6:K15)</f>
        <v>842.81</v>
      </c>
      <c r="L16" s="2702">
        <f>ROUND(M16*10000/SUM(K6:K14),0)</f>
        <v>3500</v>
      </c>
      <c r="M16" s="2702">
        <f>SUM(M6:M14)</f>
        <v>295</v>
      </c>
      <c r="N16" s="2703">
        <f>ROUND(SUMPRODUCT(M6:M14,N6:N14)/M16,3)</f>
        <v>0.88</v>
      </c>
      <c r="O16" s="2702">
        <f>SUM(O6:O14)</f>
        <v>0</v>
      </c>
      <c r="P16" s="2702">
        <f>SUM(P6:P14)</f>
        <v>0</v>
      </c>
      <c r="Q16" s="2726">
        <f>ROUND(SUMPRODUCT(Q6:Q13,K6:K13)/SUMPRODUCT((Q6:Q13&gt;0)*(K6:K13)),2)</f>
        <v>0.1</v>
      </c>
      <c r="R16" s="2727">
        <f ca="1">SUM(R6:R13)</f>
        <v>0</v>
      </c>
      <c r="S16" s="2728">
        <f>SUM(S6:S13)</f>
        <v>0</v>
      </c>
      <c r="T16" s="2729">
        <f>IF(SUMIF(T6:T13,"&lt;9E307")=M14,SUMIF(T6:T13,"&lt;9E307"),"有误，请检查")</f>
        <v>0</v>
      </c>
      <c r="U16" s="2730"/>
      <c r="V16" s="2731"/>
      <c r="W16" s="2731"/>
      <c r="X16" s="2732"/>
      <c r="Y16" s="2745"/>
      <c r="Z16" s="2746"/>
      <c r="AA16" s="2731"/>
      <c r="AB16" s="2731"/>
      <c r="AC16" s="2732"/>
      <c r="AD16" s="2732"/>
      <c r="AE16" s="2730"/>
      <c r="AF16" s="2731"/>
      <c r="AG16" s="2745"/>
      <c r="AH16" s="2730"/>
      <c r="AI16" s="2746"/>
      <c r="AJ16" s="2746"/>
      <c r="AK16" s="2731"/>
      <c r="AL16" s="2731"/>
      <c r="AM16" s="2745"/>
      <c r="AN16" s="2048"/>
      <c r="AO16" s="2617"/>
      <c r="AP16" s="2617"/>
      <c r="AQ16" s="2617"/>
      <c r="AR16" s="2617"/>
      <c r="AS16" s="2501"/>
      <c r="AT16" s="2501"/>
      <c r="AU16" s="2501"/>
      <c r="AV16" s="2501"/>
      <c r="AW16" s="2501"/>
      <c r="AX16" s="2501"/>
      <c r="AY16" s="2501"/>
      <c r="AZ16" s="2501"/>
      <c r="BA16" s="2501"/>
      <c r="BB16" s="2501"/>
      <c r="BC16" s="2501"/>
      <c r="BD16" s="2501"/>
      <c r="BE16" s="2501"/>
      <c r="BF16" s="2501"/>
      <c r="BG16" s="2501"/>
      <c r="BH16" s="2501"/>
      <c r="BI16" s="2501"/>
      <c r="BJ16" s="2501"/>
      <c r="BK16" s="2501"/>
      <c r="BL16" s="2501"/>
      <c r="BM16" s="2501"/>
      <c r="BN16" s="2501"/>
      <c r="BO16" s="2501"/>
    </row>
    <row r="17" spans="1:67">
      <c r="A17" s="2613"/>
      <c r="B17" s="2614"/>
      <c r="C17" s="2048"/>
      <c r="D17" s="2615"/>
      <c r="E17" s="2615"/>
      <c r="F17" s="2048"/>
      <c r="G17" s="2048"/>
      <c r="H17" s="2048"/>
      <c r="I17" s="2048"/>
      <c r="J17" s="2048"/>
      <c r="K17" s="2704"/>
      <c r="L17" s="2704"/>
      <c r="M17" s="2048"/>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c r="AL17" s="2048"/>
      <c r="AM17" s="2048"/>
      <c r="AN17" s="2048"/>
      <c r="AO17" s="2048"/>
      <c r="AP17" s="2048"/>
      <c r="AQ17" s="2048"/>
      <c r="AR17" s="2048"/>
    </row>
    <row r="18" spans="1:67" ht="14.25">
      <c r="A18" s="1365" t="s">
        <v>585</v>
      </c>
      <c r="B18" s="2616"/>
      <c r="C18" s="2617"/>
      <c r="D18" s="2618"/>
      <c r="E18" s="2617"/>
      <c r="F18" s="2617"/>
      <c r="G18" s="2617"/>
      <c r="H18" s="2617"/>
      <c r="I18" s="2617"/>
      <c r="J18" s="2617"/>
      <c r="K18" s="2704"/>
      <c r="L18" s="2704"/>
      <c r="M18" s="2048"/>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c r="AL18" s="2048"/>
      <c r="AM18" s="2048"/>
      <c r="AN18" s="2048"/>
      <c r="AO18" s="2048"/>
      <c r="AP18" s="2048"/>
      <c r="AQ18" s="2048"/>
      <c r="AR18" s="2048"/>
    </row>
    <row r="19" spans="1:67" ht="14.25">
      <c r="A19" s="2619" t="s">
        <v>586</v>
      </c>
      <c r="B19" s="2620">
        <v>0</v>
      </c>
      <c r="C19" s="2621" t="s">
        <v>587</v>
      </c>
      <c r="D19" s="2618"/>
      <c r="E19" s="2617"/>
      <c r="F19" s="2617"/>
      <c r="G19" s="2617"/>
      <c r="H19" s="2617"/>
      <c r="I19" s="2617"/>
      <c r="J19" s="2617"/>
      <c r="K19" s="2704"/>
      <c r="L19" s="2704"/>
      <c r="M19" s="2048"/>
      <c r="N19" s="2048"/>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2048"/>
      <c r="AL19" s="2048"/>
      <c r="AM19" s="2048"/>
      <c r="AN19" s="2048"/>
      <c r="AO19" s="2048"/>
      <c r="AP19" s="2048"/>
      <c r="AQ19" s="2048"/>
      <c r="AR19" s="2048"/>
    </row>
    <row r="20" spans="1:67" ht="14.25">
      <c r="A20" s="2622" t="s">
        <v>588</v>
      </c>
      <c r="B20" s="2623">
        <v>1</v>
      </c>
      <c r="C20" s="2624" t="s">
        <v>589</v>
      </c>
      <c r="D20" s="2618"/>
      <c r="E20" s="2617"/>
      <c r="F20" s="2617"/>
      <c r="G20" s="2617"/>
      <c r="H20" s="2617"/>
      <c r="I20" s="2617"/>
      <c r="J20" s="2617"/>
      <c r="K20" s="2704"/>
      <c r="L20" s="2704"/>
      <c r="M20" s="2048"/>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c r="AL20" s="2048"/>
      <c r="AM20" s="2048"/>
      <c r="AN20" s="2048"/>
      <c r="AO20" s="2048"/>
      <c r="AP20" s="2048"/>
      <c r="AQ20" s="2048"/>
      <c r="AR20" s="2048"/>
    </row>
    <row r="21" spans="1:67" ht="14.25">
      <c r="A21" s="2625" t="s">
        <v>590</v>
      </c>
      <c r="B21" s="2623">
        <f>B20</f>
        <v>1</v>
      </c>
      <c r="C21" s="2617"/>
      <c r="D21" s="2618"/>
      <c r="E21" s="2617"/>
      <c r="F21" s="2617"/>
      <c r="G21" s="2617"/>
      <c r="H21" s="2617"/>
      <c r="I21" s="2617"/>
      <c r="J21" s="2617"/>
      <c r="K21" s="2704"/>
      <c r="L21" s="2704"/>
      <c r="M21" s="2048"/>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c r="AL21" s="2048"/>
      <c r="AM21" s="2048"/>
      <c r="AN21" s="2048"/>
      <c r="AO21" s="2048"/>
      <c r="AP21" s="2048"/>
      <c r="AQ21" s="2048"/>
      <c r="AR21" s="2048"/>
    </row>
    <row r="22" spans="1:67" ht="14.25">
      <c r="A22" s="2622" t="s">
        <v>591</v>
      </c>
      <c r="B22" s="2626">
        <f>B19+B20</f>
        <v>1</v>
      </c>
      <c r="C22" s="2617"/>
      <c r="D22" s="2618"/>
      <c r="E22" s="2617"/>
      <c r="F22" s="2617"/>
      <c r="G22" s="2617"/>
      <c r="H22" s="2617"/>
      <c r="I22" s="2617"/>
      <c r="J22" s="2617"/>
      <c r="K22" s="2704"/>
      <c r="L22" s="2704"/>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8"/>
      <c r="AM22" s="2048"/>
      <c r="AN22" s="2048"/>
      <c r="AO22" s="2048"/>
      <c r="AP22" s="2048"/>
      <c r="AQ22" s="2048"/>
      <c r="AR22" s="2048"/>
    </row>
    <row r="23" spans="1:67" ht="14.25">
      <c r="A23" s="2625" t="s">
        <v>592</v>
      </c>
      <c r="B23" s="2626">
        <f>B19+B21</f>
        <v>1</v>
      </c>
      <c r="C23" s="2617"/>
      <c r="D23" s="2618"/>
      <c r="E23" s="2617"/>
      <c r="F23" s="2617"/>
      <c r="G23" s="2617"/>
      <c r="H23" s="2617"/>
      <c r="I23" s="2617"/>
      <c r="J23" s="2617"/>
      <c r="K23" s="2704"/>
      <c r="L23" s="2704"/>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c r="AL23" s="2048"/>
      <c r="AM23" s="2048"/>
      <c r="AN23" s="2048"/>
      <c r="AO23" s="2048"/>
      <c r="AP23" s="2048"/>
      <c r="AQ23" s="2048"/>
      <c r="AR23" s="2048"/>
    </row>
    <row r="24" spans="1:67" ht="14.25">
      <c r="A24" s="2627" t="s">
        <v>593</v>
      </c>
      <c r="B24" s="2628">
        <f>B20-B21</f>
        <v>0</v>
      </c>
      <c r="C24" s="2617"/>
      <c r="D24" s="2618"/>
      <c r="E24" s="2617"/>
      <c r="F24" s="2617"/>
      <c r="G24" s="2617"/>
      <c r="H24" s="2617"/>
      <c r="I24" s="2617"/>
      <c r="J24" s="2617"/>
      <c r="K24" s="2704"/>
      <c r="L24" s="2704"/>
      <c r="M24" s="2048"/>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c r="AL24" s="2048"/>
      <c r="AM24" s="2048"/>
      <c r="AN24" s="2048"/>
      <c r="AO24" s="2048"/>
      <c r="AP24" s="2048"/>
      <c r="AQ24" s="2048"/>
      <c r="AR24" s="2048"/>
    </row>
    <row r="25" spans="1:67" ht="14.25">
      <c r="A25" s="2586"/>
      <c r="B25" s="2587"/>
      <c r="C25" s="2617"/>
      <c r="D25" s="2618"/>
      <c r="E25" s="2617"/>
      <c r="F25" s="2617"/>
      <c r="G25" s="2617"/>
      <c r="H25" s="2617"/>
      <c r="I25" s="2617"/>
      <c r="J25" s="2617"/>
      <c r="K25" s="2704"/>
      <c r="L25" s="2704"/>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8"/>
      <c r="AJ25" s="2048"/>
      <c r="AK25" s="2048"/>
      <c r="AL25" s="2048"/>
      <c r="AM25" s="2048"/>
      <c r="AN25" s="2048"/>
      <c r="AO25" s="2048"/>
      <c r="AP25" s="2048"/>
      <c r="AQ25" s="2048"/>
      <c r="AR25" s="2048"/>
    </row>
    <row r="26" spans="1:67" ht="14.25">
      <c r="A26" s="2582" t="s">
        <v>594</v>
      </c>
      <c r="B26" s="2629" t="s">
        <v>595</v>
      </c>
      <c r="C26" s="2630" t="s">
        <v>596</v>
      </c>
      <c r="D26" s="2618"/>
      <c r="E26" s="2617"/>
      <c r="F26" s="2617"/>
      <c r="G26" s="2617"/>
      <c r="H26" s="2617"/>
      <c r="I26" s="2617"/>
      <c r="J26" s="2617"/>
      <c r="K26" s="2704"/>
      <c r="L26" s="2704"/>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8"/>
      <c r="AM26" s="2048"/>
      <c r="AN26" s="2048"/>
      <c r="AO26" s="2048"/>
      <c r="AP26" s="2048"/>
      <c r="AQ26" s="2048"/>
      <c r="AR26" s="2048"/>
    </row>
    <row r="27" spans="1:67" s="2573" customFormat="1" ht="27.75">
      <c r="A27" s="2631" t="s">
        <v>597</v>
      </c>
      <c r="B27" s="2632">
        <v>160</v>
      </c>
      <c r="C27" s="2633" t="s">
        <v>598</v>
      </c>
      <c r="D27" s="2634"/>
      <c r="E27" s="1246"/>
      <c r="F27" s="1246"/>
      <c r="G27" s="2617"/>
      <c r="H27" s="2617"/>
      <c r="I27" s="2617"/>
      <c r="J27" s="2617"/>
      <c r="K27" s="2704"/>
      <c r="L27" s="2704"/>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2048"/>
      <c r="AI27" s="2048"/>
      <c r="AJ27" s="2048"/>
      <c r="AK27" s="2048"/>
      <c r="AL27" s="2048"/>
      <c r="AM27" s="2048"/>
      <c r="AN27" s="2048"/>
      <c r="AO27" s="2048"/>
      <c r="AP27" s="2048"/>
      <c r="AQ27" s="2048"/>
      <c r="AR27" s="2048"/>
      <c r="AS27" s="2036"/>
      <c r="AT27" s="2036"/>
      <c r="AU27" s="2036"/>
      <c r="AV27" s="2036"/>
      <c r="AW27" s="2036"/>
      <c r="AX27" s="2036"/>
      <c r="AY27" s="2036"/>
      <c r="AZ27" s="2036"/>
      <c r="BA27" s="2036"/>
      <c r="BB27" s="2036"/>
      <c r="BC27" s="2036"/>
      <c r="BD27" s="2036"/>
      <c r="BE27" s="2036"/>
      <c r="BF27" s="2036"/>
      <c r="BG27" s="2036"/>
      <c r="BH27" s="2036"/>
      <c r="BI27" s="2036"/>
      <c r="BJ27" s="2036"/>
      <c r="BK27" s="2036"/>
      <c r="BL27" s="2036"/>
      <c r="BM27" s="2036"/>
      <c r="BN27" s="2036"/>
      <c r="BO27" s="2036"/>
    </row>
    <row r="28" spans="1:67" s="2573" customFormat="1" ht="27.75">
      <c r="A28" s="2635" t="s">
        <v>599</v>
      </c>
      <c r="B28" s="2636">
        <v>200</v>
      </c>
      <c r="C28" s="2637"/>
      <c r="D28" s="2634"/>
      <c r="E28" s="1246"/>
      <c r="F28" s="1246"/>
      <c r="G28" s="2617"/>
      <c r="H28" s="2617"/>
      <c r="I28" s="2617"/>
      <c r="J28" s="2617"/>
      <c r="K28" s="2704"/>
      <c r="L28" s="2704"/>
      <c r="M28" s="2048"/>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c r="AL28" s="2048"/>
      <c r="AM28" s="2048"/>
      <c r="AN28" s="2048"/>
      <c r="AO28" s="2048"/>
      <c r="AP28" s="2048"/>
      <c r="AQ28" s="2048"/>
      <c r="AR28" s="2048"/>
      <c r="AS28" s="2036"/>
      <c r="AT28" s="2036"/>
      <c r="AU28" s="2036"/>
      <c r="AV28" s="2036"/>
      <c r="AW28" s="2036"/>
      <c r="AX28" s="2036"/>
      <c r="AY28" s="2036"/>
      <c r="AZ28" s="2036"/>
      <c r="BA28" s="2036"/>
      <c r="BB28" s="2036"/>
      <c r="BC28" s="2036"/>
      <c r="BD28" s="2036"/>
      <c r="BE28" s="2036"/>
      <c r="BF28" s="2036"/>
      <c r="BG28" s="2036"/>
      <c r="BH28" s="2036"/>
      <c r="BI28" s="2036"/>
      <c r="BJ28" s="2036"/>
      <c r="BK28" s="2036"/>
      <c r="BL28" s="2036"/>
      <c r="BM28" s="2036"/>
      <c r="BN28" s="2036"/>
      <c r="BO28" s="2036"/>
    </row>
    <row r="29" spans="1:67" s="2573" customFormat="1" ht="27.75">
      <c r="A29" s="2638" t="s">
        <v>600</v>
      </c>
      <c r="B29" s="2639">
        <f>ROUND(B28*K16/10000,0)</f>
        <v>17</v>
      </c>
      <c r="C29" s="2640" t="s">
        <v>601</v>
      </c>
      <c r="D29" s="2634"/>
      <c r="E29" s="1246"/>
      <c r="F29" s="1246"/>
      <c r="G29" s="2617"/>
      <c r="H29" s="2617"/>
      <c r="I29" s="2617"/>
      <c r="J29" s="2617"/>
      <c r="K29" s="2704"/>
      <c r="L29" s="2704"/>
      <c r="M29" s="2048"/>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c r="AL29" s="2048"/>
      <c r="AM29" s="2048"/>
      <c r="AN29" s="2048"/>
      <c r="AO29" s="2048"/>
      <c r="AP29" s="2048"/>
      <c r="AQ29" s="2048"/>
      <c r="AR29" s="2048"/>
      <c r="AS29" s="2036"/>
      <c r="AT29" s="2036"/>
      <c r="AU29" s="2036"/>
      <c r="AV29" s="2036"/>
      <c r="AW29" s="2036"/>
      <c r="AX29" s="2036"/>
      <c r="AY29" s="2036"/>
      <c r="AZ29" s="2036"/>
      <c r="BA29" s="2036"/>
      <c r="BB29" s="2036"/>
      <c r="BC29" s="2036"/>
      <c r="BD29" s="2036"/>
      <c r="BE29" s="2036"/>
      <c r="BF29" s="2036"/>
      <c r="BG29" s="2036"/>
      <c r="BH29" s="2036"/>
      <c r="BI29" s="2036"/>
      <c r="BJ29" s="2036"/>
      <c r="BK29" s="2036"/>
      <c r="BL29" s="2036"/>
      <c r="BM29" s="2036"/>
      <c r="BN29" s="2036"/>
      <c r="BO29" s="2036"/>
    </row>
    <row r="30" spans="1:67" s="2573" customFormat="1" ht="27">
      <c r="A30" s="2641" t="s">
        <v>602</v>
      </c>
      <c r="B30" s="2642">
        <v>200</v>
      </c>
      <c r="C30" s="2637"/>
      <c r="D30" s="2634"/>
      <c r="E30" s="1246"/>
      <c r="F30" s="1246"/>
      <c r="G30" s="2617"/>
      <c r="H30" s="2617"/>
      <c r="I30" s="2617"/>
      <c r="J30" s="2617"/>
      <c r="K30" s="2704"/>
      <c r="L30" s="2704"/>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8"/>
      <c r="AK30" s="2048"/>
      <c r="AL30" s="2048"/>
      <c r="AM30" s="2048"/>
      <c r="AN30" s="2048"/>
      <c r="AO30" s="2048"/>
      <c r="AP30" s="2048"/>
      <c r="AQ30" s="2048"/>
      <c r="AR30" s="2048"/>
      <c r="AS30" s="2036"/>
      <c r="AT30" s="2036"/>
      <c r="AU30" s="2036"/>
      <c r="AV30" s="2036"/>
      <c r="AW30" s="2036"/>
      <c r="AX30" s="2036"/>
      <c r="AY30" s="2036"/>
      <c r="AZ30" s="2036"/>
      <c r="BA30" s="2036"/>
      <c r="BB30" s="2036"/>
      <c r="BC30" s="2036"/>
      <c r="BD30" s="2036"/>
      <c r="BE30" s="2036"/>
      <c r="BF30" s="2036"/>
      <c r="BG30" s="2036"/>
      <c r="BH30" s="2036"/>
      <c r="BI30" s="2036"/>
      <c r="BJ30" s="2036"/>
      <c r="BK30" s="2036"/>
      <c r="BL30" s="2036"/>
      <c r="BM30" s="2036"/>
      <c r="BN30" s="2036"/>
      <c r="BO30" s="2036"/>
    </row>
    <row r="31" spans="1:67" s="2573" customFormat="1" ht="27">
      <c r="A31" s="2635" t="s">
        <v>603</v>
      </c>
      <c r="B31" s="2643">
        <f>B30-B32</f>
        <v>200</v>
      </c>
      <c r="C31" s="2644"/>
      <c r="D31" s="2634"/>
      <c r="E31" s="1246"/>
      <c r="F31" s="1246"/>
      <c r="G31" s="2617"/>
      <c r="H31" s="2617"/>
      <c r="I31" s="2617"/>
      <c r="J31" s="2617"/>
      <c r="K31" s="2704"/>
      <c r="L31" s="2704"/>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8"/>
      <c r="AM31" s="2048"/>
      <c r="AN31" s="2048"/>
      <c r="AO31" s="2048"/>
      <c r="AP31" s="2048"/>
      <c r="AQ31" s="2048"/>
      <c r="AR31" s="2048"/>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row>
    <row r="32" spans="1:67" s="2573" customFormat="1" ht="27">
      <c r="A32" s="2645" t="s">
        <v>604</v>
      </c>
      <c r="B32" s="2646">
        <v>0</v>
      </c>
      <c r="C32" s="2637"/>
      <c r="D32" s="2618"/>
      <c r="E32" s="2617"/>
      <c r="F32" s="2617"/>
      <c r="G32" s="2617"/>
      <c r="H32" s="2617"/>
      <c r="I32" s="2617"/>
      <c r="J32" s="2617"/>
      <c r="K32" s="2704"/>
      <c r="L32" s="2704"/>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2048"/>
      <c r="AI32" s="2048"/>
      <c r="AJ32" s="2048"/>
      <c r="AK32" s="2048"/>
      <c r="AL32" s="2048"/>
      <c r="AM32" s="2048"/>
      <c r="AN32" s="2048"/>
      <c r="AO32" s="2048"/>
      <c r="AP32" s="2048"/>
      <c r="AQ32" s="2048"/>
      <c r="AR32" s="2048"/>
      <c r="AS32" s="2036"/>
      <c r="AT32" s="2036"/>
      <c r="AU32" s="2036"/>
      <c r="AV32" s="2036"/>
      <c r="AW32" s="2036"/>
      <c r="AX32" s="2036"/>
      <c r="AY32" s="2036"/>
      <c r="AZ32" s="2036"/>
      <c r="BA32" s="2036"/>
      <c r="BB32" s="2036"/>
      <c r="BC32" s="2036"/>
      <c r="BD32" s="2036"/>
      <c r="BE32" s="2036"/>
      <c r="BF32" s="2036"/>
      <c r="BG32" s="2036"/>
      <c r="BH32" s="2036"/>
      <c r="BI32" s="2036"/>
      <c r="BJ32" s="2036"/>
      <c r="BK32" s="2036"/>
      <c r="BL32" s="2036"/>
      <c r="BM32" s="2036"/>
      <c r="BN32" s="2036"/>
      <c r="BO32" s="2036"/>
    </row>
    <row r="33" spans="1:67" s="2573" customFormat="1" ht="14.25">
      <c r="A33" s="2631" t="s">
        <v>605</v>
      </c>
      <c r="B33" s="2647">
        <v>0.03</v>
      </c>
      <c r="C33" s="2648" t="s">
        <v>606</v>
      </c>
      <c r="D33" s="2618"/>
      <c r="E33" s="2617"/>
      <c r="F33" s="2617"/>
      <c r="G33" s="2617"/>
      <c r="H33" s="2617"/>
      <c r="I33" s="2617"/>
      <c r="J33" s="2617"/>
      <c r="K33" s="2704"/>
      <c r="L33" s="2704"/>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8"/>
      <c r="AK33" s="2048"/>
      <c r="AL33" s="2048"/>
      <c r="AM33" s="2048"/>
      <c r="AN33" s="2048"/>
      <c r="AO33" s="2048"/>
      <c r="AP33" s="2048"/>
      <c r="AQ33" s="2048"/>
      <c r="AR33" s="2048"/>
      <c r="AS33" s="2036"/>
      <c r="AT33" s="2036"/>
      <c r="AU33" s="2036"/>
      <c r="AV33" s="2036"/>
      <c r="AW33" s="2036"/>
      <c r="AX33" s="2036"/>
      <c r="AY33" s="2036"/>
      <c r="AZ33" s="2036"/>
      <c r="BA33" s="2036"/>
      <c r="BB33" s="2036"/>
      <c r="BC33" s="2036"/>
      <c r="BD33" s="2036"/>
      <c r="BE33" s="2036"/>
      <c r="BF33" s="2036"/>
      <c r="BG33" s="2036"/>
      <c r="BH33" s="2036"/>
      <c r="BI33" s="2036"/>
      <c r="BJ33" s="2036"/>
      <c r="BK33" s="2036"/>
      <c r="BL33" s="2036"/>
      <c r="BM33" s="2036"/>
      <c r="BN33" s="2036"/>
      <c r="BO33" s="2036"/>
    </row>
    <row r="34" spans="1:67" s="2573" customFormat="1" ht="14.25">
      <c r="A34" s="2635" t="s">
        <v>607</v>
      </c>
      <c r="B34" s="2649">
        <v>0</v>
      </c>
      <c r="C34" s="2648" t="s">
        <v>608</v>
      </c>
      <c r="D34" s="2650" t="s">
        <v>609</v>
      </c>
      <c r="E34" s="2614"/>
      <c r="F34" s="2617"/>
      <c r="G34" s="2617"/>
      <c r="H34" s="2617"/>
      <c r="I34" s="2617"/>
      <c r="J34" s="2617"/>
      <c r="K34" s="2704"/>
      <c r="L34" s="2704"/>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8"/>
      <c r="AK34" s="2048"/>
      <c r="AL34" s="2048"/>
      <c r="AM34" s="2048"/>
      <c r="AN34" s="2048"/>
      <c r="AO34" s="2048"/>
      <c r="AP34" s="2048"/>
      <c r="AQ34" s="2048"/>
      <c r="AR34" s="2048"/>
      <c r="AS34" s="2036"/>
      <c r="AT34" s="2036"/>
      <c r="AU34" s="2036"/>
      <c r="AV34" s="2036"/>
      <c r="AW34" s="2036"/>
      <c r="AX34" s="2036"/>
      <c r="AY34" s="2036"/>
      <c r="AZ34" s="2036"/>
      <c r="BA34" s="2036"/>
      <c r="BB34" s="2036"/>
      <c r="BC34" s="2036"/>
      <c r="BD34" s="2036"/>
      <c r="BE34" s="2036"/>
      <c r="BF34" s="2036"/>
      <c r="BG34" s="2036"/>
      <c r="BH34" s="2036"/>
      <c r="BI34" s="2036"/>
      <c r="BJ34" s="2036"/>
      <c r="BK34" s="2036"/>
      <c r="BL34" s="2036"/>
      <c r="BM34" s="2036"/>
      <c r="BN34" s="2036"/>
      <c r="BO34" s="2036"/>
    </row>
    <row r="35" spans="1:67" s="2573" customFormat="1" ht="14.25">
      <c r="A35" s="2635" t="s">
        <v>610</v>
      </c>
      <c r="B35" s="2636">
        <v>200</v>
      </c>
      <c r="C35" s="2648" t="s">
        <v>611</v>
      </c>
      <c r="D35" s="2634"/>
      <c r="E35" s="1246"/>
      <c r="F35" s="1246"/>
      <c r="G35" s="2617"/>
      <c r="H35" s="2617"/>
      <c r="I35" s="2617"/>
      <c r="J35" s="2617"/>
      <c r="K35" s="2704"/>
      <c r="L35" s="2704"/>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8"/>
      <c r="AK35" s="2048"/>
      <c r="AL35" s="2048"/>
      <c r="AM35" s="2048"/>
      <c r="AN35" s="2048"/>
      <c r="AO35" s="2048"/>
      <c r="AP35" s="2048"/>
      <c r="AQ35" s="2048"/>
      <c r="AR35" s="2048"/>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row>
    <row r="36" spans="1:67" ht="14.25">
      <c r="A36" s="2638" t="s">
        <v>612</v>
      </c>
      <c r="B36" s="2651">
        <v>1.4999999999999999E-2</v>
      </c>
      <c r="C36" s="2648" t="s">
        <v>613</v>
      </c>
      <c r="D36" s="2618"/>
      <c r="E36" s="2617"/>
      <c r="F36" s="2617"/>
      <c r="G36" s="2617"/>
      <c r="H36" s="2617"/>
      <c r="I36" s="2617"/>
      <c r="J36" s="2617"/>
      <c r="K36" s="2704"/>
      <c r="L36" s="2704"/>
      <c r="M36" s="2048"/>
      <c r="N36" s="2048"/>
      <c r="O36" s="2048"/>
      <c r="P36" s="2048"/>
      <c r="Q36" s="2048"/>
      <c r="R36" s="2048"/>
      <c r="S36" s="2048"/>
      <c r="T36" s="2048"/>
      <c r="U36" s="2048"/>
      <c r="V36" s="2048"/>
      <c r="W36" s="2048"/>
      <c r="X36" s="2048"/>
      <c r="Y36" s="2048"/>
      <c r="Z36" s="2048"/>
      <c r="AA36" s="2048"/>
      <c r="AB36" s="2048"/>
      <c r="AC36" s="2048"/>
      <c r="AD36" s="2048"/>
      <c r="AE36" s="2048"/>
      <c r="AF36" s="2048"/>
      <c r="AG36" s="2048"/>
      <c r="AH36" s="2048"/>
      <c r="AI36" s="2048"/>
      <c r="AJ36" s="2048"/>
      <c r="AK36" s="2048"/>
      <c r="AL36" s="2048"/>
      <c r="AM36" s="2048"/>
      <c r="AN36" s="2048"/>
      <c r="AO36" s="2048"/>
      <c r="AP36" s="2048"/>
      <c r="AQ36" s="2048"/>
      <c r="AR36" s="2048"/>
    </row>
    <row r="37" spans="1:67" ht="14.25">
      <c r="A37" s="2641" t="s">
        <v>614</v>
      </c>
      <c r="B37" s="2652">
        <v>0.02</v>
      </c>
      <c r="C37" s="2648" t="s">
        <v>615</v>
      </c>
      <c r="D37" s="2618"/>
      <c r="E37" s="2617"/>
      <c r="F37" s="2617"/>
      <c r="G37" s="2617"/>
      <c r="H37" s="2617"/>
      <c r="I37" s="2617"/>
      <c r="J37" s="2617"/>
      <c r="K37" s="2704"/>
      <c r="L37" s="2704"/>
      <c r="M37" s="2048"/>
      <c r="N37" s="2048"/>
      <c r="O37" s="2048"/>
      <c r="P37" s="2048"/>
      <c r="Q37" s="2048"/>
      <c r="R37" s="2048"/>
      <c r="S37" s="2048"/>
      <c r="T37" s="2048"/>
      <c r="U37" s="2048"/>
      <c r="V37" s="2048"/>
      <c r="W37" s="2048"/>
      <c r="X37" s="2048"/>
      <c r="Y37" s="2048"/>
      <c r="Z37" s="2048"/>
      <c r="AA37" s="2048"/>
      <c r="AB37" s="2048"/>
      <c r="AC37" s="2048"/>
      <c r="AD37" s="2048"/>
      <c r="AE37" s="2048"/>
      <c r="AF37" s="2048"/>
      <c r="AG37" s="2048"/>
      <c r="AH37" s="2048"/>
      <c r="AI37" s="2048"/>
      <c r="AJ37" s="2048"/>
      <c r="AK37" s="2048"/>
      <c r="AL37" s="2048"/>
      <c r="AM37" s="2048"/>
      <c r="AN37" s="2048"/>
      <c r="AO37" s="2048"/>
      <c r="AP37" s="2048"/>
      <c r="AQ37" s="2048"/>
      <c r="AR37" s="2048"/>
    </row>
    <row r="38" spans="1:67" ht="14.25">
      <c r="A38" s="2635" t="s">
        <v>616</v>
      </c>
      <c r="B38" s="2649">
        <v>0.02</v>
      </c>
      <c r="C38" s="2648" t="s">
        <v>615</v>
      </c>
      <c r="D38" s="2618"/>
      <c r="E38" s="2617"/>
      <c r="F38" s="2617"/>
      <c r="G38" s="2617"/>
      <c r="H38" s="2617"/>
      <c r="I38" s="2617"/>
      <c r="J38" s="2617"/>
      <c r="K38" s="2704"/>
      <c r="L38" s="2704"/>
      <c r="M38" s="2048"/>
      <c r="N38" s="2048"/>
      <c r="O38" s="2048"/>
      <c r="P38" s="2048"/>
      <c r="Q38" s="2048"/>
      <c r="R38" s="2048"/>
      <c r="S38" s="2048"/>
      <c r="T38" s="2048"/>
      <c r="U38" s="2048"/>
      <c r="V38" s="2048"/>
      <c r="W38" s="2048"/>
      <c r="X38" s="2048"/>
      <c r="Y38" s="2048"/>
      <c r="Z38" s="2048"/>
      <c r="AA38" s="2048"/>
      <c r="AB38" s="2048"/>
      <c r="AC38" s="2048"/>
      <c r="AD38" s="2048"/>
      <c r="AE38" s="2048"/>
      <c r="AF38" s="2048"/>
      <c r="AG38" s="2048"/>
      <c r="AH38" s="2048"/>
      <c r="AI38" s="2048"/>
      <c r="AJ38" s="2048"/>
      <c r="AK38" s="2048"/>
      <c r="AL38" s="2048"/>
      <c r="AM38" s="2048"/>
      <c r="AN38" s="2048"/>
      <c r="AO38" s="2048"/>
      <c r="AP38" s="2048"/>
      <c r="AQ38" s="2048"/>
      <c r="AR38" s="2048"/>
    </row>
    <row r="39" spans="1:67" ht="14.25">
      <c r="A39" s="2645" t="s">
        <v>617</v>
      </c>
      <c r="B39" s="2653">
        <f ca="1">存贷款利率!I1</f>
        <v>1.4999999999999999E-2</v>
      </c>
      <c r="C39" s="2654"/>
      <c r="D39" s="2618"/>
      <c r="E39" s="2617"/>
      <c r="F39" s="2617"/>
      <c r="G39" s="2617"/>
      <c r="H39" s="2617"/>
      <c r="I39" s="2617"/>
      <c r="J39" s="2617"/>
      <c r="K39" s="2704"/>
      <c r="L39" s="2704"/>
      <c r="M39" s="2048"/>
      <c r="N39" s="2048"/>
      <c r="O39" s="2048"/>
      <c r="P39" s="2048"/>
      <c r="Q39" s="2048"/>
      <c r="R39" s="2048"/>
      <c r="S39" s="2048"/>
      <c r="T39" s="2048"/>
      <c r="U39" s="2048"/>
      <c r="V39" s="2048"/>
      <c r="W39" s="2048"/>
      <c r="X39" s="2048"/>
      <c r="Y39" s="2048"/>
      <c r="Z39" s="2048"/>
      <c r="AA39" s="2048"/>
      <c r="AB39" s="2048"/>
      <c r="AC39" s="2048"/>
      <c r="AD39" s="2048"/>
      <c r="AE39" s="2048"/>
      <c r="AF39" s="2048"/>
      <c r="AG39" s="2048"/>
      <c r="AH39" s="2048"/>
      <c r="AI39" s="2048"/>
      <c r="AJ39" s="2048"/>
      <c r="AK39" s="2048"/>
      <c r="AL39" s="2048"/>
      <c r="AM39" s="2048"/>
      <c r="AN39" s="2048"/>
      <c r="AO39" s="2048"/>
      <c r="AP39" s="2048"/>
      <c r="AQ39" s="2048"/>
      <c r="AR39" s="2048"/>
    </row>
    <row r="40" spans="1:67" ht="28.5">
      <c r="A40" s="2655" t="s">
        <v>618</v>
      </c>
      <c r="B40" s="2656">
        <f ca="1">IF(A40="利息：取LPR",存贷款利率!G1,存贷款利率!G1+C40)</f>
        <v>4.2000000000000003E-2</v>
      </c>
      <c r="C40" s="2657">
        <v>5.0000000000000001E-3</v>
      </c>
      <c r="D40" s="2048"/>
      <c r="E40" s="2618"/>
      <c r="F40" s="2617"/>
      <c r="G40" s="2617"/>
      <c r="H40" s="2617"/>
      <c r="I40" s="2617"/>
      <c r="J40" s="2617"/>
      <c r="K40" s="2704"/>
      <c r="L40" s="2704"/>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8"/>
      <c r="AK40" s="2048"/>
      <c r="AL40" s="2048"/>
      <c r="AM40" s="2048"/>
      <c r="AN40" s="2048"/>
      <c r="AO40" s="2048"/>
      <c r="AP40" s="2048"/>
      <c r="AQ40" s="2048"/>
      <c r="AR40" s="2048"/>
    </row>
    <row r="41" spans="1:67" ht="14.25">
      <c r="A41" s="2631" t="s">
        <v>619</v>
      </c>
      <c r="B41" s="2658">
        <f>B42+B43</f>
        <v>5.5000000000000007E-2</v>
      </c>
      <c r="C41" s="2644"/>
      <c r="D41" s="2048"/>
      <c r="E41" s="2618"/>
      <c r="F41" s="2617"/>
      <c r="G41" s="2617"/>
      <c r="H41" s="2617"/>
      <c r="I41" s="2617"/>
      <c r="J41" s="2617"/>
      <c r="K41" s="2704"/>
      <c r="L41" s="2704"/>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8"/>
      <c r="AK41" s="2048"/>
      <c r="AL41" s="2048"/>
      <c r="AM41" s="2048"/>
      <c r="AN41" s="2048"/>
      <c r="AO41" s="2048"/>
      <c r="AP41" s="2048"/>
      <c r="AQ41" s="2048"/>
      <c r="AR41" s="2048"/>
    </row>
    <row r="42" spans="1:67" ht="14.25">
      <c r="A42" s="2659" t="s">
        <v>620</v>
      </c>
      <c r="B42" s="2660">
        <v>0.05</v>
      </c>
      <c r="C42" s="2661">
        <f>IF(B2&lt;DATE(2016,5,1),0,B42)</f>
        <v>0.05</v>
      </c>
      <c r="D42" s="2618"/>
      <c r="E42" s="2617"/>
      <c r="F42" s="2617"/>
      <c r="G42" s="2617"/>
      <c r="H42" s="2617"/>
      <c r="I42" s="2617"/>
      <c r="J42" s="2617"/>
      <c r="K42" s="2704"/>
      <c r="L42" s="2704"/>
      <c r="M42" s="2048"/>
      <c r="N42" s="2048"/>
      <c r="O42" s="2048"/>
      <c r="P42" s="2048"/>
      <c r="Q42" s="2048"/>
      <c r="R42" s="2048"/>
      <c r="S42" s="2048"/>
      <c r="T42" s="2048"/>
      <c r="U42" s="2048"/>
      <c r="V42" s="2048"/>
      <c r="W42" s="2048"/>
      <c r="X42" s="2048"/>
      <c r="Y42" s="2048"/>
      <c r="Z42" s="2048"/>
      <c r="AA42" s="2048"/>
      <c r="AB42" s="2048"/>
      <c r="AC42" s="2048"/>
      <c r="AD42" s="2048"/>
      <c r="AE42" s="2048"/>
      <c r="AF42" s="2048"/>
      <c r="AG42" s="2048"/>
      <c r="AH42" s="2048"/>
      <c r="AI42" s="2048"/>
      <c r="AJ42" s="2048"/>
      <c r="AK42" s="2048"/>
      <c r="AL42" s="2048"/>
      <c r="AM42" s="2048"/>
      <c r="AN42" s="2048"/>
      <c r="AO42" s="2048"/>
      <c r="AP42" s="2048"/>
      <c r="AQ42" s="2048"/>
      <c r="AR42" s="2048"/>
    </row>
    <row r="43" spans="1:67" ht="14.25">
      <c r="A43" s="2659" t="s">
        <v>621</v>
      </c>
      <c r="B43" s="2662">
        <f>B42*(B44+B45+B46)+B47</f>
        <v>5.000000000000001E-3</v>
      </c>
      <c r="C43" s="2644"/>
      <c r="D43" s="2618"/>
      <c r="E43" s="2617"/>
      <c r="F43" s="2617"/>
      <c r="G43" s="2617"/>
      <c r="H43" s="2617"/>
      <c r="I43" s="2617"/>
      <c r="J43" s="2617"/>
      <c r="K43" s="2704"/>
      <c r="L43" s="2704"/>
      <c r="M43" s="2048"/>
      <c r="N43" s="2048"/>
      <c r="O43" s="2048"/>
      <c r="P43" s="2048"/>
      <c r="Q43" s="2048"/>
      <c r="R43" s="2048"/>
      <c r="S43" s="2048"/>
      <c r="T43" s="2048"/>
      <c r="U43" s="2048"/>
      <c r="V43" s="2048"/>
      <c r="W43" s="2048"/>
      <c r="X43" s="2048"/>
      <c r="Y43" s="2048"/>
      <c r="Z43" s="2048"/>
      <c r="AA43" s="2048"/>
      <c r="AB43" s="2048"/>
      <c r="AC43" s="2048"/>
      <c r="AD43" s="2048"/>
      <c r="AE43" s="2048"/>
      <c r="AF43" s="2048"/>
      <c r="AG43" s="2048"/>
      <c r="AH43" s="2048"/>
      <c r="AI43" s="2048"/>
      <c r="AJ43" s="2048"/>
      <c r="AK43" s="2048"/>
      <c r="AL43" s="2048"/>
      <c r="AM43" s="2048"/>
      <c r="AN43" s="2048"/>
      <c r="AO43" s="2048"/>
      <c r="AP43" s="2048"/>
      <c r="AQ43" s="2048"/>
      <c r="AR43" s="2048"/>
    </row>
    <row r="44" spans="1:67" ht="14.25">
      <c r="A44" s="2663" t="s">
        <v>622</v>
      </c>
      <c r="B44" s="2664">
        <v>0.05</v>
      </c>
      <c r="C44" s="2648" t="s">
        <v>623</v>
      </c>
      <c r="D44" s="2618"/>
      <c r="E44" s="2617"/>
      <c r="F44" s="2617"/>
      <c r="G44" s="2617"/>
      <c r="H44" s="2617"/>
      <c r="I44" s="2617"/>
      <c r="J44" s="2617"/>
      <c r="K44" s="2704"/>
      <c r="L44" s="2704"/>
      <c r="M44" s="2048"/>
      <c r="N44" s="2048"/>
      <c r="O44" s="2048"/>
      <c r="P44" s="2048"/>
      <c r="Q44" s="2048"/>
      <c r="R44" s="2048"/>
      <c r="S44" s="2048"/>
      <c r="T44" s="2048"/>
      <c r="U44" s="2048"/>
      <c r="V44" s="2048"/>
      <c r="W44" s="2048"/>
      <c r="X44" s="2048"/>
      <c r="Y44" s="2048"/>
      <c r="Z44" s="2048"/>
      <c r="AA44" s="2048"/>
      <c r="AB44" s="2048"/>
      <c r="AC44" s="2048"/>
      <c r="AD44" s="2048"/>
      <c r="AE44" s="2048"/>
      <c r="AF44" s="2048"/>
      <c r="AG44" s="2048"/>
      <c r="AH44" s="2048"/>
      <c r="AI44" s="2048"/>
      <c r="AJ44" s="2048"/>
      <c r="AK44" s="2048"/>
      <c r="AL44" s="2048"/>
      <c r="AM44" s="2048"/>
      <c r="AN44" s="2048"/>
      <c r="AO44" s="2048"/>
      <c r="AP44" s="2048"/>
      <c r="AQ44" s="2048"/>
      <c r="AR44" s="2048"/>
    </row>
    <row r="45" spans="1:67" ht="14.25">
      <c r="A45" s="2663" t="s">
        <v>624</v>
      </c>
      <c r="B45" s="2660">
        <v>0.03</v>
      </c>
      <c r="C45" s="2640" t="s">
        <v>625</v>
      </c>
      <c r="D45" s="2618"/>
      <c r="E45" s="2617"/>
      <c r="F45" s="2617"/>
      <c r="G45" s="2617"/>
      <c r="H45" s="2617"/>
      <c r="I45" s="2617"/>
      <c r="J45" s="2617"/>
      <c r="K45" s="2704"/>
      <c r="L45" s="2704"/>
      <c r="M45" s="2048"/>
      <c r="N45" s="2048"/>
      <c r="O45" s="2048"/>
      <c r="P45" s="2048"/>
      <c r="Q45" s="2048"/>
      <c r="R45" s="2048"/>
      <c r="S45" s="2048"/>
      <c r="T45" s="2048"/>
      <c r="U45" s="2048"/>
      <c r="V45" s="2048"/>
      <c r="W45" s="2048"/>
      <c r="X45" s="2048"/>
      <c r="Y45" s="2048"/>
      <c r="Z45" s="2048"/>
      <c r="AA45" s="2048"/>
      <c r="AB45" s="2048"/>
      <c r="AC45" s="2048"/>
      <c r="AD45" s="2048"/>
      <c r="AE45" s="2048"/>
      <c r="AF45" s="2048"/>
      <c r="AG45" s="2048"/>
      <c r="AH45" s="2048"/>
      <c r="AI45" s="2048"/>
      <c r="AJ45" s="2048"/>
      <c r="AK45" s="2048"/>
      <c r="AL45" s="2048"/>
      <c r="AM45" s="2048"/>
      <c r="AN45" s="2048"/>
      <c r="AO45" s="2048"/>
      <c r="AP45" s="2048"/>
      <c r="AQ45" s="2048"/>
      <c r="AR45" s="2048"/>
    </row>
    <row r="46" spans="1:67" ht="14.25">
      <c r="A46" s="2663" t="s">
        <v>626</v>
      </c>
      <c r="B46" s="2660">
        <v>0.02</v>
      </c>
      <c r="C46" s="2640" t="s">
        <v>627</v>
      </c>
      <c r="D46" s="2618"/>
      <c r="E46" s="2617"/>
      <c r="F46" s="2617"/>
      <c r="G46" s="2617"/>
      <c r="H46" s="2617"/>
      <c r="I46" s="2617"/>
      <c r="J46" s="2617"/>
      <c r="K46" s="2704"/>
      <c r="L46" s="2704"/>
      <c r="M46" s="2048"/>
      <c r="N46" s="2048"/>
      <c r="O46" s="2048"/>
      <c r="P46" s="2048"/>
      <c r="Q46" s="2048"/>
      <c r="R46" s="2048"/>
      <c r="S46" s="2048"/>
      <c r="T46" s="2048"/>
      <c r="U46" s="2048"/>
      <c r="V46" s="2048"/>
      <c r="W46" s="2048"/>
      <c r="X46" s="2048"/>
      <c r="Y46" s="2048"/>
      <c r="Z46" s="2048"/>
      <c r="AA46" s="2048"/>
      <c r="AB46" s="2048"/>
      <c r="AC46" s="2048"/>
      <c r="AD46" s="2048"/>
      <c r="AE46" s="2048"/>
      <c r="AF46" s="2048"/>
      <c r="AG46" s="2048"/>
      <c r="AH46" s="2048"/>
      <c r="AI46" s="2048"/>
      <c r="AJ46" s="2048"/>
      <c r="AK46" s="2048"/>
      <c r="AL46" s="2048"/>
      <c r="AM46" s="2048"/>
      <c r="AN46" s="2048"/>
      <c r="AO46" s="2048"/>
      <c r="AP46" s="2048"/>
      <c r="AQ46" s="2048"/>
      <c r="AR46" s="2048"/>
    </row>
    <row r="47" spans="1:67" ht="14.25">
      <c r="A47" s="2665" t="s">
        <v>628</v>
      </c>
      <c r="B47" s="2666"/>
      <c r="C47" s="2667" t="s">
        <v>629</v>
      </c>
      <c r="D47" s="2618"/>
      <c r="E47" s="2617"/>
      <c r="F47" s="2617"/>
      <c r="G47" s="2617"/>
      <c r="H47" s="2617"/>
      <c r="I47" s="2617"/>
      <c r="J47" s="2617"/>
      <c r="K47" s="2704"/>
      <c r="L47" s="2704"/>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8"/>
      <c r="AK47" s="2048"/>
      <c r="AL47" s="2048"/>
      <c r="AM47" s="2048"/>
      <c r="AN47" s="2048"/>
      <c r="AO47" s="2048"/>
      <c r="AP47" s="2048"/>
      <c r="AQ47" s="2048"/>
      <c r="AR47" s="2048"/>
    </row>
    <row r="48" spans="1:67" ht="14.25">
      <c r="A48" s="2668" t="s">
        <v>630</v>
      </c>
      <c r="B48" s="2669">
        <v>0.03</v>
      </c>
      <c r="C48" s="2640" t="s">
        <v>625</v>
      </c>
      <c r="D48" s="2618"/>
      <c r="E48" s="2617"/>
      <c r="F48" s="2617"/>
      <c r="G48" s="2617"/>
      <c r="H48" s="2617"/>
      <c r="I48" s="2617"/>
      <c r="J48" s="2617"/>
      <c r="K48" s="2704"/>
      <c r="L48" s="2704"/>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8"/>
      <c r="AK48" s="2048"/>
      <c r="AL48" s="2048"/>
      <c r="AM48" s="2048"/>
      <c r="AN48" s="2048"/>
      <c r="AO48" s="2048"/>
      <c r="AP48" s="2048"/>
      <c r="AQ48" s="2048"/>
      <c r="AR48" s="2048"/>
    </row>
    <row r="49" spans="1:44" ht="14.25">
      <c r="A49" s="2645" t="s">
        <v>631</v>
      </c>
      <c r="B49" s="2660">
        <v>5.0000000000000001E-4</v>
      </c>
      <c r="C49" s="2640" t="s">
        <v>632</v>
      </c>
      <c r="D49" s="2618"/>
      <c r="E49" s="2617"/>
      <c r="F49" s="2617"/>
      <c r="G49" s="2617"/>
      <c r="H49" s="2617"/>
      <c r="I49" s="2617"/>
      <c r="J49" s="2617"/>
      <c r="K49" s="2704"/>
      <c r="L49" s="2704"/>
      <c r="M49" s="2048"/>
      <c r="N49" s="2048"/>
      <c r="O49" s="2048"/>
      <c r="P49" s="2048"/>
      <c r="Q49" s="2048"/>
      <c r="R49" s="2048"/>
      <c r="S49" s="2048"/>
      <c r="T49" s="2048"/>
      <c r="U49" s="2048"/>
      <c r="V49" s="2048"/>
      <c r="W49" s="2048"/>
      <c r="X49" s="2048"/>
      <c r="Y49" s="2048"/>
      <c r="Z49" s="2048"/>
      <c r="AA49" s="2048"/>
      <c r="AB49" s="2048"/>
      <c r="AC49" s="2048"/>
      <c r="AD49" s="2048"/>
      <c r="AE49" s="2048"/>
      <c r="AF49" s="2048"/>
      <c r="AG49" s="2048"/>
      <c r="AH49" s="2048"/>
      <c r="AI49" s="2048"/>
      <c r="AJ49" s="2048"/>
      <c r="AK49" s="2048"/>
      <c r="AL49" s="2048"/>
      <c r="AM49" s="2048"/>
      <c r="AN49" s="2048"/>
      <c r="AO49" s="2048"/>
      <c r="AP49" s="2048"/>
      <c r="AQ49" s="2048"/>
      <c r="AR49" s="2048"/>
    </row>
    <row r="50" spans="1:44" ht="14.25">
      <c r="A50" s="2670" t="s">
        <v>633</v>
      </c>
      <c r="B50" s="2671">
        <v>1.2E-2</v>
      </c>
      <c r="C50" s="1246"/>
      <c r="D50" s="2618"/>
      <c r="E50" s="2617"/>
      <c r="F50" s="2617"/>
      <c r="G50" s="2617"/>
      <c r="H50" s="2617"/>
      <c r="I50" s="2617"/>
      <c r="J50" s="2617"/>
      <c r="K50" s="2704"/>
      <c r="L50" s="2704"/>
      <c r="M50" s="2048"/>
      <c r="N50" s="2048"/>
      <c r="O50" s="2048"/>
      <c r="P50" s="2048"/>
      <c r="Q50" s="2048"/>
      <c r="R50" s="2048"/>
      <c r="S50" s="2048"/>
      <c r="T50" s="2048"/>
      <c r="U50" s="2048"/>
      <c r="V50" s="2048"/>
      <c r="W50" s="2048"/>
      <c r="X50" s="2048"/>
      <c r="Y50" s="2048"/>
      <c r="Z50" s="2048"/>
      <c r="AA50" s="2048"/>
      <c r="AB50" s="2048"/>
      <c r="AC50" s="2048"/>
      <c r="AD50" s="2048"/>
      <c r="AE50" s="2048"/>
      <c r="AF50" s="2048"/>
      <c r="AG50" s="2048"/>
      <c r="AH50" s="2048"/>
      <c r="AI50" s="2048"/>
      <c r="AJ50" s="2048"/>
      <c r="AK50" s="2048"/>
      <c r="AL50" s="2048"/>
      <c r="AM50" s="2048"/>
      <c r="AN50" s="2048"/>
      <c r="AO50" s="2048"/>
      <c r="AP50" s="2048"/>
      <c r="AQ50" s="2048"/>
      <c r="AR50" s="2048"/>
    </row>
    <row r="51" spans="1:44" ht="14.25">
      <c r="A51" s="2638" t="s">
        <v>634</v>
      </c>
      <c r="B51" s="2672">
        <v>0.12</v>
      </c>
      <c r="C51" s="1246"/>
      <c r="D51" s="2618"/>
      <c r="E51" s="2617"/>
      <c r="F51" s="2617"/>
      <c r="G51" s="2617"/>
      <c r="H51" s="2617"/>
      <c r="I51" s="2617"/>
      <c r="J51" s="2617"/>
      <c r="K51" s="2704"/>
      <c r="L51" s="2704"/>
      <c r="M51" s="2048"/>
      <c r="N51" s="2048"/>
      <c r="O51" s="2048"/>
      <c r="P51" s="2048"/>
      <c r="Q51" s="2048"/>
      <c r="R51" s="2048"/>
      <c r="S51" s="2048"/>
      <c r="T51" s="2048"/>
      <c r="U51" s="2048"/>
      <c r="V51" s="2048"/>
      <c r="W51" s="2048"/>
      <c r="X51" s="2048"/>
      <c r="Y51" s="2048"/>
      <c r="Z51" s="2048"/>
      <c r="AA51" s="2048"/>
      <c r="AB51" s="2048"/>
      <c r="AC51" s="2048"/>
      <c r="AD51" s="2048"/>
      <c r="AE51" s="2048"/>
      <c r="AF51" s="2048"/>
      <c r="AG51" s="2048"/>
      <c r="AH51" s="2048"/>
      <c r="AI51" s="2048"/>
      <c r="AJ51" s="2048"/>
      <c r="AK51" s="2048"/>
      <c r="AL51" s="2048"/>
      <c r="AM51" s="2048"/>
      <c r="AN51" s="2048"/>
      <c r="AO51" s="2048"/>
      <c r="AP51" s="2048"/>
      <c r="AQ51" s="2048"/>
      <c r="AR51" s="2048"/>
    </row>
    <row r="52" spans="1:44" ht="14.25">
      <c r="A52" s="2670" t="s">
        <v>635</v>
      </c>
      <c r="B52" s="2673">
        <f>SUMIF(A54:A63,B53,B54:B63)</f>
        <v>1.5</v>
      </c>
      <c r="C52" s="1246"/>
      <c r="D52" s="2618"/>
      <c r="E52" s="2617"/>
      <c r="F52" s="2617"/>
      <c r="G52" s="2617"/>
      <c r="H52" s="2617"/>
      <c r="I52" s="2617"/>
      <c r="J52" s="2617"/>
      <c r="K52" s="2704"/>
      <c r="L52" s="2704"/>
      <c r="M52" s="2048"/>
      <c r="N52" s="2048"/>
      <c r="O52" s="2048"/>
      <c r="P52" s="2048"/>
      <c r="Q52" s="2048"/>
      <c r="R52" s="2048"/>
      <c r="S52" s="2048"/>
      <c r="T52" s="2048"/>
      <c r="U52" s="2048"/>
      <c r="V52" s="2048"/>
      <c r="W52" s="2048"/>
      <c r="X52" s="2048"/>
      <c r="Y52" s="2048"/>
      <c r="Z52" s="2048"/>
      <c r="AA52" s="2048"/>
      <c r="AB52" s="2048"/>
      <c r="AC52" s="2048"/>
      <c r="AD52" s="2048"/>
      <c r="AE52" s="2048"/>
      <c r="AF52" s="2048"/>
      <c r="AG52" s="2048"/>
      <c r="AH52" s="2048"/>
      <c r="AI52" s="2048"/>
      <c r="AJ52" s="2048"/>
      <c r="AK52" s="2048"/>
      <c r="AL52" s="2048"/>
      <c r="AM52" s="2048"/>
      <c r="AN52" s="2048"/>
      <c r="AO52" s="2048"/>
      <c r="AP52" s="2048"/>
      <c r="AQ52" s="2048"/>
      <c r="AR52" s="2048"/>
    </row>
    <row r="53" spans="1:44" ht="27">
      <c r="A53" s="2635" t="s">
        <v>636</v>
      </c>
      <c r="B53" s="2674" t="s">
        <v>273</v>
      </c>
      <c r="C53" s="1246" t="s">
        <v>637</v>
      </c>
      <c r="D53" s="2675" t="s">
        <v>638</v>
      </c>
      <c r="E53" s="2617"/>
      <c r="F53" s="2617"/>
      <c r="G53" s="2617"/>
      <c r="H53" s="2617"/>
      <c r="I53" s="2617"/>
      <c r="J53" s="2617"/>
      <c r="K53" s="2704"/>
      <c r="L53" s="2704"/>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8"/>
      <c r="AK53" s="2048"/>
      <c r="AL53" s="2048"/>
      <c r="AM53" s="2048"/>
      <c r="AN53" s="2048"/>
      <c r="AO53" s="2048"/>
      <c r="AP53" s="2048"/>
      <c r="AQ53" s="2048"/>
      <c r="AR53" s="2048"/>
    </row>
    <row r="54" spans="1:44" ht="14.25">
      <c r="A54" s="2676" t="s">
        <v>639</v>
      </c>
      <c r="B54" s="2677"/>
      <c r="C54" s="1246">
        <v>30</v>
      </c>
      <c r="D54" s="2618"/>
      <c r="E54" s="2617"/>
      <c r="F54" s="2617"/>
      <c r="G54" s="2617"/>
      <c r="H54" s="2617"/>
      <c r="I54" s="2617"/>
      <c r="J54" s="2617"/>
      <c r="K54" s="2704"/>
      <c r="L54" s="2704"/>
      <c r="M54" s="2048"/>
      <c r="N54" s="2048"/>
      <c r="O54" s="2048"/>
      <c r="P54" s="2048"/>
      <c r="Q54" s="2048"/>
      <c r="R54" s="2048"/>
      <c r="S54" s="2048"/>
      <c r="T54" s="2048"/>
      <c r="U54" s="2048"/>
      <c r="V54" s="2048"/>
      <c r="W54" s="2048"/>
      <c r="X54" s="2048"/>
      <c r="Y54" s="2048"/>
      <c r="Z54" s="2048"/>
      <c r="AA54" s="2048"/>
      <c r="AB54" s="2048"/>
      <c r="AC54" s="2048"/>
      <c r="AD54" s="2048"/>
      <c r="AE54" s="2048"/>
      <c r="AF54" s="2048"/>
      <c r="AG54" s="2048"/>
      <c r="AH54" s="2048"/>
      <c r="AI54" s="2048"/>
      <c r="AJ54" s="2048"/>
      <c r="AK54" s="2048"/>
      <c r="AL54" s="2048"/>
      <c r="AM54" s="2048"/>
      <c r="AN54" s="2048"/>
      <c r="AO54" s="2048"/>
      <c r="AP54" s="2048"/>
      <c r="AQ54" s="2048"/>
      <c r="AR54" s="2048"/>
    </row>
    <row r="55" spans="1:44" ht="14.25">
      <c r="A55" s="2676" t="s">
        <v>640</v>
      </c>
      <c r="B55" s="2677"/>
      <c r="C55" s="1246">
        <v>24</v>
      </c>
      <c r="D55" s="2618"/>
      <c r="E55" s="2617"/>
      <c r="F55" s="2617"/>
      <c r="G55" s="2617"/>
      <c r="H55" s="2617"/>
      <c r="I55" s="2705"/>
      <c r="J55" s="2617"/>
      <c r="K55" s="2704"/>
      <c r="L55" s="2704"/>
      <c r="M55" s="2048"/>
      <c r="N55" s="2048"/>
      <c r="O55" s="2048"/>
      <c r="P55" s="2048"/>
      <c r="Q55" s="2048"/>
      <c r="R55" s="2048"/>
      <c r="S55" s="2048"/>
      <c r="T55" s="2048"/>
      <c r="U55" s="2048"/>
      <c r="V55" s="2048"/>
      <c r="W55" s="2048"/>
      <c r="X55" s="2048"/>
      <c r="Y55" s="2048"/>
      <c r="Z55" s="2048"/>
      <c r="AA55" s="2048"/>
      <c r="AB55" s="2048"/>
      <c r="AC55" s="2048"/>
      <c r="AD55" s="2048"/>
      <c r="AE55" s="2048"/>
      <c r="AF55" s="2048"/>
      <c r="AG55" s="2048"/>
      <c r="AH55" s="2048"/>
      <c r="AI55" s="2048"/>
      <c r="AJ55" s="2048"/>
      <c r="AK55" s="2048"/>
      <c r="AL55" s="2048"/>
      <c r="AM55" s="2048"/>
      <c r="AN55" s="2048"/>
      <c r="AO55" s="2048"/>
      <c r="AP55" s="2048"/>
      <c r="AQ55" s="2048"/>
      <c r="AR55" s="2048"/>
    </row>
    <row r="56" spans="1:44" ht="14.25">
      <c r="A56" s="2676" t="s">
        <v>641</v>
      </c>
      <c r="B56" s="2677"/>
      <c r="C56" s="1246">
        <v>18</v>
      </c>
      <c r="D56" s="2618"/>
      <c r="E56" s="2617"/>
      <c r="F56" s="2617"/>
      <c r="G56" s="2617"/>
      <c r="H56" s="2617"/>
      <c r="I56" s="2617"/>
      <c r="J56" s="2617"/>
      <c r="K56" s="2704"/>
      <c r="L56" s="2704"/>
      <c r="M56" s="2048"/>
      <c r="N56" s="2048"/>
      <c r="O56" s="2048"/>
      <c r="P56" s="2048"/>
      <c r="Q56" s="2048"/>
      <c r="R56" s="2048"/>
      <c r="S56" s="2048"/>
      <c r="T56" s="2048"/>
      <c r="U56" s="2048"/>
      <c r="V56" s="2048"/>
      <c r="W56" s="2048"/>
      <c r="X56" s="2048"/>
      <c r="Y56" s="2048"/>
      <c r="Z56" s="2048"/>
      <c r="AA56" s="2048"/>
      <c r="AB56" s="2048"/>
      <c r="AC56" s="2048"/>
      <c r="AD56" s="2048"/>
      <c r="AE56" s="2048"/>
      <c r="AF56" s="2048"/>
      <c r="AG56" s="2048"/>
      <c r="AH56" s="2048"/>
      <c r="AI56" s="2048"/>
      <c r="AJ56" s="2048"/>
      <c r="AK56" s="2048"/>
      <c r="AL56" s="2048"/>
      <c r="AM56" s="2048"/>
      <c r="AN56" s="2048"/>
      <c r="AO56" s="2048"/>
      <c r="AP56" s="2048"/>
      <c r="AQ56" s="2048"/>
      <c r="AR56" s="2048"/>
    </row>
    <row r="57" spans="1:44" ht="14.25">
      <c r="A57" s="2676" t="s">
        <v>642</v>
      </c>
      <c r="B57" s="2677"/>
      <c r="C57" s="1246">
        <v>12</v>
      </c>
      <c r="D57" s="2618"/>
      <c r="E57" s="2617"/>
      <c r="F57" s="2617"/>
      <c r="G57" s="2617"/>
      <c r="H57" s="2617"/>
      <c r="I57" s="2617"/>
      <c r="J57" s="2617"/>
      <c r="K57" s="2704"/>
      <c r="L57" s="2704"/>
      <c r="M57" s="2048"/>
      <c r="N57" s="2048"/>
      <c r="O57" s="2048"/>
      <c r="P57" s="2048"/>
      <c r="Q57" s="2048"/>
      <c r="R57" s="2048"/>
      <c r="S57" s="2048"/>
      <c r="T57" s="2048"/>
      <c r="U57" s="2048"/>
      <c r="V57" s="2048"/>
      <c r="W57" s="2048"/>
      <c r="X57" s="2048"/>
      <c r="Y57" s="2048"/>
      <c r="Z57" s="2048"/>
      <c r="AA57" s="2048"/>
      <c r="AB57" s="2048"/>
      <c r="AC57" s="2048"/>
      <c r="AD57" s="2048"/>
      <c r="AE57" s="2048"/>
      <c r="AF57" s="2048"/>
      <c r="AG57" s="2048"/>
      <c r="AH57" s="2048"/>
      <c r="AI57" s="2048"/>
      <c r="AJ57" s="2048"/>
      <c r="AK57" s="2048"/>
      <c r="AL57" s="2048"/>
      <c r="AM57" s="2048"/>
      <c r="AN57" s="2048"/>
      <c r="AO57" s="2048"/>
      <c r="AP57" s="2048"/>
      <c r="AQ57" s="2048"/>
      <c r="AR57" s="2048"/>
    </row>
    <row r="58" spans="1:44" ht="14.25">
      <c r="A58" s="2676" t="s">
        <v>643</v>
      </c>
      <c r="B58" s="2677">
        <v>3</v>
      </c>
      <c r="C58" s="1246">
        <v>3</v>
      </c>
      <c r="D58" s="2618"/>
      <c r="E58" s="2617"/>
      <c r="F58" s="2617"/>
      <c r="G58" s="2617"/>
      <c r="H58" s="2617"/>
      <c r="I58" s="2617"/>
      <c r="J58" s="2617"/>
      <c r="K58" s="2704"/>
      <c r="L58" s="2704"/>
      <c r="M58" s="2048"/>
      <c r="N58" s="2048"/>
      <c r="O58" s="2048"/>
      <c r="P58" s="2048"/>
      <c r="Q58" s="2048"/>
      <c r="R58" s="2048"/>
      <c r="S58" s="2048"/>
      <c r="T58" s="2048"/>
      <c r="U58" s="2048"/>
      <c r="V58" s="2048"/>
      <c r="W58" s="2048"/>
      <c r="X58" s="2048"/>
      <c r="Y58" s="2048"/>
      <c r="Z58" s="2048"/>
      <c r="AA58" s="2048"/>
      <c r="AB58" s="2048"/>
      <c r="AC58" s="2048"/>
      <c r="AD58" s="2048"/>
      <c r="AE58" s="2048"/>
      <c r="AF58" s="2048"/>
      <c r="AG58" s="2048"/>
      <c r="AH58" s="2048"/>
      <c r="AI58" s="2048"/>
      <c r="AJ58" s="2048"/>
      <c r="AK58" s="2048"/>
      <c r="AL58" s="2048"/>
      <c r="AM58" s="2048"/>
      <c r="AN58" s="2048"/>
      <c r="AO58" s="2048"/>
      <c r="AP58" s="2048"/>
      <c r="AQ58" s="2048"/>
      <c r="AR58" s="2048"/>
    </row>
    <row r="59" spans="1:44" ht="14.25">
      <c r="A59" s="2676" t="s">
        <v>644</v>
      </c>
      <c r="B59" s="2677">
        <v>1.5</v>
      </c>
      <c r="C59" s="1246">
        <v>1.5</v>
      </c>
      <c r="D59" s="2618"/>
      <c r="E59" s="2617"/>
      <c r="F59" s="2617"/>
      <c r="G59" s="2617"/>
      <c r="H59" s="2617"/>
      <c r="I59" s="2617"/>
      <c r="J59" s="2617"/>
      <c r="K59" s="2704"/>
      <c r="L59" s="2704"/>
      <c r="M59" s="2048"/>
      <c r="N59" s="2048"/>
      <c r="O59" s="2048"/>
      <c r="P59" s="2048"/>
      <c r="Q59" s="2048"/>
      <c r="R59" s="2048"/>
      <c r="S59" s="2048"/>
      <c r="T59" s="2048"/>
      <c r="U59" s="2048"/>
      <c r="V59" s="2048"/>
      <c r="W59" s="2048"/>
      <c r="X59" s="2048"/>
      <c r="Y59" s="2048"/>
      <c r="Z59" s="2048"/>
      <c r="AA59" s="2048"/>
      <c r="AB59" s="2048"/>
      <c r="AC59" s="2048"/>
      <c r="AD59" s="2048"/>
      <c r="AE59" s="2048"/>
      <c r="AF59" s="2048"/>
      <c r="AG59" s="2048"/>
      <c r="AH59" s="2048"/>
      <c r="AI59" s="2048"/>
      <c r="AJ59" s="2048"/>
      <c r="AK59" s="2048"/>
      <c r="AL59" s="2048"/>
      <c r="AM59" s="2048"/>
      <c r="AN59" s="2048"/>
      <c r="AO59" s="2048"/>
      <c r="AP59" s="2048"/>
      <c r="AQ59" s="2048"/>
      <c r="AR59" s="2048"/>
    </row>
    <row r="60" spans="1:44" ht="14.25">
      <c r="A60" s="2676" t="s">
        <v>645</v>
      </c>
      <c r="B60" s="2677"/>
      <c r="C60" s="2617"/>
      <c r="D60" s="2618"/>
      <c r="E60" s="2617"/>
      <c r="F60" s="2617"/>
      <c r="G60" s="2617"/>
      <c r="H60" s="2617"/>
      <c r="I60" s="2617"/>
      <c r="J60" s="2617"/>
      <c r="K60" s="2704"/>
      <c r="L60" s="2704"/>
      <c r="M60" s="2048"/>
      <c r="N60" s="2048"/>
      <c r="O60" s="2048"/>
      <c r="P60" s="2048"/>
      <c r="Q60" s="2048"/>
      <c r="R60" s="2048"/>
      <c r="S60" s="2048"/>
      <c r="T60" s="2048"/>
      <c r="U60" s="2048"/>
      <c r="V60" s="2048"/>
      <c r="W60" s="2048"/>
      <c r="X60" s="2048"/>
      <c r="Y60" s="2048"/>
      <c r="Z60" s="2048"/>
      <c r="AA60" s="2048"/>
      <c r="AB60" s="2048"/>
      <c r="AC60" s="2048"/>
      <c r="AD60" s="2048"/>
      <c r="AE60" s="2048"/>
      <c r="AF60" s="2048"/>
      <c r="AG60" s="2048"/>
      <c r="AH60" s="2048"/>
      <c r="AI60" s="2048"/>
      <c r="AJ60" s="2048"/>
      <c r="AK60" s="2048"/>
      <c r="AL60" s="2048"/>
      <c r="AM60" s="2048"/>
      <c r="AN60" s="2048"/>
      <c r="AO60" s="2048"/>
      <c r="AP60" s="2048"/>
      <c r="AQ60" s="2048"/>
      <c r="AR60" s="2048"/>
    </row>
    <row r="61" spans="1:44" ht="14.25">
      <c r="A61" s="2676" t="s">
        <v>646</v>
      </c>
      <c r="B61" s="2677"/>
      <c r="C61" s="2617"/>
      <c r="D61" s="2618"/>
      <c r="E61" s="2617"/>
      <c r="F61" s="2617"/>
      <c r="G61" s="2617"/>
      <c r="H61" s="2617"/>
      <c r="I61" s="2617"/>
      <c r="J61" s="2617"/>
      <c r="K61" s="2704"/>
      <c r="L61" s="2704"/>
      <c r="M61" s="2048"/>
      <c r="N61" s="2048"/>
      <c r="O61" s="2048"/>
      <c r="P61" s="2048"/>
      <c r="Q61" s="2048"/>
      <c r="R61" s="2048"/>
      <c r="S61" s="2048"/>
      <c r="T61" s="2048"/>
      <c r="U61" s="2048"/>
      <c r="V61" s="2048"/>
      <c r="W61" s="2048"/>
      <c r="X61" s="2048"/>
      <c r="Y61" s="2048"/>
      <c r="Z61" s="2048"/>
      <c r="AA61" s="2048"/>
      <c r="AB61" s="2048"/>
      <c r="AC61" s="2048"/>
      <c r="AD61" s="2048"/>
      <c r="AE61" s="2048"/>
      <c r="AF61" s="2048"/>
      <c r="AG61" s="2048"/>
      <c r="AH61" s="2048"/>
      <c r="AI61" s="2048"/>
      <c r="AJ61" s="2048"/>
      <c r="AK61" s="2048"/>
      <c r="AL61" s="2048"/>
      <c r="AM61" s="2048"/>
      <c r="AN61" s="2048"/>
      <c r="AO61" s="2048"/>
      <c r="AP61" s="2048"/>
      <c r="AQ61" s="2048"/>
      <c r="AR61" s="2048"/>
    </row>
    <row r="62" spans="1:44" ht="14.25">
      <c r="A62" s="2676" t="s">
        <v>647</v>
      </c>
      <c r="B62" s="2677"/>
      <c r="C62" s="2617"/>
      <c r="D62" s="2618"/>
      <c r="E62" s="2617"/>
      <c r="F62" s="2617"/>
      <c r="G62" s="2617"/>
      <c r="H62" s="2617"/>
      <c r="I62" s="2617"/>
      <c r="J62" s="2617"/>
      <c r="K62" s="2704"/>
      <c r="L62" s="2704"/>
      <c r="M62" s="2048"/>
      <c r="N62" s="2048"/>
      <c r="O62" s="2048"/>
      <c r="P62" s="2048"/>
      <c r="Q62" s="2048"/>
      <c r="R62" s="2048"/>
      <c r="S62" s="2048"/>
      <c r="T62" s="2048"/>
      <c r="U62" s="2048"/>
      <c r="V62" s="2048"/>
      <c r="W62" s="2048"/>
      <c r="X62" s="2048"/>
      <c r="Y62" s="2048"/>
      <c r="Z62" s="2048"/>
      <c r="AA62" s="2048"/>
      <c r="AB62" s="2048"/>
      <c r="AC62" s="2048"/>
      <c r="AD62" s="2048"/>
      <c r="AE62" s="2048"/>
      <c r="AF62" s="2048"/>
      <c r="AG62" s="2048"/>
      <c r="AH62" s="2048"/>
      <c r="AI62" s="2048"/>
      <c r="AJ62" s="2048"/>
      <c r="AK62" s="2048"/>
      <c r="AL62" s="2048"/>
      <c r="AM62" s="2048"/>
      <c r="AN62" s="2048"/>
      <c r="AO62" s="2048"/>
      <c r="AP62" s="2048"/>
      <c r="AQ62" s="2048"/>
      <c r="AR62" s="2048"/>
    </row>
    <row r="63" spans="1:44" ht="14.25">
      <c r="A63" s="2678" t="s">
        <v>648</v>
      </c>
      <c r="B63" s="2679"/>
      <c r="C63" s="2617"/>
      <c r="D63" s="2618"/>
      <c r="E63" s="2617"/>
      <c r="F63" s="2617"/>
      <c r="G63" s="2617"/>
      <c r="H63" s="2617"/>
      <c r="I63" s="2617"/>
      <c r="J63" s="2617"/>
      <c r="K63" s="2704"/>
      <c r="L63" s="2704"/>
      <c r="M63" s="2048"/>
      <c r="N63" s="2048"/>
      <c r="O63" s="2048"/>
      <c r="P63" s="2048"/>
      <c r="Q63" s="2048"/>
      <c r="R63" s="2048"/>
      <c r="S63" s="2048"/>
      <c r="T63" s="2048"/>
      <c r="U63" s="2048"/>
      <c r="V63" s="2048"/>
      <c r="W63" s="2048"/>
      <c r="X63" s="2048"/>
      <c r="Y63" s="2048"/>
      <c r="Z63" s="2048"/>
      <c r="AA63" s="2048"/>
      <c r="AB63" s="2048"/>
      <c r="AC63" s="2048"/>
      <c r="AD63" s="2048"/>
      <c r="AE63" s="2048"/>
      <c r="AF63" s="2048"/>
      <c r="AG63" s="2048"/>
      <c r="AH63" s="2048"/>
      <c r="AI63" s="2048"/>
      <c r="AJ63" s="2048"/>
      <c r="AK63" s="2048"/>
      <c r="AL63" s="2048"/>
      <c r="AM63" s="2048"/>
      <c r="AN63" s="2048"/>
      <c r="AO63" s="2048"/>
      <c r="AP63" s="2048"/>
      <c r="AQ63" s="2048"/>
      <c r="AR63" s="2048"/>
    </row>
    <row r="64" spans="1:44" s="2121" customFormat="1">
      <c r="A64" s="2680"/>
      <c r="B64" s="2048"/>
      <c r="C64" s="2048"/>
      <c r="D64" s="2615"/>
      <c r="E64" s="2048"/>
      <c r="F64" s="2048"/>
      <c r="G64" s="2048"/>
      <c r="H64" s="2048"/>
      <c r="I64" s="2048"/>
      <c r="J64" s="2048"/>
      <c r="K64" s="2704"/>
      <c r="L64" s="2704"/>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row>
    <row r="65" spans="1:44" s="2121" customFormat="1">
      <c r="A65" s="2680"/>
      <c r="B65" s="2048"/>
      <c r="C65" s="2048"/>
      <c r="D65" s="2615"/>
      <c r="E65" s="2048"/>
      <c r="F65" s="2048"/>
      <c r="G65" s="2048"/>
      <c r="H65" s="2048"/>
      <c r="I65" s="2048"/>
      <c r="J65" s="2048"/>
      <c r="K65" s="2704"/>
      <c r="L65" s="2704"/>
      <c r="M65" s="2048"/>
      <c r="N65" s="2048"/>
      <c r="O65" s="2048"/>
      <c r="P65" s="2048"/>
      <c r="Q65" s="2048"/>
      <c r="R65" s="2048"/>
      <c r="S65" s="2048"/>
      <c r="T65" s="2048"/>
      <c r="U65" s="2048"/>
      <c r="V65" s="2048"/>
      <c r="W65" s="2048"/>
      <c r="X65" s="2048"/>
      <c r="Y65" s="2048"/>
      <c r="Z65" s="2048"/>
      <c r="AA65" s="2048"/>
      <c r="AB65" s="2048"/>
      <c r="AC65" s="2048"/>
      <c r="AD65" s="2048"/>
      <c r="AE65" s="2048"/>
      <c r="AF65" s="2048"/>
      <c r="AG65" s="2048"/>
      <c r="AH65" s="2048"/>
      <c r="AI65" s="2048"/>
      <c r="AJ65" s="2048"/>
      <c r="AK65" s="2048"/>
      <c r="AL65" s="2048"/>
      <c r="AM65" s="2048"/>
      <c r="AN65" s="2048"/>
      <c r="AO65" s="2048"/>
      <c r="AP65" s="2048"/>
      <c r="AQ65" s="2048"/>
      <c r="AR65" s="2048"/>
    </row>
    <row r="66" spans="1:44" s="2121" customFormat="1">
      <c r="A66" s="2680"/>
      <c r="B66" s="2048"/>
      <c r="C66" s="2048"/>
      <c r="D66" s="2615"/>
      <c r="E66" s="2048"/>
      <c r="F66" s="2048"/>
      <c r="G66" s="2048"/>
      <c r="H66" s="2048"/>
      <c r="I66" s="2048"/>
      <c r="J66" s="2048"/>
      <c r="K66" s="2704"/>
      <c r="L66" s="2704"/>
      <c r="M66" s="2048"/>
      <c r="N66" s="2048"/>
      <c r="O66" s="2048"/>
      <c r="P66" s="2048"/>
      <c r="Q66" s="2048"/>
      <c r="R66" s="2048"/>
      <c r="S66" s="2048"/>
      <c r="T66" s="2048"/>
      <c r="U66" s="2048"/>
      <c r="V66" s="2048"/>
      <c r="W66" s="2048"/>
      <c r="X66" s="2048"/>
      <c r="Y66" s="2048"/>
      <c r="Z66" s="2048"/>
      <c r="AA66" s="2048"/>
      <c r="AB66" s="2048"/>
      <c r="AC66" s="2048"/>
      <c r="AD66" s="2048"/>
      <c r="AE66" s="2048"/>
      <c r="AF66" s="2048"/>
      <c r="AG66" s="2048"/>
      <c r="AH66" s="2048"/>
      <c r="AI66" s="2048"/>
      <c r="AJ66" s="2048"/>
      <c r="AK66" s="2048"/>
      <c r="AL66" s="2048"/>
      <c r="AM66" s="2048"/>
      <c r="AN66" s="2048"/>
      <c r="AO66" s="2048"/>
      <c r="AP66" s="2048"/>
      <c r="AQ66" s="2048"/>
      <c r="AR66" s="2048"/>
    </row>
    <row r="67" spans="1:44" s="2121" customFormat="1">
      <c r="A67" s="2680"/>
      <c r="B67" s="2048"/>
      <c r="C67" s="2048"/>
      <c r="D67" s="2615"/>
      <c r="E67" s="2048"/>
      <c r="F67" s="2048"/>
      <c r="G67" s="2048"/>
      <c r="H67" s="2048"/>
      <c r="I67" s="2048"/>
      <c r="J67" s="2048"/>
      <c r="K67" s="2704"/>
      <c r="L67" s="2704"/>
      <c r="M67" s="2048"/>
      <c r="N67" s="2048"/>
      <c r="O67" s="2048"/>
      <c r="P67" s="2048"/>
      <c r="Q67" s="2048"/>
      <c r="R67" s="2048"/>
      <c r="S67" s="2048"/>
      <c r="T67" s="2048"/>
      <c r="U67" s="2048"/>
      <c r="V67" s="2048"/>
      <c r="W67" s="2048"/>
      <c r="X67" s="2048"/>
      <c r="Y67" s="2048"/>
      <c r="Z67" s="2048"/>
      <c r="AA67" s="2048"/>
      <c r="AB67" s="2048"/>
      <c r="AC67" s="2048"/>
      <c r="AD67" s="2048"/>
      <c r="AE67" s="2048"/>
      <c r="AF67" s="2048"/>
      <c r="AG67" s="2048"/>
      <c r="AH67" s="2048"/>
      <c r="AI67" s="2048"/>
      <c r="AJ67" s="2048"/>
      <c r="AK67" s="2048"/>
      <c r="AL67" s="2048"/>
      <c r="AM67" s="2048"/>
      <c r="AN67" s="2048"/>
      <c r="AO67" s="2048"/>
      <c r="AP67" s="2048"/>
      <c r="AQ67" s="2048"/>
      <c r="AR67" s="2048"/>
    </row>
    <row r="68" spans="1:44" s="2121" customFormat="1">
      <c r="A68" s="2680"/>
      <c r="B68" s="2048"/>
      <c r="C68" s="2048"/>
      <c r="D68" s="2615"/>
      <c r="E68" s="2048"/>
      <c r="F68" s="2048"/>
      <c r="G68" s="2048"/>
      <c r="H68" s="2048"/>
      <c r="I68" s="2048"/>
      <c r="J68" s="2048"/>
      <c r="K68" s="2704"/>
      <c r="L68" s="2704"/>
      <c r="M68" s="2048"/>
      <c r="N68" s="2048"/>
      <c r="O68" s="2048"/>
      <c r="P68" s="2048"/>
      <c r="Q68" s="2048"/>
      <c r="R68" s="2048"/>
      <c r="S68" s="2048"/>
      <c r="T68" s="2048"/>
      <c r="U68" s="2048"/>
      <c r="V68" s="2048"/>
      <c r="W68" s="2048"/>
      <c r="X68" s="2048"/>
      <c r="Y68" s="2048"/>
      <c r="Z68" s="2048"/>
      <c r="AA68" s="2048"/>
      <c r="AB68" s="2048"/>
      <c r="AC68" s="2048"/>
      <c r="AD68" s="2048"/>
      <c r="AE68" s="2048"/>
      <c r="AF68" s="2048"/>
      <c r="AG68" s="2048"/>
      <c r="AH68" s="2048"/>
      <c r="AI68" s="2048"/>
      <c r="AJ68" s="2048"/>
      <c r="AK68" s="2048"/>
      <c r="AL68" s="2048"/>
      <c r="AM68" s="2048"/>
      <c r="AN68" s="2048"/>
      <c r="AO68" s="2048"/>
      <c r="AP68" s="2048"/>
      <c r="AQ68" s="2048"/>
      <c r="AR68" s="2048"/>
    </row>
    <row r="69" spans="1:44" s="2121" customFormat="1">
      <c r="A69" s="2438"/>
      <c r="D69" s="2769"/>
      <c r="K69" s="335"/>
      <c r="L69" s="335"/>
    </row>
    <row r="70" spans="1:44" s="2121" customFormat="1">
      <c r="A70" s="2438"/>
      <c r="D70" s="2769"/>
      <c r="K70" s="335"/>
      <c r="L70" s="335"/>
    </row>
    <row r="71" spans="1:44" s="2121" customFormat="1">
      <c r="A71" s="2438"/>
      <c r="D71" s="2769"/>
      <c r="K71" s="335"/>
      <c r="L71" s="335"/>
    </row>
    <row r="72" spans="1:44" s="2121" customFormat="1">
      <c r="A72" s="2438"/>
      <c r="D72" s="2769"/>
      <c r="K72" s="335"/>
      <c r="L72" s="335"/>
    </row>
    <row r="73" spans="1:44" s="2121" customFormat="1">
      <c r="A73" s="2438"/>
      <c r="D73" s="2769"/>
      <c r="K73" s="335"/>
      <c r="L73" s="335"/>
    </row>
    <row r="74" spans="1:44" s="2121" customFormat="1">
      <c r="A74" s="2438"/>
      <c r="D74" s="2769"/>
      <c r="K74" s="335"/>
      <c r="L74" s="335"/>
    </row>
    <row r="75" spans="1:44" s="2121" customFormat="1">
      <c r="A75" s="2438"/>
      <c r="D75" s="2769"/>
      <c r="K75" s="335"/>
      <c r="L75" s="335"/>
    </row>
    <row r="76" spans="1:44" s="2121" customFormat="1">
      <c r="A76" s="2438"/>
      <c r="D76" s="2769"/>
      <c r="K76" s="335"/>
      <c r="L76" s="335"/>
    </row>
    <row r="77" spans="1:44" s="2121" customFormat="1">
      <c r="A77" s="2438"/>
      <c r="D77" s="2769"/>
      <c r="K77" s="335"/>
      <c r="L77" s="335"/>
    </row>
    <row r="78" spans="1:44" s="2121" customFormat="1">
      <c r="A78" s="2438"/>
      <c r="D78" s="2769"/>
      <c r="K78" s="335"/>
      <c r="L78" s="335"/>
    </row>
    <row r="79" spans="1:44" s="2121" customFormat="1">
      <c r="A79" s="2438"/>
      <c r="D79" s="2769"/>
      <c r="K79" s="335"/>
      <c r="L79" s="335"/>
    </row>
    <row r="80" spans="1:44" s="2121" customFormat="1">
      <c r="A80" s="2438"/>
      <c r="D80" s="2769"/>
      <c r="K80" s="335"/>
      <c r="L80" s="335"/>
    </row>
    <row r="81" spans="1:12" s="2121" customFormat="1">
      <c r="A81" s="2438"/>
      <c r="D81" s="2769"/>
      <c r="K81" s="335"/>
      <c r="L81" s="335"/>
    </row>
    <row r="82" spans="1:12" s="2121" customFormat="1">
      <c r="A82" s="2438"/>
      <c r="D82" s="2769"/>
      <c r="K82" s="335"/>
      <c r="L82" s="335"/>
    </row>
    <row r="83" spans="1:12" s="2121" customFormat="1">
      <c r="A83" s="2438"/>
      <c r="D83" s="2769"/>
      <c r="K83" s="335"/>
      <c r="L83" s="335"/>
    </row>
    <row r="84" spans="1:12" s="2121" customFormat="1">
      <c r="A84" s="2438"/>
      <c r="D84" s="2769"/>
      <c r="K84" s="335"/>
      <c r="L84" s="335"/>
    </row>
    <row r="85" spans="1:12" s="2121" customFormat="1">
      <c r="A85" s="2438"/>
      <c r="D85" s="2769"/>
      <c r="K85" s="335"/>
      <c r="L85" s="335"/>
    </row>
    <row r="86" spans="1:12" s="2121" customFormat="1">
      <c r="A86" s="2438"/>
      <c r="D86" s="2769"/>
      <c r="K86" s="335"/>
      <c r="L86" s="335"/>
    </row>
    <row r="87" spans="1:12" s="2121" customFormat="1">
      <c r="A87" s="2438"/>
      <c r="D87" s="2769"/>
      <c r="K87" s="335"/>
      <c r="L87" s="335"/>
    </row>
    <row r="88" spans="1:12" s="2121" customFormat="1">
      <c r="A88" s="2438"/>
      <c r="D88" s="2769"/>
      <c r="K88" s="335"/>
      <c r="L88" s="335"/>
    </row>
    <row r="89" spans="1:12" s="2121" customFormat="1">
      <c r="A89" s="2438"/>
      <c r="D89" s="2769"/>
      <c r="K89" s="335"/>
      <c r="L89" s="335"/>
    </row>
    <row r="90" spans="1:12" s="2121" customFormat="1">
      <c r="A90" s="2438"/>
      <c r="D90" s="2769"/>
      <c r="K90" s="335"/>
      <c r="L90" s="335"/>
    </row>
    <row r="91" spans="1:12" s="2121" customFormat="1">
      <c r="A91" s="2438"/>
      <c r="D91" s="2769"/>
      <c r="K91" s="335"/>
      <c r="L91" s="335"/>
    </row>
    <row r="92" spans="1:12" s="2121" customFormat="1">
      <c r="A92" s="2438"/>
      <c r="D92" s="2769"/>
      <c r="K92" s="335"/>
      <c r="L92" s="335"/>
    </row>
    <row r="93" spans="1:12" s="2121" customFormat="1">
      <c r="A93" s="2438"/>
      <c r="D93" s="2769"/>
      <c r="K93" s="335"/>
      <c r="L93" s="335"/>
    </row>
    <row r="94" spans="1:12" s="2121" customFormat="1">
      <c r="A94" s="2438"/>
      <c r="D94" s="2769"/>
      <c r="K94" s="335"/>
      <c r="L94" s="335"/>
    </row>
    <row r="95" spans="1:12" s="2121" customFormat="1">
      <c r="A95" s="2438"/>
      <c r="D95" s="2769"/>
      <c r="K95" s="335"/>
      <c r="L95" s="335"/>
    </row>
    <row r="96" spans="1:12" s="2121" customFormat="1">
      <c r="A96" s="2438"/>
      <c r="D96" s="2769"/>
      <c r="K96" s="335"/>
      <c r="L96" s="335"/>
    </row>
    <row r="97" spans="1:12" s="2121" customFormat="1">
      <c r="A97" s="2438"/>
      <c r="D97" s="2769"/>
      <c r="K97" s="335"/>
      <c r="L97" s="335"/>
    </row>
    <row r="98" spans="1:12" s="2121" customFormat="1">
      <c r="A98" s="2438"/>
      <c r="D98" s="2769"/>
      <c r="K98" s="335"/>
      <c r="L98" s="335"/>
    </row>
    <row r="99" spans="1:12" s="2121" customFormat="1">
      <c r="A99" s="2438"/>
      <c r="D99" s="2769"/>
      <c r="K99" s="335"/>
      <c r="L99" s="335"/>
    </row>
    <row r="100" spans="1:12" s="2121" customFormat="1">
      <c r="A100" s="2438"/>
      <c r="D100" s="2769"/>
      <c r="K100" s="335"/>
      <c r="L100" s="335"/>
    </row>
    <row r="101" spans="1:12" s="2121" customFormat="1">
      <c r="A101" s="2438"/>
      <c r="D101" s="2769"/>
      <c r="K101" s="335"/>
      <c r="L101" s="335"/>
    </row>
    <row r="102" spans="1:12" s="2121" customFormat="1">
      <c r="A102" s="2438"/>
      <c r="D102" s="2769"/>
      <c r="K102" s="335"/>
      <c r="L102" s="335"/>
    </row>
    <row r="103" spans="1:12" s="2121" customFormat="1">
      <c r="A103" s="2438"/>
      <c r="D103" s="2769"/>
      <c r="K103" s="335"/>
      <c r="L103" s="335"/>
    </row>
    <row r="104" spans="1:12" s="2121" customFormat="1">
      <c r="A104" s="2438"/>
      <c r="D104" s="2769"/>
      <c r="K104" s="335"/>
      <c r="L104" s="335"/>
    </row>
    <row r="105" spans="1:12" s="2121" customFormat="1">
      <c r="A105" s="2438"/>
      <c r="D105" s="2769"/>
      <c r="K105" s="335"/>
      <c r="L105" s="335"/>
    </row>
    <row r="106" spans="1:12" s="2121" customFormat="1">
      <c r="A106" s="2438"/>
      <c r="D106" s="2769"/>
      <c r="K106" s="335"/>
      <c r="L106" s="335"/>
    </row>
    <row r="107" spans="1:12" s="2121" customFormat="1">
      <c r="A107" s="2438"/>
      <c r="D107" s="2769"/>
      <c r="K107" s="335"/>
      <c r="L107" s="335"/>
    </row>
    <row r="108" spans="1:12" s="2121" customFormat="1">
      <c r="A108" s="2438"/>
      <c r="D108" s="2769"/>
      <c r="K108" s="335"/>
      <c r="L108" s="335"/>
    </row>
    <row r="109" spans="1:12" s="2121" customFormat="1">
      <c r="A109" s="2438"/>
      <c r="D109" s="2769"/>
      <c r="K109" s="335"/>
      <c r="L109" s="335"/>
    </row>
    <row r="110" spans="1:12" s="2121" customFormat="1">
      <c r="A110" s="2438"/>
      <c r="D110" s="2769"/>
      <c r="K110" s="335"/>
      <c r="L110" s="335"/>
    </row>
    <row r="111" spans="1:12" s="2121" customFormat="1">
      <c r="A111" s="2438"/>
      <c r="D111" s="2769"/>
      <c r="K111" s="335"/>
      <c r="L111" s="335"/>
    </row>
    <row r="112" spans="1:12" s="2121" customFormat="1">
      <c r="A112" s="2438"/>
      <c r="D112" s="2769"/>
      <c r="K112" s="335"/>
      <c r="L112" s="335"/>
    </row>
    <row r="113" spans="1:12" s="2121" customFormat="1">
      <c r="A113" s="2438"/>
      <c r="D113" s="2769"/>
      <c r="K113" s="335"/>
      <c r="L113" s="335"/>
    </row>
    <row r="114" spans="1:12" s="2121" customFormat="1">
      <c r="A114" s="2438"/>
      <c r="D114" s="2769"/>
      <c r="K114" s="335"/>
      <c r="L114" s="335"/>
    </row>
    <row r="115" spans="1:12" s="2121" customFormat="1">
      <c r="A115" s="2438"/>
      <c r="D115" s="2769"/>
      <c r="K115" s="335"/>
      <c r="L115" s="335"/>
    </row>
    <row r="116" spans="1:12" s="2121" customFormat="1">
      <c r="A116" s="2438"/>
      <c r="D116" s="2769"/>
      <c r="K116" s="335"/>
      <c r="L116" s="335"/>
    </row>
    <row r="117" spans="1:12" s="2121" customFormat="1">
      <c r="A117" s="2438"/>
      <c r="D117" s="2769"/>
      <c r="K117" s="335"/>
      <c r="L117" s="335"/>
    </row>
    <row r="118" spans="1:12" s="2121" customFormat="1">
      <c r="A118" s="2438"/>
      <c r="D118" s="2769"/>
      <c r="K118" s="335"/>
      <c r="L118" s="335"/>
    </row>
    <row r="119" spans="1:12" s="2121" customFormat="1">
      <c r="A119" s="2438"/>
      <c r="D119" s="2769"/>
      <c r="K119" s="335"/>
      <c r="L119" s="335"/>
    </row>
    <row r="120" spans="1:12" s="2121" customFormat="1">
      <c r="A120" s="2438"/>
      <c r="D120" s="2769"/>
      <c r="K120" s="335"/>
      <c r="L120" s="335"/>
    </row>
    <row r="121" spans="1:12" s="2121" customFormat="1">
      <c r="A121" s="2438"/>
      <c r="D121" s="2769"/>
      <c r="K121" s="335"/>
      <c r="L121" s="335"/>
    </row>
    <row r="122" spans="1:12" s="2121" customFormat="1">
      <c r="A122" s="2438"/>
      <c r="D122" s="2769"/>
      <c r="K122" s="335"/>
      <c r="L122" s="335"/>
    </row>
    <row r="123" spans="1:12" s="2121" customFormat="1">
      <c r="A123" s="2438"/>
      <c r="D123" s="2769"/>
      <c r="K123" s="335"/>
      <c r="L123" s="335"/>
    </row>
    <row r="124" spans="1:12" s="2121" customFormat="1">
      <c r="A124" s="2438"/>
      <c r="D124" s="2769"/>
      <c r="K124" s="335"/>
      <c r="L124" s="335"/>
    </row>
    <row r="125" spans="1:12" s="2121" customFormat="1">
      <c r="A125" s="2438"/>
      <c r="D125" s="2769"/>
      <c r="K125" s="335"/>
      <c r="L125" s="335"/>
    </row>
    <row r="126" spans="1:12" s="2121" customFormat="1">
      <c r="A126" s="2438"/>
      <c r="D126" s="2769"/>
      <c r="K126" s="335"/>
      <c r="L126" s="335"/>
    </row>
    <row r="127" spans="1:12" s="2121" customFormat="1">
      <c r="A127" s="2438"/>
      <c r="D127" s="2769"/>
      <c r="K127" s="335"/>
      <c r="L127" s="335"/>
    </row>
    <row r="128" spans="1:12" s="2121" customFormat="1">
      <c r="A128" s="2438"/>
      <c r="D128" s="2769"/>
      <c r="K128" s="335"/>
      <c r="L128" s="335"/>
    </row>
    <row r="129" spans="1:12" s="2121" customFormat="1">
      <c r="A129" s="2438"/>
      <c r="D129" s="2769"/>
      <c r="K129" s="335"/>
      <c r="L129" s="335"/>
    </row>
    <row r="130" spans="1:12" s="2121" customFormat="1">
      <c r="A130" s="2438"/>
      <c r="D130" s="2769"/>
      <c r="K130" s="335"/>
      <c r="L130" s="335"/>
    </row>
    <row r="131" spans="1:12" s="2121" customFormat="1">
      <c r="A131" s="2438"/>
      <c r="D131" s="2769"/>
      <c r="K131" s="335"/>
      <c r="L131" s="335"/>
    </row>
    <row r="132" spans="1:12" s="2121" customFormat="1">
      <c r="A132" s="2438"/>
      <c r="D132" s="2769"/>
      <c r="K132" s="335"/>
      <c r="L132" s="335"/>
    </row>
    <row r="133" spans="1:12" s="2121" customFormat="1">
      <c r="A133" s="2438"/>
      <c r="D133" s="2769"/>
      <c r="K133" s="335"/>
      <c r="L133" s="335"/>
    </row>
    <row r="134" spans="1:12" s="2574" customFormat="1">
      <c r="A134" s="2770"/>
      <c r="D134" s="2771"/>
      <c r="K134" s="237"/>
      <c r="L134" s="237"/>
    </row>
    <row r="135" spans="1:12" s="2574" customFormat="1">
      <c r="A135" s="2770"/>
      <c r="D135" s="2771"/>
      <c r="K135" s="237"/>
      <c r="L135" s="237"/>
    </row>
    <row r="136" spans="1:12" s="2574" customFormat="1">
      <c r="A136" s="2770"/>
      <c r="D136" s="2771"/>
      <c r="K136" s="237"/>
      <c r="L136" s="237"/>
    </row>
    <row r="137" spans="1:12" s="2574" customFormat="1">
      <c r="A137" s="2770"/>
      <c r="D137" s="2771"/>
      <c r="K137" s="237"/>
      <c r="L137" s="237"/>
    </row>
    <row r="138" spans="1:12" s="2574" customFormat="1">
      <c r="A138" s="2770"/>
      <c r="D138" s="2771"/>
      <c r="K138" s="237"/>
      <c r="L138" s="237"/>
    </row>
    <row r="139" spans="1:12" s="2574" customFormat="1">
      <c r="A139" s="2770"/>
      <c r="D139" s="2771"/>
      <c r="K139" s="237"/>
      <c r="L139" s="237"/>
    </row>
    <row r="140" spans="1:12" s="2574" customFormat="1">
      <c r="A140" s="2770"/>
      <c r="D140" s="2771"/>
      <c r="K140" s="237"/>
      <c r="L140" s="237"/>
    </row>
    <row r="141" spans="1:12" s="2574" customFormat="1">
      <c r="A141" s="2770"/>
      <c r="D141" s="2771"/>
      <c r="K141" s="237"/>
      <c r="L141" s="237"/>
    </row>
    <row r="142" spans="1:12" s="2574" customFormat="1">
      <c r="A142" s="2770"/>
      <c r="D142" s="2771"/>
      <c r="K142" s="237"/>
      <c r="L142" s="237"/>
    </row>
    <row r="143" spans="1:12" s="2574" customFormat="1">
      <c r="A143" s="2770"/>
      <c r="D143" s="2771"/>
      <c r="K143" s="237"/>
      <c r="L143" s="237"/>
    </row>
    <row r="144" spans="1:12" s="2574" customFormat="1">
      <c r="A144" s="2770"/>
      <c r="D144" s="2771"/>
      <c r="K144" s="237"/>
      <c r="L144" s="237"/>
    </row>
    <row r="145" spans="1:12" s="2574" customFormat="1">
      <c r="A145" s="2770"/>
      <c r="D145" s="2771"/>
      <c r="K145" s="237"/>
      <c r="L145" s="237"/>
    </row>
    <row r="146" spans="1:12" s="2574" customFormat="1">
      <c r="A146" s="2770"/>
      <c r="D146" s="2771"/>
      <c r="K146" s="237"/>
      <c r="L146" s="237"/>
    </row>
    <row r="147" spans="1:12" s="2574" customFormat="1">
      <c r="A147" s="2770"/>
      <c r="D147" s="2771"/>
      <c r="K147" s="237"/>
      <c r="L147" s="237"/>
    </row>
    <row r="148" spans="1:12" s="2574" customFormat="1">
      <c r="A148" s="2770"/>
      <c r="D148" s="2771"/>
      <c r="K148" s="237"/>
      <c r="L148" s="237"/>
    </row>
    <row r="149" spans="1:12" s="2574" customFormat="1">
      <c r="A149" s="2770"/>
      <c r="D149" s="2771"/>
      <c r="K149" s="237"/>
      <c r="L149" s="237"/>
    </row>
    <row r="150" spans="1:12" s="2574" customFormat="1">
      <c r="A150" s="2770"/>
      <c r="D150" s="2771"/>
      <c r="K150" s="237"/>
      <c r="L150" s="237"/>
    </row>
    <row r="151" spans="1:12" s="2574" customFormat="1">
      <c r="A151" s="2770"/>
      <c r="D151" s="2771"/>
      <c r="K151" s="237"/>
      <c r="L151" s="237"/>
    </row>
    <row r="152" spans="1:12" s="2574" customFormat="1">
      <c r="A152" s="2770"/>
      <c r="D152" s="2771"/>
      <c r="K152" s="237"/>
      <c r="L152" s="237"/>
    </row>
    <row r="153" spans="1:12" s="2574" customFormat="1">
      <c r="A153" s="2770"/>
      <c r="D153" s="2771"/>
      <c r="K153" s="237"/>
      <c r="L153" s="237"/>
    </row>
    <row r="154" spans="1:12" s="2574" customFormat="1">
      <c r="A154" s="2770"/>
      <c r="D154" s="2771"/>
      <c r="K154" s="237"/>
      <c r="L154" s="237"/>
    </row>
    <row r="155" spans="1:12" s="2574" customFormat="1">
      <c r="A155" s="2770"/>
      <c r="D155" s="2771"/>
      <c r="K155" s="237"/>
      <c r="L155" s="237"/>
    </row>
    <row r="156" spans="1:12" s="2574" customFormat="1">
      <c r="A156" s="2770"/>
      <c r="D156" s="2771"/>
      <c r="K156" s="237"/>
      <c r="L156" s="237"/>
    </row>
    <row r="157" spans="1:12" s="2574" customFormat="1">
      <c r="A157" s="2770"/>
      <c r="D157" s="2771"/>
      <c r="K157" s="237"/>
      <c r="L157" s="237"/>
    </row>
    <row r="158" spans="1:12" s="2574" customFormat="1">
      <c r="A158" s="2770"/>
      <c r="D158" s="2771"/>
      <c r="K158" s="237"/>
      <c r="L158" s="237"/>
    </row>
    <row r="159" spans="1:12" s="2574" customFormat="1">
      <c r="A159" s="2770"/>
      <c r="D159" s="2771"/>
      <c r="K159" s="237"/>
      <c r="L159" s="237"/>
    </row>
    <row r="160" spans="1:12" s="2574" customFormat="1">
      <c r="A160" s="2770"/>
      <c r="D160" s="2771"/>
      <c r="K160" s="237"/>
      <c r="L160" s="237"/>
    </row>
    <row r="161" spans="1:12" s="2574" customFormat="1">
      <c r="A161" s="2770"/>
      <c r="D161" s="2771"/>
      <c r="K161" s="237"/>
      <c r="L161" s="237"/>
    </row>
    <row r="162" spans="1:12" s="2574" customFormat="1">
      <c r="A162" s="2770"/>
      <c r="D162" s="2771"/>
      <c r="K162" s="237"/>
      <c r="L162" s="237"/>
    </row>
    <row r="163" spans="1:12" s="2574" customFormat="1">
      <c r="A163" s="2770"/>
      <c r="D163" s="2771"/>
      <c r="K163" s="237"/>
      <c r="L163" s="237"/>
    </row>
    <row r="164" spans="1:12" s="2574" customFormat="1">
      <c r="A164" s="2770"/>
      <c r="D164" s="2771"/>
      <c r="K164" s="237"/>
      <c r="L164" s="237"/>
    </row>
    <row r="165" spans="1:12" s="2574" customFormat="1">
      <c r="A165" s="2770"/>
      <c r="D165" s="2771"/>
      <c r="K165" s="237"/>
      <c r="L165" s="237"/>
    </row>
    <row r="166" spans="1:12" s="2574" customFormat="1">
      <c r="A166" s="2770"/>
      <c r="D166" s="2771"/>
      <c r="K166" s="237"/>
      <c r="L166" s="237"/>
    </row>
    <row r="167" spans="1:12" s="2574" customFormat="1">
      <c r="A167" s="2770"/>
      <c r="D167" s="2771"/>
      <c r="K167" s="237"/>
      <c r="L167" s="237"/>
    </row>
    <row r="168" spans="1:12" s="2574" customFormat="1">
      <c r="A168" s="2770"/>
      <c r="D168" s="2771"/>
      <c r="K168" s="237"/>
      <c r="L168" s="237"/>
    </row>
    <row r="169" spans="1:12" s="2574" customFormat="1">
      <c r="A169" s="2770"/>
      <c r="D169" s="2771"/>
      <c r="K169" s="237"/>
      <c r="L169" s="237"/>
    </row>
    <row r="170" spans="1:12" s="2574" customFormat="1">
      <c r="A170" s="2770"/>
      <c r="D170" s="2771"/>
      <c r="K170" s="237"/>
      <c r="L170" s="237"/>
    </row>
    <row r="171" spans="1:12" s="2574" customFormat="1">
      <c r="A171" s="2770"/>
      <c r="D171" s="2771"/>
      <c r="K171" s="237"/>
      <c r="L171" s="237"/>
    </row>
    <row r="172" spans="1:12" s="2574" customFormat="1">
      <c r="A172" s="2770"/>
      <c r="D172" s="2771"/>
      <c r="K172" s="237"/>
      <c r="L172" s="237"/>
    </row>
    <row r="173" spans="1:12" s="2574" customFormat="1">
      <c r="A173" s="2770"/>
      <c r="D173" s="2771"/>
      <c r="K173" s="237"/>
      <c r="L173" s="237"/>
    </row>
    <row r="174" spans="1:12" s="2574" customFormat="1">
      <c r="A174" s="2770"/>
      <c r="D174" s="2771"/>
      <c r="K174" s="237"/>
      <c r="L174" s="237"/>
    </row>
  </sheetData>
  <sheetProtection password="CEE9" sheet="1" objects="1" scenarios="1" formatCells="0" formatColumns="0" formatRows="0"/>
  <phoneticPr fontId="210"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1" sqref="I10:I11"/>
    </sheetView>
  </sheetViews>
  <sheetFormatPr defaultColWidth="9" defaultRowHeight="14.25"/>
  <cols>
    <col min="1" max="1" width="9.5" style="2501" customWidth="1"/>
    <col min="2" max="2" width="24.5" style="2502" customWidth="1"/>
    <col min="3" max="3" width="24.5" style="2503" customWidth="1"/>
    <col min="4" max="4" width="2.625" style="2503" customWidth="1"/>
    <col min="5" max="5" width="5.875" style="2503" customWidth="1"/>
    <col min="6" max="6" width="27" style="2502" customWidth="1"/>
    <col min="7" max="7" width="27" style="2504" customWidth="1"/>
    <col min="8" max="8" width="11.875" style="2505" customWidth="1"/>
    <col min="9" max="9" width="16.75" style="2506" customWidth="1"/>
    <col min="10" max="10" width="2.625" style="2505" customWidth="1"/>
    <col min="11" max="11" width="11.875" style="2505" customWidth="1"/>
    <col min="12" max="12" width="16.75" style="2506" customWidth="1"/>
    <col min="13" max="13" width="2.625" style="2505" customWidth="1"/>
    <col min="14" max="14" width="11.875" style="2505" customWidth="1"/>
    <col min="15" max="15" width="16.75" style="2506" customWidth="1"/>
    <col min="16" max="16" width="2.625" style="2505" customWidth="1"/>
    <col min="17" max="17" width="11.875" style="2505" customWidth="1"/>
    <col min="18" max="18" width="16.75" style="2507" customWidth="1"/>
    <col min="19" max="29" width="9" style="2037"/>
    <col min="30" max="16384" width="9" style="2501"/>
  </cols>
  <sheetData>
    <row r="1" spans="1:29" s="2499" customFormat="1" ht="18">
      <c r="A1" s="3323" t="s">
        <v>649</v>
      </c>
      <c r="B1" s="3324"/>
      <c r="C1" s="3324"/>
      <c r="D1" s="3324"/>
      <c r="E1" s="3324"/>
      <c r="F1" s="3324"/>
      <c r="G1" s="3324"/>
      <c r="H1" s="2508"/>
      <c r="I1" s="2561"/>
      <c r="J1" s="2508"/>
      <c r="K1" s="2508"/>
      <c r="L1" s="2561"/>
      <c r="M1" s="2508"/>
      <c r="N1" s="2508"/>
      <c r="O1" s="2561"/>
      <c r="P1" s="2508"/>
      <c r="Q1" s="2568"/>
      <c r="R1" s="2569"/>
      <c r="S1" s="2570"/>
      <c r="T1" s="2570"/>
      <c r="U1" s="2570"/>
      <c r="V1" s="2570"/>
      <c r="W1" s="2570"/>
      <c r="X1" s="2570"/>
      <c r="Y1" s="2570"/>
      <c r="Z1" s="2570"/>
      <c r="AA1" s="2570"/>
      <c r="AB1" s="2570"/>
      <c r="AC1" s="2570"/>
    </row>
    <row r="2" spans="1:29">
      <c r="A2" s="2509"/>
      <c r="B2" s="2510"/>
      <c r="C2" s="2511" t="s">
        <v>650</v>
      </c>
      <c r="D2" s="2512"/>
      <c r="E2" s="2509"/>
      <c r="F2" s="2513"/>
      <c r="G2" s="2511" t="s">
        <v>651</v>
      </c>
      <c r="H2" s="2037"/>
      <c r="I2" s="2037"/>
      <c r="J2" s="2037"/>
      <c r="K2" s="2037"/>
      <c r="L2" s="2037"/>
      <c r="M2" s="2037"/>
      <c r="N2" s="2037"/>
      <c r="O2" s="2037"/>
      <c r="P2" s="2037"/>
      <c r="Q2" s="2037"/>
      <c r="R2" s="2037"/>
    </row>
    <row r="3" spans="1:29" ht="48">
      <c r="A3" s="2514" t="s">
        <v>652</v>
      </c>
      <c r="B3" s="2515" t="s">
        <v>653</v>
      </c>
      <c r="C3" s="2516"/>
      <c r="D3" s="2517"/>
      <c r="E3" s="2518" t="s">
        <v>652</v>
      </c>
      <c r="F3" s="2519" t="s">
        <v>654</v>
      </c>
      <c r="G3" s="2520" t="s">
        <v>2656</v>
      </c>
      <c r="H3" s="2037"/>
      <c r="I3" s="2037"/>
      <c r="J3" s="2037"/>
      <c r="K3" s="2037"/>
      <c r="L3" s="2037"/>
      <c r="M3" s="2037"/>
      <c r="N3" s="2037"/>
      <c r="O3" s="2037"/>
      <c r="P3" s="2037"/>
      <c r="Q3" s="2037"/>
      <c r="R3" s="2037"/>
    </row>
    <row r="4" spans="1:29" ht="36">
      <c r="A4" s="2518"/>
      <c r="B4" s="1828" t="s">
        <v>656</v>
      </c>
      <c r="C4" s="2521"/>
      <c r="D4" s="2517"/>
      <c r="E4" s="2522"/>
      <c r="F4" s="2148" t="s">
        <v>657</v>
      </c>
      <c r="G4" s="2523" t="s">
        <v>2657</v>
      </c>
      <c r="H4" s="2037"/>
      <c r="I4" s="2037"/>
      <c r="J4" s="2037"/>
      <c r="K4" s="2037"/>
      <c r="L4" s="2037"/>
      <c r="M4" s="2037"/>
      <c r="N4" s="2037"/>
      <c r="O4" s="2037"/>
      <c r="P4" s="2037"/>
      <c r="Q4" s="2037"/>
      <c r="R4" s="2037"/>
    </row>
    <row r="5" spans="1:29" ht="72">
      <c r="A5" s="2518"/>
      <c r="B5" s="1828" t="s">
        <v>658</v>
      </c>
      <c r="C5" s="2521"/>
      <c r="D5" s="2517"/>
      <c r="E5" s="2522"/>
      <c r="F5" s="1828" t="s">
        <v>458</v>
      </c>
      <c r="G5" s="2523" t="s">
        <v>2658</v>
      </c>
      <c r="H5" s="2037"/>
      <c r="I5" s="2037"/>
      <c r="J5" s="2037"/>
      <c r="K5" s="2037"/>
      <c r="L5" s="2037"/>
      <c r="M5" s="2037"/>
      <c r="N5" s="2037"/>
      <c r="O5" s="2037"/>
      <c r="P5" s="2037"/>
      <c r="Q5" s="2037"/>
      <c r="R5" s="2037"/>
    </row>
    <row r="6" spans="1:29">
      <c r="A6" s="2518"/>
      <c r="B6" s="1828" t="s">
        <v>657</v>
      </c>
      <c r="C6" s="2524"/>
      <c r="D6" s="2517"/>
      <c r="E6" s="2522"/>
      <c r="F6" s="1828" t="s">
        <v>660</v>
      </c>
      <c r="G6" s="2523" t="s">
        <v>236</v>
      </c>
      <c r="H6" s="2037"/>
      <c r="I6" s="2037"/>
      <c r="J6" s="2037"/>
      <c r="K6" s="2037"/>
      <c r="L6" s="2037"/>
      <c r="M6" s="2037"/>
      <c r="N6" s="2037"/>
      <c r="O6" s="2037"/>
      <c r="P6" s="2037"/>
      <c r="Q6" s="2037"/>
      <c r="R6" s="2037"/>
    </row>
    <row r="7" spans="1:29" ht="36">
      <c r="A7" s="2518"/>
      <c r="B7" s="1828" t="s">
        <v>458</v>
      </c>
      <c r="C7" s="2524"/>
      <c r="D7" s="2525"/>
      <c r="E7" s="2526"/>
      <c r="F7" s="2527" t="s">
        <v>661</v>
      </c>
      <c r="G7" s="2528" t="s">
        <v>2659</v>
      </c>
      <c r="H7" s="2037"/>
      <c r="I7" s="2037"/>
      <c r="J7" s="2037"/>
      <c r="K7" s="2037"/>
      <c r="L7" s="2037"/>
      <c r="M7" s="2037"/>
      <c r="N7" s="2037"/>
      <c r="O7" s="2037"/>
      <c r="P7" s="2037"/>
      <c r="Q7" s="2037"/>
      <c r="R7" s="2037"/>
    </row>
    <row r="8" spans="1:29">
      <c r="A8" s="2518"/>
      <c r="B8" s="1828" t="s">
        <v>660</v>
      </c>
      <c r="C8" s="2524"/>
      <c r="D8" s="2525"/>
      <c r="E8" s="2525"/>
      <c r="F8" s="1949"/>
      <c r="G8" s="1949"/>
      <c r="H8" s="2037"/>
      <c r="I8" s="2037"/>
      <c r="J8" s="2037"/>
      <c r="K8" s="2037"/>
      <c r="L8" s="2037"/>
      <c r="M8" s="2037"/>
      <c r="N8" s="2037"/>
      <c r="O8" s="2037"/>
      <c r="P8" s="2037"/>
      <c r="Q8" s="2037"/>
      <c r="R8" s="2037"/>
    </row>
    <row r="9" spans="1:29">
      <c r="A9" s="2518"/>
      <c r="B9" s="1828" t="s">
        <v>662</v>
      </c>
      <c r="C9" s="2521"/>
      <c r="D9" s="2517"/>
      <c r="E9" s="2525"/>
      <c r="F9" s="1949"/>
      <c r="G9" s="1949"/>
      <c r="H9" s="2037"/>
      <c r="I9" s="2037"/>
      <c r="J9" s="2037"/>
      <c r="K9" s="2037"/>
      <c r="L9" s="2037"/>
      <c r="M9" s="2037"/>
      <c r="N9" s="2037"/>
      <c r="O9" s="2037"/>
      <c r="P9" s="2037"/>
      <c r="Q9" s="2037"/>
      <c r="R9" s="2037"/>
    </row>
    <row r="10" spans="1:29" s="2500" customFormat="1">
      <c r="A10" s="2529"/>
      <c r="B10" s="2530" t="s">
        <v>663</v>
      </c>
      <c r="C10" s="2531"/>
      <c r="D10" s="2517"/>
      <c r="E10" s="2517"/>
      <c r="F10" s="1949"/>
      <c r="G10" s="1949"/>
      <c r="H10" s="2532"/>
      <c r="I10" s="2562"/>
      <c r="J10" s="2563"/>
      <c r="K10" s="2532"/>
      <c r="L10" s="2562"/>
      <c r="M10" s="2563"/>
      <c r="N10" s="2532"/>
      <c r="O10" s="2562"/>
      <c r="P10" s="2563"/>
      <c r="Q10" s="2532"/>
      <c r="R10" s="2562"/>
      <c r="S10" s="2037"/>
      <c r="T10" s="2037"/>
      <c r="U10" s="2037"/>
      <c r="V10" s="2037"/>
      <c r="W10" s="2037"/>
      <c r="X10" s="2037"/>
      <c r="Y10" s="2037"/>
      <c r="Z10" s="2037"/>
      <c r="AA10" s="2037"/>
      <c r="AB10" s="2037"/>
      <c r="AC10" s="2037"/>
    </row>
    <row r="11" spans="1:29" s="2500" customFormat="1">
      <c r="A11" s="2533"/>
      <c r="B11" s="2525"/>
      <c r="C11" s="2517"/>
      <c r="D11" s="2517"/>
      <c r="E11" s="2517"/>
      <c r="F11" s="2525"/>
      <c r="G11" s="2534"/>
      <c r="H11" s="2532"/>
      <c r="I11" s="2562"/>
      <c r="J11" s="2563"/>
      <c r="K11" s="2532"/>
      <c r="L11" s="2562"/>
      <c r="M11" s="2563"/>
      <c r="N11" s="2532"/>
      <c r="O11" s="2562"/>
      <c r="P11" s="2563"/>
      <c r="Q11" s="2532"/>
      <c r="R11" s="2562"/>
      <c r="S11" s="2037"/>
      <c r="T11" s="2037"/>
      <c r="U11" s="2037"/>
      <c r="V11" s="2037"/>
      <c r="W11" s="2037"/>
      <c r="X11" s="2037"/>
      <c r="Y11" s="2037"/>
      <c r="Z11" s="2037"/>
      <c r="AA11" s="2037"/>
      <c r="AB11" s="2037"/>
      <c r="AC11" s="2037"/>
    </row>
    <row r="12" spans="1:29" s="2499" customFormat="1" ht="18">
      <c r="A12" s="2533"/>
      <c r="B12" s="2525"/>
      <c r="C12" s="2517"/>
      <c r="D12" s="2535"/>
      <c r="E12" s="2517"/>
      <c r="F12" s="2525"/>
      <c r="G12" s="2534"/>
      <c r="H12" s="2536"/>
      <c r="I12" s="2564"/>
      <c r="J12" s="2536"/>
      <c r="K12" s="2536"/>
      <c r="L12" s="2565"/>
      <c r="M12" s="2536"/>
      <c r="N12" s="2566"/>
      <c r="O12" s="2567"/>
      <c r="P12" s="2566"/>
      <c r="Q12" s="2566"/>
      <c r="R12" s="2569"/>
      <c r="S12" s="2570"/>
      <c r="T12" s="2570"/>
      <c r="U12" s="2570"/>
      <c r="V12" s="2570"/>
      <c r="W12" s="2570"/>
      <c r="X12" s="2570"/>
      <c r="Y12" s="2570"/>
      <c r="Z12" s="2570"/>
      <c r="AA12" s="2570"/>
      <c r="AB12" s="2570"/>
      <c r="AC12" s="2570"/>
    </row>
    <row r="13" spans="1:29" ht="15">
      <c r="A13" s="2537" t="s">
        <v>664</v>
      </c>
      <c r="B13" s="2535"/>
      <c r="C13" s="2535"/>
      <c r="D13" s="2533"/>
      <c r="E13" s="2535"/>
      <c r="F13" s="2535"/>
      <c r="G13" s="2535"/>
    </row>
    <row r="14" spans="1:29">
      <c r="A14" s="2538"/>
      <c r="B14" s="2538"/>
      <c r="C14" s="2539" t="s">
        <v>650</v>
      </c>
      <c r="D14" s="2517"/>
      <c r="E14" s="2540"/>
      <c r="F14" s="2540"/>
      <c r="G14" s="2511" t="s">
        <v>651</v>
      </c>
    </row>
    <row r="15" spans="1:29" ht="51">
      <c r="A15" s="2541" t="s">
        <v>652</v>
      </c>
      <c r="B15" s="2542" t="s">
        <v>653</v>
      </c>
      <c r="C15" s="2543">
        <f>C3</f>
        <v>0</v>
      </c>
      <c r="D15" s="2517"/>
      <c r="E15" s="2544" t="s">
        <v>652</v>
      </c>
      <c r="F15" s="2542" t="s">
        <v>654</v>
      </c>
      <c r="G15" s="2545" t="str">
        <f>G3</f>
        <v>位于通州区台湖镇星湖科技园，该园区建设成熟，周边有新华联工业园、台铭企业花园等项目，产业集聚程度较好</v>
      </c>
    </row>
    <row r="16" spans="1:29" ht="38.25">
      <c r="A16" s="2546"/>
      <c r="B16" s="2547" t="s">
        <v>656</v>
      </c>
      <c r="C16" s="2548">
        <f>C4</f>
        <v>0</v>
      </c>
      <c r="D16" s="2517"/>
      <c r="E16" s="2549"/>
      <c r="F16" s="2550" t="s">
        <v>657</v>
      </c>
      <c r="G16" s="2551" t="str">
        <f>G4</f>
        <v>周边路网密集，行车出入便捷，周边有通11、通12、通68路等公共线路及地铁7号线经过，交通状况较好；</v>
      </c>
    </row>
    <row r="17" spans="1:18">
      <c r="A17" s="2546"/>
      <c r="B17" s="2547" t="s">
        <v>658</v>
      </c>
      <c r="C17" s="2548">
        <f>C5</f>
        <v>0</v>
      </c>
      <c r="D17" s="2525"/>
      <c r="E17" s="2549"/>
      <c r="F17" s="2550" t="s">
        <v>665</v>
      </c>
      <c r="G17" s="2552"/>
    </row>
    <row r="18" spans="1:18" ht="38.25">
      <c r="A18" s="2546"/>
      <c r="B18" s="2550" t="s">
        <v>657</v>
      </c>
      <c r="C18" s="2551">
        <f>C6</f>
        <v>0</v>
      </c>
      <c r="D18" s="2525"/>
      <c r="E18" s="2549"/>
      <c r="F18" s="2550" t="s">
        <v>661</v>
      </c>
      <c r="G18" s="2551" t="str">
        <f>G7</f>
        <v>区域内污染物排放及治理状况较好，周边无危险设施及污染源，环境状况较好</v>
      </c>
    </row>
    <row r="19" spans="1:18" ht="76.5">
      <c r="A19" s="2546"/>
      <c r="B19" s="2550" t="s">
        <v>665</v>
      </c>
      <c r="C19" s="2552"/>
      <c r="D19" s="2517"/>
      <c r="E19" s="2549"/>
      <c r="F19" s="1828" t="s">
        <v>458</v>
      </c>
      <c r="G19" s="2551" t="str">
        <f>G5</f>
        <v>周边2公里内的公共服务配套设施较齐备，有购物场所（华联超市）、医院（台湖镇口子社区卫生服务站）、银行（工商银行）、学校（台湖镇中心幼儿园）、餐饮等公共服务配套设施</v>
      </c>
    </row>
    <row r="20" spans="1:18">
      <c r="A20" s="2546"/>
      <c r="B20" s="2550" t="s">
        <v>666</v>
      </c>
      <c r="C20" s="2548">
        <f>C9</f>
        <v>0</v>
      </c>
      <c r="D20" s="2525"/>
      <c r="E20" s="2549"/>
      <c r="F20" s="1828" t="s">
        <v>660</v>
      </c>
      <c r="G20" s="2551" t="str">
        <f>G6</f>
        <v>七通</v>
      </c>
    </row>
    <row r="21" spans="1:18">
      <c r="A21" s="2546"/>
      <c r="B21" s="1828" t="s">
        <v>458</v>
      </c>
      <c r="C21" s="2551">
        <f>C7</f>
        <v>0</v>
      </c>
      <c r="D21" s="2517"/>
      <c r="E21" s="2549"/>
      <c r="F21" s="2550" t="s">
        <v>667</v>
      </c>
      <c r="G21" s="2553"/>
    </row>
    <row r="22" spans="1:18" ht="13.5" customHeight="1">
      <c r="A22" s="2546"/>
      <c r="B22" s="1828" t="s">
        <v>660</v>
      </c>
      <c r="C22" s="2551">
        <f>C8</f>
        <v>0</v>
      </c>
      <c r="D22" s="2517"/>
      <c r="E22" s="2549"/>
      <c r="F22" s="2550" t="s">
        <v>663</v>
      </c>
      <c r="G22" s="2552"/>
    </row>
    <row r="23" spans="1:18" s="2037" customFormat="1">
      <c r="A23" s="2546"/>
      <c r="B23" s="2550" t="s">
        <v>667</v>
      </c>
      <c r="C23" s="2553"/>
      <c r="D23" s="2438"/>
      <c r="E23" s="2554"/>
      <c r="F23" s="2555" t="s">
        <v>400</v>
      </c>
      <c r="G23" s="2556"/>
      <c r="H23" s="2505"/>
      <c r="I23" s="2506"/>
      <c r="J23" s="2505"/>
      <c r="K23" s="2505"/>
      <c r="L23" s="2506"/>
      <c r="M23" s="2505"/>
      <c r="N23" s="2505"/>
      <c r="O23" s="2506"/>
      <c r="P23" s="2505"/>
      <c r="Q23" s="2505"/>
      <c r="R23" s="2507"/>
    </row>
    <row r="24" spans="1:18" s="2037" customFormat="1">
      <c r="A24" s="2557"/>
      <c r="B24" s="2555" t="s">
        <v>663</v>
      </c>
      <c r="C24" s="2558">
        <f>C10</f>
        <v>0</v>
      </c>
      <c r="D24" s="2438"/>
      <c r="E24" s="2559"/>
      <c r="F24" s="2559"/>
      <c r="G24" s="2560"/>
      <c r="H24" s="2505"/>
      <c r="I24" s="2506"/>
      <c r="J24" s="2505"/>
      <c r="K24" s="2505"/>
      <c r="L24" s="2506"/>
      <c r="M24" s="2505"/>
      <c r="N24" s="2505"/>
      <c r="O24" s="2506"/>
      <c r="P24" s="2505"/>
      <c r="Q24" s="2505"/>
      <c r="R24" s="2507"/>
    </row>
    <row r="25" spans="1:18" s="2037" customFormat="1">
      <c r="B25" s="2505"/>
      <c r="C25" s="2505"/>
      <c r="D25" s="2505"/>
      <c r="H25" s="2505"/>
      <c r="I25" s="2506"/>
      <c r="J25" s="2505"/>
      <c r="K25" s="2505"/>
      <c r="L25" s="2506"/>
      <c r="M25" s="2505"/>
      <c r="N25" s="2505"/>
      <c r="O25" s="2506"/>
      <c r="P25" s="2505"/>
      <c r="Q25" s="2505"/>
      <c r="R25" s="2507"/>
    </row>
    <row r="26" spans="1:18" s="2037" customFormat="1">
      <c r="B26" s="2505"/>
      <c r="C26" s="2505"/>
      <c r="D26" s="2505"/>
      <c r="H26" s="2505"/>
      <c r="I26" s="2506"/>
      <c r="J26" s="2505"/>
      <c r="K26" s="2505"/>
      <c r="L26" s="2506"/>
      <c r="M26" s="2505"/>
      <c r="N26" s="2505"/>
      <c r="O26" s="2506"/>
      <c r="P26" s="2505"/>
      <c r="Q26" s="2505"/>
      <c r="R26" s="2507"/>
    </row>
    <row r="27" spans="1:18" s="2037" customFormat="1">
      <c r="B27" s="2505"/>
      <c r="C27" s="2505"/>
      <c r="D27" s="2505"/>
      <c r="H27" s="2505"/>
      <c r="I27" s="2506"/>
      <c r="J27" s="2505"/>
      <c r="K27" s="2505"/>
      <c r="L27" s="2506"/>
      <c r="M27" s="2505"/>
      <c r="N27" s="2505"/>
      <c r="O27" s="2506"/>
      <c r="P27" s="2505"/>
      <c r="Q27" s="2505"/>
      <c r="R27" s="2507"/>
    </row>
    <row r="28" spans="1:18" s="2037" customFormat="1">
      <c r="B28" s="2505"/>
      <c r="C28" s="2505"/>
      <c r="D28" s="2505"/>
      <c r="H28" s="2505"/>
      <c r="I28" s="2506"/>
      <c r="J28" s="2505"/>
      <c r="K28" s="2505"/>
      <c r="L28" s="2506"/>
      <c r="M28" s="2505"/>
      <c r="N28" s="2505"/>
      <c r="O28" s="2506"/>
      <c r="P28" s="2505"/>
      <c r="Q28" s="2505"/>
      <c r="R28" s="2507"/>
    </row>
    <row r="29" spans="1:18" s="2037" customFormat="1">
      <c r="B29" s="2505"/>
      <c r="C29" s="2505"/>
      <c r="D29" s="2505"/>
      <c r="H29" s="2505"/>
      <c r="I29" s="2506"/>
      <c r="J29" s="2505"/>
      <c r="K29" s="2505"/>
      <c r="L29" s="2506"/>
      <c r="M29" s="2505"/>
      <c r="N29" s="2505"/>
      <c r="O29" s="2506"/>
      <c r="P29" s="2505"/>
      <c r="Q29" s="2505"/>
      <c r="R29" s="2507"/>
    </row>
    <row r="30" spans="1:18" s="2037" customFormat="1">
      <c r="B30" s="2505"/>
      <c r="C30" s="2505"/>
      <c r="D30" s="2505"/>
      <c r="H30" s="2505"/>
      <c r="I30" s="2506"/>
      <c r="J30" s="2505"/>
      <c r="K30" s="2505"/>
      <c r="L30" s="2506"/>
      <c r="M30" s="2505"/>
      <c r="N30" s="2505"/>
      <c r="O30" s="2506"/>
      <c r="P30" s="2505"/>
      <c r="Q30" s="2505"/>
      <c r="R30" s="2507"/>
    </row>
    <row r="31" spans="1:18" s="2037" customFormat="1">
      <c r="B31" s="2505"/>
      <c r="C31" s="2505"/>
      <c r="D31" s="2505"/>
      <c r="H31" s="2505"/>
      <c r="I31" s="2506"/>
      <c r="J31" s="2505"/>
      <c r="K31" s="2505"/>
      <c r="L31" s="2506"/>
      <c r="M31" s="2505"/>
      <c r="N31" s="2505"/>
      <c r="O31" s="2506"/>
      <c r="P31" s="2505"/>
      <c r="Q31" s="2505"/>
      <c r="R31" s="2507"/>
    </row>
    <row r="32" spans="1:18" s="2037" customFormat="1">
      <c r="B32" s="2505"/>
      <c r="C32" s="2505"/>
      <c r="D32" s="2505"/>
      <c r="H32" s="2505"/>
      <c r="I32" s="2506"/>
      <c r="J32" s="2505"/>
      <c r="K32" s="2505"/>
      <c r="L32" s="2506"/>
      <c r="M32" s="2505"/>
      <c r="N32" s="2505"/>
      <c r="O32" s="2506"/>
      <c r="P32" s="2505"/>
      <c r="Q32" s="2505"/>
      <c r="R32" s="2507"/>
    </row>
    <row r="33" spans="2:18" s="2037" customFormat="1">
      <c r="B33" s="2505"/>
      <c r="C33" s="2505"/>
      <c r="D33" s="2505"/>
      <c r="H33" s="2505"/>
      <c r="I33" s="2506"/>
      <c r="J33" s="2505"/>
      <c r="K33" s="2505"/>
      <c r="L33" s="2506"/>
      <c r="M33" s="2505"/>
      <c r="N33" s="2505"/>
      <c r="O33" s="2506"/>
      <c r="P33" s="2505"/>
      <c r="Q33" s="2505"/>
      <c r="R33" s="2507"/>
    </row>
    <row r="34" spans="2:18" s="2037" customFormat="1">
      <c r="B34" s="2505"/>
      <c r="C34" s="2505"/>
      <c r="D34" s="2505"/>
      <c r="H34" s="2505"/>
      <c r="I34" s="2506"/>
      <c r="J34" s="2505"/>
      <c r="K34" s="2505"/>
      <c r="L34" s="2506"/>
      <c r="M34" s="2505"/>
      <c r="N34" s="2505"/>
      <c r="O34" s="2506"/>
      <c r="P34" s="2505"/>
      <c r="Q34" s="2505"/>
      <c r="R34" s="2507"/>
    </row>
    <row r="35" spans="2:18" s="2037" customFormat="1">
      <c r="B35" s="2505"/>
      <c r="C35" s="2505"/>
      <c r="D35" s="2505"/>
      <c r="H35" s="2505"/>
      <c r="I35" s="2506"/>
      <c r="J35" s="2505"/>
      <c r="K35" s="2505"/>
      <c r="L35" s="2506"/>
      <c r="M35" s="2505"/>
      <c r="N35" s="2505"/>
      <c r="O35" s="2506"/>
      <c r="P35" s="2505"/>
      <c r="Q35" s="2505"/>
      <c r="R35" s="2507"/>
    </row>
    <row r="36" spans="2:18" s="2037" customFormat="1">
      <c r="B36" s="2505"/>
      <c r="C36" s="2505"/>
      <c r="D36" s="2505"/>
      <c r="H36" s="2505"/>
      <c r="I36" s="2506"/>
      <c r="J36" s="2505"/>
      <c r="K36" s="2505"/>
      <c r="L36" s="2506"/>
      <c r="M36" s="2505"/>
      <c r="N36" s="2505"/>
      <c r="O36" s="2506"/>
      <c r="P36" s="2505"/>
      <c r="Q36" s="2505"/>
      <c r="R36" s="2507"/>
    </row>
    <row r="37" spans="2:18" s="2037" customFormat="1">
      <c r="B37" s="2505"/>
      <c r="C37" s="2505"/>
      <c r="D37" s="2505"/>
      <c r="H37" s="2505"/>
      <c r="I37" s="2506"/>
      <c r="J37" s="2505"/>
      <c r="K37" s="2505"/>
      <c r="L37" s="2506"/>
      <c r="M37" s="2505"/>
      <c r="N37" s="2505"/>
      <c r="O37" s="2506"/>
      <c r="P37" s="2505"/>
      <c r="Q37" s="2505"/>
      <c r="R37" s="2507"/>
    </row>
    <row r="38" spans="2:18" s="2037" customFormat="1">
      <c r="B38" s="2505"/>
      <c r="C38" s="2505"/>
      <c r="D38" s="2505"/>
      <c r="E38" s="2505"/>
      <c r="F38" s="2505"/>
      <c r="G38" s="2506"/>
      <c r="H38" s="2505"/>
      <c r="I38" s="2506"/>
      <c r="J38" s="2505"/>
      <c r="K38" s="2505"/>
      <c r="L38" s="2506"/>
      <c r="M38" s="2505"/>
      <c r="N38" s="2505"/>
      <c r="O38" s="2506"/>
      <c r="P38" s="2505"/>
      <c r="Q38" s="2505"/>
      <c r="R38" s="2507"/>
    </row>
    <row r="39" spans="2:18" s="2037" customFormat="1">
      <c r="B39" s="2505"/>
      <c r="C39" s="2505"/>
      <c r="D39" s="2505"/>
      <c r="E39" s="2505"/>
      <c r="F39" s="2505"/>
      <c r="G39" s="2506"/>
      <c r="H39" s="2505"/>
      <c r="I39" s="2506"/>
      <c r="J39" s="2505"/>
      <c r="K39" s="2505"/>
      <c r="L39" s="2506"/>
      <c r="M39" s="2505"/>
      <c r="N39" s="2505"/>
      <c r="O39" s="2506"/>
      <c r="P39" s="2505"/>
      <c r="Q39" s="2505"/>
      <c r="R39" s="2507"/>
    </row>
    <row r="40" spans="2:18" s="2037" customFormat="1">
      <c r="B40" s="2505"/>
      <c r="C40" s="2505"/>
      <c r="D40" s="2505"/>
      <c r="E40" s="2505"/>
      <c r="F40" s="2505"/>
      <c r="G40" s="2506"/>
      <c r="H40" s="2505"/>
      <c r="I40" s="2506"/>
      <c r="J40" s="2505"/>
      <c r="K40" s="2505"/>
      <c r="L40" s="2506"/>
      <c r="M40" s="2505"/>
      <c r="N40" s="2505"/>
      <c r="O40" s="2506"/>
      <c r="P40" s="2505"/>
      <c r="Q40" s="2505"/>
      <c r="R40" s="2507"/>
    </row>
    <row r="41" spans="2:18" s="2037" customFormat="1">
      <c r="B41" s="2505"/>
      <c r="C41" s="2505"/>
      <c r="D41" s="2505"/>
      <c r="E41" s="2505"/>
      <c r="F41" s="2505"/>
      <c r="G41" s="2506"/>
      <c r="H41" s="2505"/>
      <c r="I41" s="2506"/>
      <c r="J41" s="2505"/>
      <c r="K41" s="2505"/>
      <c r="L41" s="2506"/>
      <c r="M41" s="2505"/>
      <c r="N41" s="2505"/>
      <c r="O41" s="2506"/>
      <c r="P41" s="2505"/>
      <c r="Q41" s="2505"/>
      <c r="R41" s="2507"/>
    </row>
    <row r="42" spans="2:18" s="2037" customFormat="1">
      <c r="B42" s="2505"/>
      <c r="C42" s="2505"/>
      <c r="D42" s="2505"/>
      <c r="E42" s="2505"/>
      <c r="F42" s="2505"/>
      <c r="G42" s="2506"/>
      <c r="H42" s="2505"/>
      <c r="I42" s="2506"/>
      <c r="J42" s="2505"/>
      <c r="K42" s="2505"/>
      <c r="L42" s="2506"/>
      <c r="M42" s="2505"/>
      <c r="N42" s="2505"/>
      <c r="O42" s="2506"/>
      <c r="P42" s="2505"/>
      <c r="Q42" s="2505"/>
      <c r="R42" s="2507"/>
    </row>
    <row r="43" spans="2:18" s="2037" customFormat="1">
      <c r="B43" s="2505"/>
      <c r="C43" s="2505"/>
      <c r="D43" s="2505"/>
      <c r="E43" s="2505"/>
      <c r="F43" s="2505"/>
      <c r="G43" s="2506"/>
      <c r="H43" s="2505"/>
      <c r="I43" s="2506"/>
      <c r="J43" s="2505"/>
      <c r="K43" s="2505"/>
      <c r="L43" s="2506"/>
      <c r="M43" s="2505"/>
      <c r="N43" s="2505"/>
      <c r="O43" s="2506"/>
      <c r="P43" s="2505"/>
      <c r="Q43" s="2505"/>
      <c r="R43" s="2507"/>
    </row>
    <row r="44" spans="2:18" s="2037" customFormat="1">
      <c r="B44" s="2505"/>
      <c r="C44" s="2505"/>
      <c r="D44" s="2505"/>
      <c r="E44" s="2505"/>
      <c r="F44" s="2505"/>
      <c r="G44" s="2506"/>
      <c r="H44" s="2505"/>
      <c r="I44" s="2506"/>
      <c r="J44" s="2505"/>
      <c r="K44" s="2505"/>
      <c r="L44" s="2506"/>
      <c r="M44" s="2505"/>
      <c r="N44" s="2505"/>
      <c r="O44" s="2506"/>
      <c r="P44" s="2505"/>
      <c r="Q44" s="2505"/>
      <c r="R44" s="2507"/>
    </row>
    <row r="45" spans="2:18" s="2037" customFormat="1">
      <c r="B45" s="2505"/>
      <c r="C45" s="2505"/>
      <c r="D45" s="2505"/>
      <c r="E45" s="2505"/>
      <c r="F45" s="2505"/>
      <c r="G45" s="2506"/>
      <c r="H45" s="2505"/>
      <c r="I45" s="2506"/>
      <c r="J45" s="2505"/>
      <c r="K45" s="2505"/>
      <c r="L45" s="2506"/>
      <c r="M45" s="2505"/>
      <c r="N45" s="2505"/>
      <c r="O45" s="2506"/>
      <c r="P45" s="2505"/>
      <c r="Q45" s="2505"/>
      <c r="R45" s="2507"/>
    </row>
    <row r="46" spans="2:18" s="2037" customFormat="1">
      <c r="B46" s="2505"/>
      <c r="C46" s="2505"/>
      <c r="D46" s="2505"/>
      <c r="E46" s="2505"/>
      <c r="F46" s="2505"/>
      <c r="G46" s="2506"/>
      <c r="H46" s="2505"/>
      <c r="I46" s="2506"/>
      <c r="J46" s="2505"/>
      <c r="K46" s="2505"/>
      <c r="L46" s="2506"/>
      <c r="M46" s="2505"/>
      <c r="N46" s="2505"/>
      <c r="O46" s="2506"/>
      <c r="P46" s="2505"/>
      <c r="Q46" s="2505"/>
      <c r="R46" s="2507"/>
    </row>
    <row r="47" spans="2:18" s="2037" customFormat="1">
      <c r="B47" s="2505"/>
      <c r="C47" s="2505"/>
      <c r="D47" s="2505"/>
      <c r="E47" s="2505"/>
      <c r="F47" s="2505"/>
      <c r="G47" s="2506"/>
      <c r="H47" s="2505"/>
      <c r="I47" s="2506"/>
      <c r="J47" s="2505"/>
      <c r="K47" s="2505"/>
      <c r="L47" s="2506"/>
      <c r="M47" s="2505"/>
      <c r="N47" s="2505"/>
      <c r="O47" s="2506"/>
      <c r="P47" s="2505"/>
      <c r="Q47" s="2505"/>
      <c r="R47" s="2507"/>
    </row>
    <row r="48" spans="2:18" s="2037" customFormat="1">
      <c r="B48" s="2505"/>
      <c r="C48" s="2505"/>
      <c r="D48" s="2505"/>
      <c r="E48" s="2505"/>
      <c r="F48" s="2505"/>
      <c r="G48" s="2506"/>
      <c r="H48" s="2505"/>
      <c r="I48" s="2506"/>
      <c r="J48" s="2505"/>
      <c r="K48" s="2505"/>
      <c r="L48" s="2506"/>
      <c r="M48" s="2505"/>
      <c r="N48" s="2505"/>
      <c r="O48" s="2506"/>
      <c r="P48" s="2505"/>
      <c r="Q48" s="2505"/>
      <c r="R48" s="2507"/>
    </row>
    <row r="49" spans="2:18" s="2037" customFormat="1">
      <c r="B49" s="2505"/>
      <c r="C49" s="2505"/>
      <c r="D49" s="2505"/>
      <c r="E49" s="2505"/>
      <c r="F49" s="2505"/>
      <c r="G49" s="2506"/>
      <c r="H49" s="2505"/>
      <c r="I49" s="2506"/>
      <c r="J49" s="2505"/>
      <c r="K49" s="2505"/>
      <c r="L49" s="2506"/>
      <c r="M49" s="2505"/>
      <c r="N49" s="2505"/>
      <c r="O49" s="2506"/>
      <c r="P49" s="2505"/>
      <c r="Q49" s="2505"/>
      <c r="R49" s="2507"/>
    </row>
    <row r="50" spans="2:18" s="2037" customFormat="1">
      <c r="B50" s="2505"/>
      <c r="C50" s="2505"/>
      <c r="D50" s="2505"/>
      <c r="E50" s="2505"/>
      <c r="F50" s="2505"/>
      <c r="G50" s="2506"/>
      <c r="H50" s="2505"/>
      <c r="I50" s="2506"/>
      <c r="J50" s="2505"/>
      <c r="K50" s="2505"/>
      <c r="L50" s="2506"/>
      <c r="M50" s="2505"/>
      <c r="N50" s="2505"/>
      <c r="O50" s="2506"/>
      <c r="P50" s="2505"/>
      <c r="Q50" s="2505"/>
      <c r="R50" s="2507"/>
    </row>
    <row r="51" spans="2:18" s="2037" customFormat="1">
      <c r="B51" s="2505"/>
      <c r="C51" s="2505"/>
      <c r="D51" s="2505"/>
      <c r="E51" s="2505"/>
      <c r="F51" s="2505"/>
      <c r="G51" s="2506"/>
      <c r="H51" s="2505"/>
      <c r="I51" s="2506"/>
      <c r="J51" s="2505"/>
      <c r="K51" s="2505"/>
      <c r="L51" s="2506"/>
      <c r="M51" s="2505"/>
      <c r="N51" s="2505"/>
      <c r="O51" s="2506"/>
      <c r="P51" s="2505"/>
      <c r="Q51" s="2505"/>
      <c r="R51" s="2507"/>
    </row>
    <row r="52" spans="2:18" s="2037" customFormat="1">
      <c r="B52" s="2505"/>
      <c r="C52" s="2505"/>
      <c r="D52" s="2505"/>
      <c r="E52" s="2505"/>
      <c r="F52" s="2505"/>
      <c r="G52" s="2506"/>
      <c r="H52" s="2505"/>
      <c r="I52" s="2506"/>
      <c r="J52" s="2505"/>
      <c r="K52" s="2505"/>
      <c r="L52" s="2506"/>
      <c r="M52" s="2505"/>
      <c r="N52" s="2505"/>
      <c r="O52" s="2506"/>
      <c r="P52" s="2505"/>
      <c r="Q52" s="2505"/>
      <c r="R52" s="2507"/>
    </row>
    <row r="53" spans="2:18" s="2037" customFormat="1">
      <c r="B53" s="2505"/>
      <c r="C53" s="2505"/>
      <c r="D53" s="2505"/>
      <c r="E53" s="2505"/>
      <c r="F53" s="2505"/>
      <c r="G53" s="2506"/>
      <c r="H53" s="2505"/>
      <c r="I53" s="2506"/>
      <c r="J53" s="2505"/>
      <c r="K53" s="2505"/>
      <c r="L53" s="2506"/>
      <c r="M53" s="2505"/>
      <c r="N53" s="2505"/>
      <c r="O53" s="2506"/>
      <c r="P53" s="2505"/>
      <c r="Q53" s="2505"/>
      <c r="R53" s="2507"/>
    </row>
    <row r="54" spans="2:18" s="2037" customFormat="1">
      <c r="B54" s="2505"/>
      <c r="C54" s="2505"/>
      <c r="D54" s="2505"/>
      <c r="E54" s="2505"/>
      <c r="F54" s="2505"/>
      <c r="G54" s="2506"/>
      <c r="H54" s="2505"/>
      <c r="I54" s="2506"/>
      <c r="J54" s="2505"/>
      <c r="K54" s="2505"/>
      <c r="L54" s="2506"/>
      <c r="M54" s="2505"/>
      <c r="N54" s="2505"/>
      <c r="O54" s="2506"/>
      <c r="P54" s="2505"/>
      <c r="Q54" s="2505"/>
      <c r="R54" s="2507"/>
    </row>
    <row r="55" spans="2:18" s="2037" customFormat="1">
      <c r="B55" s="2505"/>
      <c r="C55" s="2505"/>
      <c r="D55" s="2505"/>
      <c r="E55" s="2505"/>
      <c r="F55" s="2505"/>
      <c r="G55" s="2506"/>
      <c r="H55" s="2505"/>
      <c r="I55" s="2506"/>
      <c r="J55" s="2505"/>
      <c r="K55" s="2505"/>
      <c r="L55" s="2506"/>
      <c r="M55" s="2505"/>
      <c r="N55" s="2505"/>
      <c r="O55" s="2506"/>
      <c r="P55" s="2505"/>
      <c r="Q55" s="2505"/>
      <c r="R55" s="2507"/>
    </row>
    <row r="56" spans="2:18" s="2037" customFormat="1">
      <c r="B56" s="2505"/>
      <c r="C56" s="2505"/>
      <c r="D56" s="2505"/>
      <c r="E56" s="2505"/>
      <c r="F56" s="2505"/>
      <c r="G56" s="2506"/>
      <c r="H56" s="2505"/>
      <c r="I56" s="2506"/>
      <c r="J56" s="2505"/>
      <c r="K56" s="2505"/>
      <c r="L56" s="2506"/>
      <c r="M56" s="2505"/>
      <c r="N56" s="2505"/>
      <c r="O56" s="2506"/>
      <c r="P56" s="2505"/>
      <c r="Q56" s="2505"/>
      <c r="R56" s="2507"/>
    </row>
    <row r="57" spans="2:18" s="2037" customFormat="1">
      <c r="B57" s="2505"/>
      <c r="C57" s="2505"/>
      <c r="D57" s="2505"/>
      <c r="E57" s="2505"/>
      <c r="F57" s="2505"/>
      <c r="G57" s="2506"/>
      <c r="H57" s="2505"/>
      <c r="I57" s="2506"/>
      <c r="J57" s="2505"/>
      <c r="K57" s="2505"/>
      <c r="L57" s="2506"/>
      <c r="M57" s="2505"/>
      <c r="N57" s="2505"/>
      <c r="O57" s="2506"/>
      <c r="P57" s="2505"/>
      <c r="Q57" s="2505"/>
      <c r="R57" s="2507"/>
    </row>
    <row r="58" spans="2:18" s="2037" customFormat="1">
      <c r="B58" s="2505"/>
      <c r="C58" s="2505"/>
      <c r="D58" s="2505"/>
      <c r="E58" s="2505"/>
      <c r="F58" s="2505"/>
      <c r="G58" s="2506"/>
      <c r="H58" s="2505"/>
      <c r="I58" s="2506"/>
      <c r="J58" s="2505"/>
      <c r="K58" s="2505"/>
      <c r="L58" s="2506"/>
      <c r="M58" s="2505"/>
      <c r="N58" s="2505"/>
      <c r="O58" s="2506"/>
      <c r="P58" s="2505"/>
      <c r="Q58" s="2505"/>
      <c r="R58" s="2507"/>
    </row>
    <row r="59" spans="2:18" s="2037" customFormat="1">
      <c r="B59" s="2505"/>
      <c r="C59" s="2505"/>
      <c r="D59" s="2505"/>
      <c r="E59" s="2505"/>
      <c r="F59" s="2505"/>
      <c r="G59" s="2506"/>
      <c r="H59" s="2505"/>
      <c r="I59" s="2506"/>
      <c r="J59" s="2505"/>
      <c r="K59" s="2505"/>
      <c r="L59" s="2506"/>
      <c r="M59" s="2505"/>
      <c r="N59" s="2505"/>
      <c r="O59" s="2506"/>
      <c r="P59" s="2505"/>
      <c r="Q59" s="2505"/>
      <c r="R59" s="2507"/>
    </row>
    <row r="60" spans="2:18" s="2037" customFormat="1">
      <c r="B60" s="2505"/>
      <c r="C60" s="2505"/>
      <c r="D60" s="2505"/>
      <c r="E60" s="2505"/>
      <c r="F60" s="2505"/>
      <c r="G60" s="2506"/>
      <c r="H60" s="2505"/>
      <c r="I60" s="2506"/>
      <c r="J60" s="2505"/>
      <c r="K60" s="2505"/>
      <c r="L60" s="2506"/>
      <c r="M60" s="2505"/>
      <c r="N60" s="2505"/>
      <c r="O60" s="2506"/>
      <c r="P60" s="2505"/>
      <c r="Q60" s="2505"/>
      <c r="R60" s="2507"/>
    </row>
    <row r="61" spans="2:18" s="2037" customFormat="1">
      <c r="B61" s="2505"/>
      <c r="C61" s="2505"/>
      <c r="D61" s="2505"/>
      <c r="E61" s="2505"/>
      <c r="F61" s="2505"/>
      <c r="G61" s="2506"/>
      <c r="H61" s="2505"/>
      <c r="I61" s="2506"/>
      <c r="J61" s="2505"/>
      <c r="K61" s="2505"/>
      <c r="L61" s="2506"/>
      <c r="M61" s="2505"/>
      <c r="N61" s="2505"/>
      <c r="O61" s="2506"/>
      <c r="P61" s="2505"/>
      <c r="Q61" s="2505"/>
      <c r="R61" s="2507"/>
    </row>
    <row r="62" spans="2:18" s="2037" customFormat="1">
      <c r="B62" s="2505"/>
      <c r="C62" s="2505"/>
      <c r="D62" s="2505"/>
      <c r="E62" s="2505"/>
      <c r="F62" s="2505"/>
      <c r="G62" s="2506"/>
      <c r="H62" s="2505"/>
      <c r="I62" s="2506"/>
      <c r="J62" s="2505"/>
      <c r="K62" s="2505"/>
      <c r="L62" s="2506"/>
      <c r="M62" s="2505"/>
      <c r="N62" s="2505"/>
      <c r="O62" s="2506"/>
      <c r="P62" s="2505"/>
      <c r="Q62" s="2505"/>
      <c r="R62" s="2507"/>
    </row>
    <row r="63" spans="2:18" s="2037" customFormat="1">
      <c r="B63" s="2505"/>
      <c r="C63" s="2505"/>
      <c r="D63" s="2505"/>
      <c r="E63" s="2505"/>
      <c r="F63" s="2505"/>
      <c r="G63" s="2506"/>
      <c r="H63" s="2505"/>
      <c r="I63" s="2506"/>
      <c r="J63" s="2505"/>
      <c r="K63" s="2505"/>
      <c r="L63" s="2506"/>
      <c r="M63" s="2505"/>
      <c r="N63" s="2505"/>
      <c r="O63" s="2506"/>
      <c r="P63" s="2505"/>
      <c r="Q63" s="2505"/>
      <c r="R63" s="2507"/>
    </row>
    <row r="64" spans="2:18" s="2037" customFormat="1">
      <c r="B64" s="2505"/>
      <c r="C64" s="2505"/>
      <c r="D64" s="2505"/>
      <c r="E64" s="2505"/>
      <c r="F64" s="2505"/>
      <c r="G64" s="2506"/>
      <c r="H64" s="2505"/>
      <c r="I64" s="2506"/>
      <c r="J64" s="2505"/>
      <c r="K64" s="2505"/>
      <c r="L64" s="2506"/>
      <c r="M64" s="2505"/>
      <c r="N64" s="2505"/>
      <c r="O64" s="2506"/>
      <c r="P64" s="2505"/>
      <c r="Q64" s="2505"/>
      <c r="R64" s="2507"/>
    </row>
    <row r="65" spans="2:18" s="2037" customFormat="1">
      <c r="B65" s="2505"/>
      <c r="C65" s="2505"/>
      <c r="D65" s="2505"/>
      <c r="E65" s="2505"/>
      <c r="F65" s="2505"/>
      <c r="G65" s="2506"/>
      <c r="H65" s="2505"/>
      <c r="I65" s="2506"/>
      <c r="J65" s="2505"/>
      <c r="K65" s="2505"/>
      <c r="L65" s="2506"/>
      <c r="M65" s="2505"/>
      <c r="N65" s="2505"/>
      <c r="O65" s="2506"/>
      <c r="P65" s="2505"/>
      <c r="Q65" s="2505"/>
      <c r="R65" s="2507"/>
    </row>
    <row r="66" spans="2:18" s="2037" customFormat="1">
      <c r="B66" s="2505"/>
      <c r="C66" s="2505"/>
      <c r="D66" s="2505"/>
      <c r="E66" s="2505"/>
      <c r="F66" s="2505"/>
      <c r="G66" s="2506"/>
      <c r="H66" s="2505"/>
      <c r="I66" s="2506"/>
      <c r="J66" s="2505"/>
      <c r="K66" s="2505"/>
      <c r="L66" s="2506"/>
      <c r="M66" s="2505"/>
      <c r="N66" s="2505"/>
      <c r="O66" s="2506"/>
      <c r="P66" s="2505"/>
      <c r="Q66" s="2505"/>
      <c r="R66" s="2507"/>
    </row>
    <row r="67" spans="2:18" s="2037" customFormat="1">
      <c r="B67" s="2505"/>
      <c r="C67" s="2505"/>
      <c r="D67" s="2505"/>
      <c r="E67" s="2505"/>
      <c r="F67" s="2505"/>
      <c r="G67" s="2506"/>
      <c r="H67" s="2505"/>
      <c r="I67" s="2506"/>
      <c r="J67" s="2505"/>
      <c r="K67" s="2505"/>
      <c r="L67" s="2506"/>
      <c r="M67" s="2505"/>
      <c r="N67" s="2505"/>
      <c r="O67" s="2506"/>
      <c r="P67" s="2505"/>
      <c r="Q67" s="2505"/>
      <c r="R67" s="2507"/>
    </row>
    <row r="68" spans="2:18" s="2037" customFormat="1">
      <c r="B68" s="2505"/>
      <c r="C68" s="2505"/>
      <c r="D68" s="2505"/>
      <c r="E68" s="2505"/>
      <c r="F68" s="2505"/>
      <c r="G68" s="2506"/>
      <c r="H68" s="2505"/>
      <c r="I68" s="2506"/>
      <c r="J68" s="2505"/>
      <c r="K68" s="2505"/>
      <c r="L68" s="2506"/>
      <c r="M68" s="2505"/>
      <c r="N68" s="2505"/>
      <c r="O68" s="2506"/>
      <c r="P68" s="2505"/>
      <c r="Q68" s="2505"/>
      <c r="R68" s="2507"/>
    </row>
    <row r="69" spans="2:18" s="2037" customFormat="1">
      <c r="B69" s="2505"/>
      <c r="C69" s="2505"/>
      <c r="D69" s="2505"/>
      <c r="E69" s="2505"/>
      <c r="F69" s="2505"/>
      <c r="G69" s="2506"/>
      <c r="H69" s="2505"/>
      <c r="I69" s="2506"/>
      <c r="J69" s="2505"/>
      <c r="K69" s="2505"/>
      <c r="L69" s="2506"/>
      <c r="M69" s="2505"/>
      <c r="N69" s="2505"/>
      <c r="O69" s="2506"/>
      <c r="P69" s="2505"/>
      <c r="Q69" s="2505"/>
      <c r="R69" s="2507"/>
    </row>
    <row r="70" spans="2:18" s="2037" customFormat="1">
      <c r="B70" s="2505"/>
      <c r="C70" s="2505"/>
      <c r="D70" s="2505"/>
      <c r="E70" s="2505"/>
      <c r="F70" s="2505"/>
      <c r="G70" s="2506"/>
      <c r="H70" s="2505"/>
      <c r="I70" s="2506"/>
      <c r="J70" s="2505"/>
      <c r="K70" s="2505"/>
      <c r="L70" s="2506"/>
      <c r="M70" s="2505"/>
      <c r="N70" s="2505"/>
      <c r="O70" s="2506"/>
      <c r="P70" s="2505"/>
      <c r="Q70" s="2505"/>
      <c r="R70" s="2507"/>
    </row>
    <row r="71" spans="2:18" s="2037" customFormat="1">
      <c r="B71" s="2505"/>
      <c r="C71" s="2505"/>
      <c r="D71" s="2505"/>
      <c r="E71" s="2505"/>
      <c r="F71" s="2505"/>
      <c r="G71" s="2506"/>
      <c r="H71" s="2505"/>
      <c r="I71" s="2506"/>
      <c r="J71" s="2505"/>
      <c r="K71" s="2505"/>
      <c r="L71" s="2506"/>
      <c r="M71" s="2505"/>
      <c r="N71" s="2505"/>
      <c r="O71" s="2506"/>
      <c r="P71" s="2505"/>
      <c r="Q71" s="2505"/>
      <c r="R71" s="2507"/>
    </row>
    <row r="72" spans="2:18" s="2037" customFormat="1">
      <c r="B72" s="2505"/>
      <c r="C72" s="2505"/>
      <c r="D72" s="2505"/>
      <c r="E72" s="2505"/>
      <c r="F72" s="2505"/>
      <c r="G72" s="2506"/>
      <c r="H72" s="2505"/>
      <c r="I72" s="2506"/>
      <c r="J72" s="2505"/>
      <c r="K72" s="2505"/>
      <c r="L72" s="2506"/>
      <c r="M72" s="2505"/>
      <c r="N72" s="2505"/>
      <c r="O72" s="2506"/>
      <c r="P72" s="2505"/>
      <c r="Q72" s="2505"/>
      <c r="R72" s="2507"/>
    </row>
    <row r="73" spans="2:18" s="2037" customFormat="1">
      <c r="B73" s="2505"/>
      <c r="C73" s="2505"/>
      <c r="D73" s="2505"/>
      <c r="E73" s="2505"/>
      <c r="F73" s="2505"/>
      <c r="G73" s="2506"/>
      <c r="H73" s="2505"/>
      <c r="I73" s="2506"/>
      <c r="J73" s="2505"/>
      <c r="K73" s="2505"/>
      <c r="L73" s="2506"/>
      <c r="M73" s="2505"/>
      <c r="N73" s="2505"/>
      <c r="O73" s="2506"/>
      <c r="P73" s="2505"/>
      <c r="Q73" s="2505"/>
      <c r="R73" s="2507"/>
    </row>
    <row r="74" spans="2:18" s="2037" customFormat="1">
      <c r="B74" s="2505"/>
      <c r="C74" s="2505"/>
      <c r="D74" s="2505"/>
      <c r="E74" s="2505"/>
      <c r="F74" s="2505"/>
      <c r="G74" s="2506"/>
      <c r="H74" s="2505"/>
      <c r="I74" s="2506"/>
      <c r="J74" s="2505"/>
      <c r="K74" s="2505"/>
      <c r="L74" s="2506"/>
      <c r="M74" s="2505"/>
      <c r="N74" s="2505"/>
      <c r="O74" s="2506"/>
      <c r="P74" s="2505"/>
      <c r="Q74" s="2505"/>
      <c r="R74" s="2507"/>
    </row>
    <row r="75" spans="2:18" s="2037" customFormat="1">
      <c r="B75" s="2505"/>
      <c r="C75" s="2505"/>
      <c r="D75" s="2505"/>
      <c r="E75" s="2505"/>
      <c r="F75" s="2505"/>
      <c r="G75" s="2506"/>
      <c r="H75" s="2505"/>
      <c r="I75" s="2506"/>
      <c r="J75" s="2505"/>
      <c r="K75" s="2505"/>
      <c r="L75" s="2506"/>
      <c r="M75" s="2505"/>
      <c r="N75" s="2505"/>
      <c r="O75" s="2506"/>
      <c r="P75" s="2505"/>
      <c r="Q75" s="2505"/>
      <c r="R75" s="2507"/>
    </row>
    <row r="76" spans="2:18" s="2037" customFormat="1">
      <c r="B76" s="2505"/>
      <c r="C76" s="2505"/>
      <c r="D76" s="2505"/>
      <c r="E76" s="2505"/>
      <c r="F76" s="2505"/>
      <c r="G76" s="2506"/>
      <c r="H76" s="2505"/>
      <c r="I76" s="2506"/>
      <c r="J76" s="2505"/>
      <c r="K76" s="2505"/>
      <c r="L76" s="2506"/>
      <c r="M76" s="2505"/>
      <c r="N76" s="2505"/>
      <c r="O76" s="2506"/>
      <c r="P76" s="2505"/>
      <c r="Q76" s="2505"/>
      <c r="R76" s="2507"/>
    </row>
    <row r="77" spans="2:18" s="2037" customFormat="1">
      <c r="B77" s="2505"/>
      <c r="C77" s="2505"/>
      <c r="D77" s="2505"/>
      <c r="E77" s="2505"/>
      <c r="F77" s="2505"/>
      <c r="G77" s="2506"/>
      <c r="H77" s="2505"/>
      <c r="I77" s="2506"/>
      <c r="J77" s="2505"/>
      <c r="K77" s="2505"/>
      <c r="L77" s="2506"/>
      <c r="M77" s="2505"/>
      <c r="N77" s="2505"/>
      <c r="O77" s="2506"/>
      <c r="P77" s="2505"/>
      <c r="Q77" s="2505"/>
      <c r="R77" s="2507"/>
    </row>
    <row r="78" spans="2:18" s="2037" customFormat="1">
      <c r="B78" s="2505"/>
      <c r="C78" s="2505"/>
      <c r="D78" s="2505"/>
      <c r="E78" s="2505"/>
      <c r="F78" s="2505"/>
      <c r="G78" s="2506"/>
      <c r="H78" s="2505"/>
      <c r="I78" s="2506"/>
      <c r="J78" s="2505"/>
      <c r="K78" s="2505"/>
      <c r="L78" s="2506"/>
      <c r="M78" s="2505"/>
      <c r="N78" s="2505"/>
      <c r="O78" s="2506"/>
      <c r="P78" s="2505"/>
      <c r="Q78" s="2505"/>
      <c r="R78" s="2507"/>
    </row>
    <row r="79" spans="2:18" s="2037" customFormat="1">
      <c r="B79" s="2505"/>
      <c r="C79" s="2505"/>
      <c r="D79" s="2505"/>
      <c r="E79" s="2505"/>
      <c r="F79" s="2505"/>
      <c r="G79" s="2506"/>
      <c r="H79" s="2505"/>
      <c r="I79" s="2506"/>
      <c r="J79" s="2505"/>
      <c r="K79" s="2505"/>
      <c r="L79" s="2506"/>
      <c r="M79" s="2505"/>
      <c r="N79" s="2505"/>
      <c r="O79" s="2506"/>
      <c r="P79" s="2505"/>
      <c r="Q79" s="2505"/>
      <c r="R79" s="2507"/>
    </row>
    <row r="80" spans="2:18" s="2037" customFormat="1">
      <c r="B80" s="2505"/>
      <c r="C80" s="2505"/>
      <c r="D80" s="2505"/>
      <c r="E80" s="2505"/>
      <c r="F80" s="2505"/>
      <c r="G80" s="2506"/>
      <c r="H80" s="2505"/>
      <c r="I80" s="2506"/>
      <c r="J80" s="2505"/>
      <c r="K80" s="2505"/>
      <c r="L80" s="2506"/>
      <c r="M80" s="2505"/>
      <c r="N80" s="2505"/>
      <c r="O80" s="2506"/>
      <c r="P80" s="2505"/>
      <c r="Q80" s="2505"/>
      <c r="R80" s="2507"/>
    </row>
    <row r="81" spans="2:18" s="2037" customFormat="1">
      <c r="B81" s="2505"/>
      <c r="C81" s="2505"/>
      <c r="D81" s="2505"/>
      <c r="E81" s="2505"/>
      <c r="F81" s="2505"/>
      <c r="G81" s="2506"/>
      <c r="H81" s="2505"/>
      <c r="I81" s="2506"/>
      <c r="J81" s="2505"/>
      <c r="K81" s="2505"/>
      <c r="L81" s="2506"/>
      <c r="M81" s="2505"/>
      <c r="N81" s="2505"/>
      <c r="O81" s="2506"/>
      <c r="P81" s="2505"/>
      <c r="Q81" s="2505"/>
      <c r="R81" s="2507"/>
    </row>
    <row r="82" spans="2:18" s="2037" customFormat="1">
      <c r="B82" s="2505"/>
      <c r="C82" s="2505"/>
      <c r="D82" s="2505"/>
      <c r="E82" s="2505"/>
      <c r="F82" s="2505"/>
      <c r="G82" s="2506"/>
      <c r="H82" s="2505"/>
      <c r="I82" s="2506"/>
      <c r="J82" s="2505"/>
      <c r="K82" s="2505"/>
      <c r="L82" s="2506"/>
      <c r="M82" s="2505"/>
      <c r="N82" s="2505"/>
      <c r="O82" s="2506"/>
      <c r="P82" s="2505"/>
      <c r="Q82" s="2505"/>
      <c r="R82" s="2507"/>
    </row>
    <row r="83" spans="2:18" s="2037" customFormat="1">
      <c r="B83" s="2505"/>
      <c r="C83" s="2505"/>
      <c r="D83" s="2505"/>
      <c r="E83" s="2505"/>
      <c r="F83" s="2505"/>
      <c r="G83" s="2506"/>
      <c r="H83" s="2505"/>
      <c r="I83" s="2506"/>
      <c r="J83" s="2505"/>
      <c r="K83" s="2505"/>
      <c r="L83" s="2506"/>
      <c r="M83" s="2505"/>
      <c r="N83" s="2505"/>
      <c r="O83" s="2506"/>
      <c r="P83" s="2505"/>
      <c r="Q83" s="2505"/>
      <c r="R83" s="2507"/>
    </row>
    <row r="84" spans="2:18" s="2037" customFormat="1">
      <c r="B84" s="2505"/>
      <c r="C84" s="2505"/>
      <c r="D84" s="2505"/>
      <c r="E84" s="2505"/>
      <c r="F84" s="2505"/>
      <c r="G84" s="2506"/>
      <c r="H84" s="2505"/>
      <c r="I84" s="2506"/>
      <c r="J84" s="2505"/>
      <c r="K84" s="2505"/>
      <c r="L84" s="2506"/>
      <c r="M84" s="2505"/>
      <c r="N84" s="2505"/>
      <c r="O84" s="2506"/>
      <c r="P84" s="2505"/>
      <c r="Q84" s="2505"/>
      <c r="R84" s="2507"/>
    </row>
    <row r="85" spans="2:18" s="2037" customFormat="1">
      <c r="B85" s="2505"/>
      <c r="C85" s="2505"/>
      <c r="D85" s="2505"/>
      <c r="E85" s="2505"/>
      <c r="F85" s="2505"/>
      <c r="G85" s="2506"/>
      <c r="H85" s="2505"/>
      <c r="I85" s="2506"/>
      <c r="J85" s="2505"/>
      <c r="K85" s="2505"/>
      <c r="L85" s="2506"/>
      <c r="M85" s="2505"/>
      <c r="N85" s="2505"/>
      <c r="O85" s="2506"/>
      <c r="P85" s="2505"/>
      <c r="Q85" s="2505"/>
      <c r="R85" s="2507"/>
    </row>
    <row r="86" spans="2:18" s="2037" customFormat="1">
      <c r="B86" s="2505"/>
      <c r="C86" s="2505"/>
      <c r="D86" s="2505"/>
      <c r="E86" s="2505"/>
      <c r="F86" s="2505"/>
      <c r="G86" s="2506"/>
      <c r="H86" s="2505"/>
      <c r="I86" s="2506"/>
      <c r="J86" s="2505"/>
      <c r="K86" s="2505"/>
      <c r="L86" s="2506"/>
      <c r="M86" s="2505"/>
      <c r="N86" s="2505"/>
      <c r="O86" s="2506"/>
      <c r="P86" s="2505"/>
      <c r="Q86" s="2505"/>
      <c r="R86" s="2507"/>
    </row>
    <row r="87" spans="2:18" s="2037" customFormat="1">
      <c r="B87" s="2505"/>
      <c r="C87" s="2505"/>
      <c r="D87" s="2505"/>
      <c r="E87" s="2505"/>
      <c r="F87" s="2505"/>
      <c r="G87" s="2506"/>
      <c r="H87" s="2505"/>
      <c r="I87" s="2506"/>
      <c r="J87" s="2505"/>
      <c r="K87" s="2505"/>
      <c r="L87" s="2506"/>
      <c r="M87" s="2505"/>
      <c r="N87" s="2505"/>
      <c r="O87" s="2506"/>
      <c r="P87" s="2505"/>
      <c r="Q87" s="2505"/>
      <c r="R87" s="2507"/>
    </row>
    <row r="88" spans="2:18" s="2037" customFormat="1">
      <c r="B88" s="2505"/>
      <c r="C88" s="2505"/>
      <c r="D88" s="2505"/>
      <c r="E88" s="2505"/>
      <c r="F88" s="2505"/>
      <c r="G88" s="2506"/>
      <c r="H88" s="2505"/>
      <c r="I88" s="2506"/>
      <c r="J88" s="2505"/>
      <c r="K88" s="2505"/>
      <c r="L88" s="2506"/>
      <c r="M88" s="2505"/>
      <c r="N88" s="2505"/>
      <c r="O88" s="2506"/>
      <c r="P88" s="2505"/>
      <c r="Q88" s="2505"/>
      <c r="R88" s="2507"/>
    </row>
    <row r="89" spans="2:18" s="2037" customFormat="1">
      <c r="B89" s="2505"/>
      <c r="C89" s="2505"/>
      <c r="D89" s="2505"/>
      <c r="E89" s="2505"/>
      <c r="F89" s="2505"/>
      <c r="G89" s="2506"/>
      <c r="H89" s="2505"/>
      <c r="I89" s="2506"/>
      <c r="J89" s="2505"/>
      <c r="K89" s="2505"/>
      <c r="L89" s="2506"/>
      <c r="M89" s="2505"/>
      <c r="N89" s="2505"/>
      <c r="O89" s="2506"/>
      <c r="P89" s="2505"/>
      <c r="Q89" s="2505"/>
      <c r="R89" s="2507"/>
    </row>
    <row r="90" spans="2:18" s="2037" customFormat="1">
      <c r="B90" s="2505"/>
      <c r="C90" s="2505"/>
      <c r="D90" s="2505"/>
      <c r="E90" s="2505"/>
      <c r="F90" s="2505"/>
      <c r="G90" s="2506"/>
      <c r="H90" s="2505"/>
      <c r="I90" s="2506"/>
      <c r="J90" s="2505"/>
      <c r="K90" s="2505"/>
      <c r="L90" s="2506"/>
      <c r="M90" s="2505"/>
      <c r="N90" s="2505"/>
      <c r="O90" s="2506"/>
      <c r="P90" s="2505"/>
      <c r="Q90" s="2505"/>
      <c r="R90" s="2507"/>
    </row>
    <row r="91" spans="2:18" s="2037" customFormat="1">
      <c r="B91" s="2505"/>
      <c r="C91" s="2505"/>
      <c r="D91" s="2505"/>
      <c r="E91" s="2505"/>
      <c r="F91" s="2505"/>
      <c r="G91" s="2506"/>
      <c r="H91" s="2505"/>
      <c r="I91" s="2506"/>
      <c r="J91" s="2505"/>
      <c r="K91" s="2505"/>
      <c r="L91" s="2506"/>
      <c r="M91" s="2505"/>
      <c r="N91" s="2505"/>
      <c r="O91" s="2506"/>
      <c r="P91" s="2505"/>
      <c r="Q91" s="2505"/>
      <c r="R91" s="2507"/>
    </row>
    <row r="92" spans="2:18" s="2037" customFormat="1">
      <c r="B92" s="2505"/>
      <c r="C92" s="2505"/>
      <c r="D92" s="2505"/>
      <c r="E92" s="2505"/>
      <c r="F92" s="2505"/>
      <c r="G92" s="2506"/>
      <c r="H92" s="2505"/>
      <c r="I92" s="2506"/>
      <c r="J92" s="2505"/>
      <c r="K92" s="2505"/>
      <c r="L92" s="2506"/>
      <c r="M92" s="2505"/>
      <c r="N92" s="2505"/>
      <c r="O92" s="2506"/>
      <c r="P92" s="2505"/>
      <c r="Q92" s="2505"/>
      <c r="R92" s="2507"/>
    </row>
    <row r="93" spans="2:18" s="2037" customFormat="1">
      <c r="B93" s="2505"/>
      <c r="C93" s="2505"/>
      <c r="D93" s="2505"/>
      <c r="E93" s="2505"/>
      <c r="F93" s="2505"/>
      <c r="G93" s="2506"/>
      <c r="H93" s="2505"/>
      <c r="I93" s="2506"/>
      <c r="J93" s="2505"/>
      <c r="K93" s="2505"/>
      <c r="L93" s="2506"/>
      <c r="M93" s="2505"/>
      <c r="N93" s="2505"/>
      <c r="O93" s="2506"/>
      <c r="P93" s="2505"/>
      <c r="Q93" s="2505"/>
      <c r="R93" s="2507"/>
    </row>
    <row r="94" spans="2:18" s="2037" customFormat="1">
      <c r="B94" s="2505"/>
      <c r="C94" s="2505"/>
      <c r="D94" s="2505"/>
      <c r="E94" s="2505"/>
      <c r="F94" s="2505"/>
      <c r="G94" s="2506"/>
      <c r="H94" s="2505"/>
      <c r="I94" s="2506"/>
      <c r="J94" s="2505"/>
      <c r="K94" s="2505"/>
      <c r="L94" s="2506"/>
      <c r="M94" s="2505"/>
      <c r="N94" s="2505"/>
      <c r="O94" s="2506"/>
      <c r="P94" s="2505"/>
      <c r="Q94" s="2505"/>
      <c r="R94" s="2507"/>
    </row>
    <row r="95" spans="2:18" s="2037" customFormat="1">
      <c r="B95" s="2505"/>
      <c r="C95" s="2505"/>
      <c r="D95" s="2505"/>
      <c r="E95" s="2505"/>
      <c r="F95" s="2505"/>
      <c r="G95" s="2506"/>
      <c r="H95" s="2505"/>
      <c r="I95" s="2506"/>
      <c r="J95" s="2505"/>
      <c r="K95" s="2505"/>
      <c r="L95" s="2506"/>
      <c r="M95" s="2505"/>
      <c r="N95" s="2505"/>
      <c r="O95" s="2506"/>
      <c r="P95" s="2505"/>
      <c r="Q95" s="2505"/>
      <c r="R95" s="2507"/>
    </row>
    <row r="96" spans="2:18" s="2037" customFormat="1">
      <c r="B96" s="2505"/>
      <c r="C96" s="2505"/>
      <c r="D96" s="2505"/>
      <c r="E96" s="2505"/>
      <c r="F96" s="2505"/>
      <c r="G96" s="2506"/>
      <c r="H96" s="2505"/>
      <c r="I96" s="2506"/>
      <c r="J96" s="2505"/>
      <c r="K96" s="2505"/>
      <c r="L96" s="2506"/>
      <c r="M96" s="2505"/>
      <c r="N96" s="2505"/>
      <c r="O96" s="2506"/>
      <c r="P96" s="2505"/>
      <c r="Q96" s="2505"/>
      <c r="R96" s="2507"/>
    </row>
    <row r="97" spans="2:18" s="2037" customFormat="1">
      <c r="B97" s="2505"/>
      <c r="C97" s="2505"/>
      <c r="D97" s="2505"/>
      <c r="E97" s="2505"/>
      <c r="F97" s="2505"/>
      <c r="G97" s="2506"/>
      <c r="H97" s="2505"/>
      <c r="I97" s="2506"/>
      <c r="J97" s="2505"/>
      <c r="K97" s="2505"/>
      <c r="L97" s="2506"/>
      <c r="M97" s="2505"/>
      <c r="N97" s="2505"/>
      <c r="O97" s="2506"/>
      <c r="P97" s="2505"/>
      <c r="Q97" s="2505"/>
      <c r="R97" s="2507"/>
    </row>
    <row r="98" spans="2:18" s="2037" customFormat="1">
      <c r="B98" s="2505"/>
      <c r="C98" s="2505"/>
      <c r="D98" s="2505"/>
      <c r="E98" s="2505"/>
      <c r="F98" s="2505"/>
      <c r="G98" s="2506"/>
      <c r="H98" s="2505"/>
      <c r="I98" s="2506"/>
      <c r="J98" s="2505"/>
      <c r="K98" s="2505"/>
      <c r="L98" s="2506"/>
      <c r="M98" s="2505"/>
      <c r="N98" s="2505"/>
      <c r="O98" s="2506"/>
      <c r="P98" s="2505"/>
      <c r="Q98" s="2505"/>
      <c r="R98" s="2507"/>
    </row>
    <row r="99" spans="2:18" s="2037" customFormat="1">
      <c r="B99" s="2505"/>
      <c r="C99" s="2505"/>
      <c r="D99" s="2505"/>
      <c r="E99" s="2505"/>
      <c r="F99" s="2505"/>
      <c r="G99" s="2506"/>
      <c r="H99" s="2505"/>
      <c r="I99" s="2506"/>
      <c r="J99" s="2505"/>
      <c r="K99" s="2505"/>
      <c r="L99" s="2506"/>
      <c r="M99" s="2505"/>
      <c r="N99" s="2505"/>
      <c r="O99" s="2506"/>
      <c r="P99" s="2505"/>
      <c r="Q99" s="2505"/>
      <c r="R99" s="2507"/>
    </row>
    <row r="100" spans="2:18" s="2037" customFormat="1">
      <c r="B100" s="2505"/>
      <c r="C100" s="2505"/>
      <c r="D100" s="2505"/>
      <c r="E100" s="2505"/>
      <c r="F100" s="2505"/>
      <c r="G100" s="2506"/>
      <c r="H100" s="2505"/>
      <c r="I100" s="2506"/>
      <c r="J100" s="2505"/>
      <c r="K100" s="2505"/>
      <c r="L100" s="2506"/>
      <c r="M100" s="2505"/>
      <c r="N100" s="2505"/>
      <c r="O100" s="2506"/>
      <c r="P100" s="2505"/>
      <c r="Q100" s="2505"/>
      <c r="R100" s="2507"/>
    </row>
    <row r="101" spans="2:18" s="2037" customFormat="1">
      <c r="B101" s="2505"/>
      <c r="C101" s="2505"/>
      <c r="D101" s="2505"/>
      <c r="E101" s="2505"/>
      <c r="F101" s="2505"/>
      <c r="G101" s="2506"/>
      <c r="H101" s="2505"/>
      <c r="I101" s="2506"/>
      <c r="J101" s="2505"/>
      <c r="K101" s="2505"/>
      <c r="L101" s="2506"/>
      <c r="M101" s="2505"/>
      <c r="N101" s="2505"/>
      <c r="O101" s="2506"/>
      <c r="P101" s="2505"/>
      <c r="Q101" s="2505"/>
      <c r="R101" s="2507"/>
    </row>
    <row r="102" spans="2:18" s="2037" customFormat="1">
      <c r="B102" s="2505"/>
      <c r="C102" s="2505"/>
      <c r="D102" s="2505"/>
      <c r="E102" s="2505"/>
      <c r="F102" s="2505"/>
      <c r="G102" s="2506"/>
      <c r="H102" s="2505"/>
      <c r="I102" s="2506"/>
      <c r="J102" s="2505"/>
      <c r="K102" s="2505"/>
      <c r="L102" s="2506"/>
      <c r="M102" s="2505"/>
      <c r="N102" s="2505"/>
      <c r="O102" s="2506"/>
      <c r="P102" s="2505"/>
      <c r="Q102" s="2505"/>
      <c r="R102" s="2507"/>
    </row>
    <row r="103" spans="2:18" s="2037" customFormat="1">
      <c r="B103" s="2505"/>
      <c r="C103" s="2505"/>
      <c r="D103" s="2505"/>
      <c r="E103" s="2505"/>
      <c r="F103" s="2505"/>
      <c r="G103" s="2506"/>
      <c r="H103" s="2505"/>
      <c r="I103" s="2506"/>
      <c r="J103" s="2505"/>
      <c r="K103" s="2505"/>
      <c r="L103" s="2506"/>
      <c r="M103" s="2505"/>
      <c r="N103" s="2505"/>
      <c r="O103" s="2506"/>
      <c r="P103" s="2505"/>
      <c r="Q103" s="2505"/>
      <c r="R103" s="2507"/>
    </row>
    <row r="104" spans="2:18" s="2037" customFormat="1">
      <c r="B104" s="2505"/>
      <c r="C104" s="2505"/>
      <c r="D104" s="2505"/>
      <c r="E104" s="2505"/>
      <c r="F104" s="2505"/>
      <c r="G104" s="2506"/>
      <c r="H104" s="2505"/>
      <c r="I104" s="2506"/>
      <c r="J104" s="2505"/>
      <c r="K104" s="2505"/>
      <c r="L104" s="2506"/>
      <c r="M104" s="2505"/>
      <c r="N104" s="2505"/>
      <c r="O104" s="2506"/>
      <c r="P104" s="2505"/>
      <c r="Q104" s="2505"/>
      <c r="R104" s="2507"/>
    </row>
    <row r="105" spans="2:18" s="2037" customFormat="1">
      <c r="B105" s="2505"/>
      <c r="C105" s="2505"/>
      <c r="D105" s="2505"/>
      <c r="E105" s="2505"/>
      <c r="F105" s="2505"/>
      <c r="G105" s="2506"/>
      <c r="H105" s="2505"/>
      <c r="I105" s="2506"/>
      <c r="J105" s="2505"/>
      <c r="K105" s="2505"/>
      <c r="L105" s="2506"/>
      <c r="M105" s="2505"/>
      <c r="N105" s="2505"/>
      <c r="O105" s="2506"/>
      <c r="P105" s="2505"/>
      <c r="Q105" s="2505"/>
      <c r="R105" s="2507"/>
    </row>
    <row r="106" spans="2:18" s="2037" customFormat="1">
      <c r="B106" s="2505"/>
      <c r="C106" s="2505"/>
      <c r="D106" s="2505"/>
      <c r="E106" s="2505"/>
      <c r="F106" s="2505"/>
      <c r="G106" s="2506"/>
      <c r="H106" s="2505"/>
      <c r="I106" s="2506"/>
      <c r="J106" s="2505"/>
      <c r="K106" s="2505"/>
      <c r="L106" s="2506"/>
      <c r="M106" s="2505"/>
      <c r="N106" s="2505"/>
      <c r="O106" s="2506"/>
      <c r="P106" s="2505"/>
      <c r="Q106" s="2505"/>
      <c r="R106" s="2507"/>
    </row>
    <row r="107" spans="2:18" s="2037" customFormat="1">
      <c r="B107" s="2505"/>
      <c r="C107" s="2505"/>
      <c r="D107" s="2505"/>
      <c r="E107" s="2505"/>
      <c r="F107" s="2505"/>
      <c r="G107" s="2506"/>
      <c r="H107" s="2505"/>
      <c r="I107" s="2506"/>
      <c r="J107" s="2505"/>
      <c r="K107" s="2505"/>
      <c r="L107" s="2506"/>
      <c r="M107" s="2505"/>
      <c r="N107" s="2505"/>
      <c r="O107" s="2506"/>
      <c r="P107" s="2505"/>
      <c r="Q107" s="2505"/>
      <c r="R107" s="2507"/>
    </row>
    <row r="108" spans="2:18" s="2037" customFormat="1">
      <c r="B108" s="2505"/>
      <c r="C108" s="2505"/>
      <c r="D108" s="2505"/>
      <c r="E108" s="2505"/>
      <c r="F108" s="2505"/>
      <c r="G108" s="2506"/>
      <c r="H108" s="2505"/>
      <c r="I108" s="2506"/>
      <c r="J108" s="2505"/>
      <c r="K108" s="2505"/>
      <c r="L108" s="2506"/>
      <c r="M108" s="2505"/>
      <c r="N108" s="2505"/>
      <c r="O108" s="2506"/>
      <c r="P108" s="2505"/>
      <c r="Q108" s="2505"/>
      <c r="R108" s="2507"/>
    </row>
    <row r="109" spans="2:18" s="2037" customFormat="1">
      <c r="B109" s="2505"/>
      <c r="C109" s="2505"/>
      <c r="D109" s="2505"/>
      <c r="E109" s="2505"/>
      <c r="F109" s="2505"/>
      <c r="G109" s="2506"/>
      <c r="H109" s="2505"/>
      <c r="I109" s="2506"/>
      <c r="J109" s="2505"/>
      <c r="K109" s="2505"/>
      <c r="L109" s="2506"/>
      <c r="M109" s="2505"/>
      <c r="N109" s="2505"/>
      <c r="O109" s="2506"/>
      <c r="P109" s="2505"/>
      <c r="Q109" s="2505"/>
      <c r="R109" s="2507"/>
    </row>
    <row r="110" spans="2:18" s="2037" customFormat="1">
      <c r="B110" s="2505"/>
      <c r="C110" s="2505"/>
      <c r="D110" s="2505"/>
      <c r="E110" s="2505"/>
      <c r="F110" s="2505"/>
      <c r="G110" s="2506"/>
      <c r="H110" s="2505"/>
      <c r="I110" s="2506"/>
      <c r="J110" s="2505"/>
      <c r="K110" s="2505"/>
      <c r="L110" s="2506"/>
      <c r="M110" s="2505"/>
      <c r="N110" s="2505"/>
      <c r="O110" s="2506"/>
      <c r="P110" s="2505"/>
      <c r="Q110" s="2505"/>
      <c r="R110" s="2507"/>
    </row>
    <row r="111" spans="2:18" s="2037" customFormat="1">
      <c r="B111" s="2505"/>
      <c r="C111" s="2505"/>
      <c r="D111" s="2505"/>
      <c r="E111" s="2505"/>
      <c r="F111" s="2505"/>
      <c r="G111" s="2506"/>
      <c r="H111" s="2505"/>
      <c r="I111" s="2506"/>
      <c r="J111" s="2505"/>
      <c r="K111" s="2505"/>
      <c r="L111" s="2506"/>
      <c r="M111" s="2505"/>
      <c r="N111" s="2505"/>
      <c r="O111" s="2506"/>
      <c r="P111" s="2505"/>
      <c r="Q111" s="2505"/>
      <c r="R111" s="2507"/>
    </row>
    <row r="112" spans="2:18" s="2037" customFormat="1">
      <c r="B112" s="2505"/>
      <c r="C112" s="2505"/>
      <c r="D112" s="2505"/>
      <c r="E112" s="2505"/>
      <c r="F112" s="2505"/>
      <c r="G112" s="2506"/>
      <c r="H112" s="2505"/>
      <c r="I112" s="2506"/>
      <c r="J112" s="2505"/>
      <c r="K112" s="2505"/>
      <c r="L112" s="2506"/>
      <c r="M112" s="2505"/>
      <c r="N112" s="2505"/>
      <c r="O112" s="2506"/>
      <c r="P112" s="2505"/>
      <c r="Q112" s="2505"/>
      <c r="R112" s="2507"/>
    </row>
    <row r="113" spans="2:18" s="2037" customFormat="1">
      <c r="B113" s="2505"/>
      <c r="C113" s="2505"/>
      <c r="D113" s="2505"/>
      <c r="E113" s="2505"/>
      <c r="F113" s="2505"/>
      <c r="G113" s="2506"/>
      <c r="H113" s="2505"/>
      <c r="I113" s="2506"/>
      <c r="J113" s="2505"/>
      <c r="K113" s="2505"/>
      <c r="L113" s="2506"/>
      <c r="M113" s="2505"/>
      <c r="N113" s="2505"/>
      <c r="O113" s="2506"/>
      <c r="P113" s="2505"/>
      <c r="Q113" s="2505"/>
      <c r="R113" s="2507"/>
    </row>
    <row r="114" spans="2:18" s="2037" customFormat="1">
      <c r="B114" s="2505"/>
      <c r="C114" s="2505"/>
      <c r="D114" s="2505"/>
      <c r="E114" s="2505"/>
      <c r="F114" s="2505"/>
      <c r="G114" s="2506"/>
      <c r="H114" s="2505"/>
      <c r="I114" s="2506"/>
      <c r="J114" s="2505"/>
      <c r="K114" s="2505"/>
      <c r="L114" s="2506"/>
      <c r="M114" s="2505"/>
      <c r="N114" s="2505"/>
      <c r="O114" s="2506"/>
      <c r="P114" s="2505"/>
      <c r="Q114" s="2505"/>
      <c r="R114" s="2507"/>
    </row>
    <row r="115" spans="2:18" s="2037" customFormat="1">
      <c r="B115" s="2505"/>
      <c r="C115" s="2505"/>
      <c r="D115" s="2505"/>
      <c r="E115" s="2505"/>
      <c r="F115" s="2505"/>
      <c r="G115" s="2506"/>
      <c r="H115" s="2505"/>
      <c r="I115" s="2506"/>
      <c r="J115" s="2505"/>
      <c r="K115" s="2505"/>
      <c r="L115" s="2506"/>
      <c r="M115" s="2505"/>
      <c r="N115" s="2505"/>
      <c r="O115" s="2506"/>
      <c r="P115" s="2505"/>
      <c r="Q115" s="2505"/>
      <c r="R115" s="2507"/>
    </row>
    <row r="116" spans="2:18" s="2037" customFormat="1">
      <c r="B116" s="2505"/>
      <c r="C116" s="2505"/>
      <c r="D116" s="2505"/>
      <c r="E116" s="2505"/>
      <c r="F116" s="2505"/>
      <c r="G116" s="2506"/>
      <c r="H116" s="2505"/>
      <c r="I116" s="2506"/>
      <c r="J116" s="2505"/>
      <c r="K116" s="2505"/>
      <c r="L116" s="2506"/>
      <c r="M116" s="2505"/>
      <c r="N116" s="2505"/>
      <c r="O116" s="2506"/>
      <c r="P116" s="2505"/>
      <c r="Q116" s="2505"/>
      <c r="R116" s="2507"/>
    </row>
    <row r="117" spans="2:18" s="2037" customFormat="1">
      <c r="B117" s="2505"/>
      <c r="C117" s="2505"/>
      <c r="D117" s="2505"/>
      <c r="E117" s="2505"/>
      <c r="F117" s="2505"/>
      <c r="G117" s="2506"/>
      <c r="H117" s="2505"/>
      <c r="I117" s="2506"/>
      <c r="J117" s="2505"/>
      <c r="K117" s="2505"/>
      <c r="L117" s="2506"/>
      <c r="M117" s="2505"/>
      <c r="N117" s="2505"/>
      <c r="O117" s="2506"/>
      <c r="P117" s="2505"/>
      <c r="Q117" s="2505"/>
      <c r="R117" s="2507"/>
    </row>
    <row r="118" spans="2:18" s="2037" customFormat="1">
      <c r="B118" s="2505"/>
      <c r="C118" s="2505"/>
      <c r="D118" s="2505"/>
      <c r="E118" s="2505"/>
      <c r="F118" s="2505"/>
      <c r="G118" s="2506"/>
      <c r="H118" s="2505"/>
      <c r="I118" s="2506"/>
      <c r="J118" s="2505"/>
      <c r="K118" s="2505"/>
      <c r="L118" s="2506"/>
      <c r="M118" s="2505"/>
      <c r="N118" s="2505"/>
      <c r="O118" s="2506"/>
      <c r="P118" s="2505"/>
      <c r="Q118" s="2505"/>
      <c r="R118" s="2507"/>
    </row>
    <row r="119" spans="2:18" s="2037" customFormat="1">
      <c r="B119" s="2505"/>
      <c r="C119" s="2505"/>
      <c r="D119" s="2505"/>
      <c r="E119" s="2505"/>
      <c r="F119" s="2505"/>
      <c r="G119" s="2506"/>
      <c r="H119" s="2505"/>
      <c r="I119" s="2506"/>
      <c r="J119" s="2505"/>
      <c r="K119" s="2505"/>
      <c r="L119" s="2506"/>
      <c r="M119" s="2505"/>
      <c r="N119" s="2505"/>
      <c r="O119" s="2506"/>
      <c r="P119" s="2505"/>
      <c r="Q119" s="2505"/>
      <c r="R119" s="2507"/>
    </row>
    <row r="120" spans="2:18" s="2037" customFormat="1">
      <c r="B120" s="2505"/>
      <c r="C120" s="2505"/>
      <c r="D120" s="2505"/>
      <c r="E120" s="2505"/>
      <c r="F120" s="2505"/>
      <c r="G120" s="2506"/>
      <c r="H120" s="2505"/>
      <c r="I120" s="2506"/>
      <c r="J120" s="2505"/>
      <c r="K120" s="2505"/>
      <c r="L120" s="2506"/>
      <c r="M120" s="2505"/>
      <c r="N120" s="2505"/>
      <c r="O120" s="2506"/>
      <c r="P120" s="2505"/>
      <c r="Q120" s="2505"/>
      <c r="R120" s="2507"/>
    </row>
    <row r="121" spans="2:18" s="2037" customFormat="1">
      <c r="B121" s="2505"/>
      <c r="C121" s="2505"/>
      <c r="D121" s="2505"/>
      <c r="E121" s="2505"/>
      <c r="F121" s="2505"/>
      <c r="G121" s="2506"/>
      <c r="H121" s="2505"/>
      <c r="I121" s="2506"/>
      <c r="J121" s="2505"/>
      <c r="K121" s="2505"/>
      <c r="L121" s="2506"/>
      <c r="M121" s="2505"/>
      <c r="N121" s="2505"/>
      <c r="O121" s="2506"/>
      <c r="P121" s="2505"/>
      <c r="Q121" s="2505"/>
      <c r="R121" s="2507"/>
    </row>
    <row r="122" spans="2:18" s="2037" customFormat="1">
      <c r="B122" s="2505"/>
      <c r="C122" s="2505"/>
      <c r="D122" s="2505"/>
      <c r="E122" s="2505"/>
      <c r="F122" s="2505"/>
      <c r="G122" s="2506"/>
      <c r="H122" s="2505"/>
      <c r="I122" s="2506"/>
      <c r="J122" s="2505"/>
      <c r="K122" s="2505"/>
      <c r="L122" s="2506"/>
      <c r="M122" s="2505"/>
      <c r="N122" s="2505"/>
      <c r="O122" s="2506"/>
      <c r="P122" s="2505"/>
      <c r="Q122" s="2505"/>
      <c r="R122" s="2507"/>
    </row>
    <row r="123" spans="2:18" s="2037" customFormat="1">
      <c r="B123" s="2505"/>
      <c r="C123" s="2505"/>
      <c r="D123" s="2505"/>
      <c r="E123" s="2505"/>
      <c r="F123" s="2505"/>
      <c r="G123" s="2506"/>
      <c r="H123" s="2505"/>
      <c r="I123" s="2506"/>
      <c r="J123" s="2505"/>
      <c r="K123" s="2505"/>
      <c r="L123" s="2506"/>
      <c r="M123" s="2505"/>
      <c r="N123" s="2505"/>
      <c r="O123" s="2506"/>
      <c r="P123" s="2505"/>
      <c r="Q123" s="2505"/>
      <c r="R123" s="2507"/>
    </row>
    <row r="124" spans="2:18" s="2037" customFormat="1">
      <c r="B124" s="2505"/>
      <c r="C124" s="2505"/>
      <c r="D124" s="2505"/>
      <c r="E124" s="2505"/>
      <c r="F124" s="2505"/>
      <c r="G124" s="2506"/>
      <c r="H124" s="2505"/>
      <c r="I124" s="2506"/>
      <c r="J124" s="2505"/>
      <c r="K124" s="2505"/>
      <c r="L124" s="2506"/>
      <c r="M124" s="2505"/>
      <c r="N124" s="2505"/>
      <c r="O124" s="2506"/>
      <c r="P124" s="2505"/>
      <c r="Q124" s="2505"/>
      <c r="R124" s="2507"/>
    </row>
    <row r="125" spans="2:18" s="2037" customFormat="1">
      <c r="B125" s="2505"/>
      <c r="C125" s="2505"/>
      <c r="D125" s="2505"/>
      <c r="E125" s="2505"/>
      <c r="F125" s="2505"/>
      <c r="G125" s="2506"/>
      <c r="H125" s="2505"/>
      <c r="I125" s="2506"/>
      <c r="J125" s="2505"/>
      <c r="K125" s="2505"/>
      <c r="L125" s="2506"/>
      <c r="M125" s="2505"/>
      <c r="N125" s="2505"/>
      <c r="O125" s="2506"/>
      <c r="P125" s="2505"/>
      <c r="Q125" s="2505"/>
      <c r="R125" s="2507"/>
    </row>
    <row r="126" spans="2:18" s="2037" customFormat="1">
      <c r="B126" s="2505"/>
      <c r="C126" s="2505"/>
      <c r="D126" s="2505"/>
      <c r="E126" s="2505"/>
      <c r="F126" s="2505"/>
      <c r="G126" s="2506"/>
      <c r="H126" s="2505"/>
      <c r="I126" s="2506"/>
      <c r="J126" s="2505"/>
      <c r="K126" s="2505"/>
      <c r="L126" s="2506"/>
      <c r="M126" s="2505"/>
      <c r="N126" s="2505"/>
      <c r="O126" s="2506"/>
      <c r="P126" s="2505"/>
      <c r="Q126" s="2505"/>
      <c r="R126" s="2507"/>
    </row>
    <row r="127" spans="2:18" s="2037" customFormat="1">
      <c r="B127" s="2505"/>
      <c r="C127" s="2505"/>
      <c r="D127" s="2505"/>
      <c r="E127" s="2505"/>
      <c r="F127" s="2505"/>
      <c r="G127" s="2506"/>
      <c r="H127" s="2505"/>
      <c r="I127" s="2506"/>
      <c r="J127" s="2505"/>
      <c r="K127" s="2505"/>
      <c r="L127" s="2506"/>
      <c r="M127" s="2505"/>
      <c r="N127" s="2505"/>
      <c r="O127" s="2506"/>
      <c r="P127" s="2505"/>
      <c r="Q127" s="2505"/>
      <c r="R127" s="2507"/>
    </row>
    <row r="128" spans="2:18" s="2037" customFormat="1">
      <c r="B128" s="2505"/>
      <c r="C128" s="2505"/>
      <c r="D128" s="2505"/>
      <c r="E128" s="2505"/>
      <c r="F128" s="2505"/>
      <c r="G128" s="2506"/>
      <c r="H128" s="2505"/>
      <c r="I128" s="2506"/>
      <c r="J128" s="2505"/>
      <c r="K128" s="2505"/>
      <c r="L128" s="2506"/>
      <c r="M128" s="2505"/>
      <c r="N128" s="2505"/>
      <c r="O128" s="2506"/>
      <c r="P128" s="2505"/>
      <c r="Q128" s="2505"/>
      <c r="R128" s="2507"/>
    </row>
    <row r="129" spans="2:18" s="2037" customFormat="1">
      <c r="B129" s="2505"/>
      <c r="C129" s="2505"/>
      <c r="D129" s="2505"/>
      <c r="E129" s="2505"/>
      <c r="F129" s="2505"/>
      <c r="G129" s="2506"/>
      <c r="H129" s="2505"/>
      <c r="I129" s="2506"/>
      <c r="J129" s="2505"/>
      <c r="K129" s="2505"/>
      <c r="L129" s="2506"/>
      <c r="M129" s="2505"/>
      <c r="N129" s="2505"/>
      <c r="O129" s="2506"/>
      <c r="P129" s="2505"/>
      <c r="Q129" s="2505"/>
      <c r="R129" s="2507"/>
    </row>
    <row r="130" spans="2:18" s="2037" customFormat="1">
      <c r="B130" s="2505"/>
      <c r="C130" s="2505"/>
      <c r="D130" s="2505"/>
      <c r="E130" s="2505"/>
      <c r="F130" s="2505"/>
      <c r="G130" s="2506"/>
      <c r="H130" s="2505"/>
      <c r="I130" s="2506"/>
      <c r="J130" s="2505"/>
      <c r="K130" s="2505"/>
      <c r="L130" s="2506"/>
      <c r="M130" s="2505"/>
      <c r="N130" s="2505"/>
      <c r="O130" s="2506"/>
      <c r="P130" s="2505"/>
      <c r="Q130" s="2505"/>
      <c r="R130" s="2507"/>
    </row>
    <row r="131" spans="2:18" s="2037" customFormat="1">
      <c r="B131" s="2505"/>
      <c r="C131" s="2505"/>
      <c r="D131" s="2505"/>
      <c r="E131" s="2505"/>
      <c r="F131" s="2505"/>
      <c r="G131" s="2506"/>
      <c r="H131" s="2505"/>
      <c r="I131" s="2506"/>
      <c r="J131" s="2505"/>
      <c r="K131" s="2505"/>
      <c r="L131" s="2506"/>
      <c r="M131" s="2505"/>
      <c r="N131" s="2505"/>
      <c r="O131" s="2506"/>
      <c r="P131" s="2505"/>
      <c r="Q131" s="2505"/>
      <c r="R131" s="2507"/>
    </row>
    <row r="132" spans="2:18" s="2037" customFormat="1">
      <c r="B132" s="2505"/>
      <c r="C132" s="2505"/>
      <c r="D132" s="2505"/>
      <c r="E132" s="2505"/>
      <c r="F132" s="2505"/>
      <c r="G132" s="2506"/>
      <c r="H132" s="2505"/>
      <c r="I132" s="2506"/>
      <c r="J132" s="2505"/>
      <c r="K132" s="2505"/>
      <c r="L132" s="2506"/>
      <c r="M132" s="2505"/>
      <c r="N132" s="2505"/>
      <c r="O132" s="2506"/>
      <c r="P132" s="2505"/>
      <c r="Q132" s="2505"/>
      <c r="R132" s="2507"/>
    </row>
    <row r="133" spans="2:18" s="2037" customFormat="1">
      <c r="B133" s="2505"/>
      <c r="C133" s="2505"/>
      <c r="D133" s="2505"/>
      <c r="E133" s="2505"/>
      <c r="F133" s="2505"/>
      <c r="G133" s="2506"/>
      <c r="H133" s="2505"/>
      <c r="I133" s="2506"/>
      <c r="J133" s="2505"/>
      <c r="K133" s="2505"/>
      <c r="L133" s="2506"/>
      <c r="M133" s="2505"/>
      <c r="N133" s="2505"/>
      <c r="O133" s="2506"/>
      <c r="P133" s="2505"/>
      <c r="Q133" s="2505"/>
      <c r="R133" s="2507"/>
    </row>
    <row r="134" spans="2:18" s="2037" customFormat="1">
      <c r="B134" s="2505"/>
      <c r="C134" s="2505"/>
      <c r="D134" s="2505"/>
      <c r="E134" s="2505"/>
      <c r="F134" s="2505"/>
      <c r="G134" s="2506"/>
      <c r="H134" s="2505"/>
      <c r="I134" s="2506"/>
      <c r="J134" s="2505"/>
      <c r="K134" s="2505"/>
      <c r="L134" s="2506"/>
      <c r="M134" s="2505"/>
      <c r="N134" s="2505"/>
      <c r="O134" s="2506"/>
      <c r="P134" s="2505"/>
      <c r="Q134" s="2505"/>
      <c r="R134" s="2507"/>
    </row>
    <row r="135" spans="2:18" s="2037" customFormat="1">
      <c r="B135" s="2505"/>
      <c r="C135" s="2505"/>
      <c r="D135" s="2505"/>
      <c r="E135" s="2505"/>
      <c r="F135" s="2505"/>
      <c r="G135" s="2506"/>
      <c r="H135" s="2505"/>
      <c r="I135" s="2506"/>
      <c r="J135" s="2505"/>
      <c r="K135" s="2505"/>
      <c r="L135" s="2506"/>
      <c r="M135" s="2505"/>
      <c r="N135" s="2505"/>
      <c r="O135" s="2506"/>
      <c r="P135" s="2505"/>
      <c r="Q135" s="2505"/>
      <c r="R135" s="2507"/>
    </row>
    <row r="136" spans="2:18" s="2037" customFormat="1">
      <c r="B136" s="2505"/>
      <c r="C136" s="2505"/>
      <c r="D136" s="2505"/>
      <c r="E136" s="2505"/>
      <c r="F136" s="2505"/>
      <c r="G136" s="2506"/>
      <c r="H136" s="2505"/>
      <c r="I136" s="2506"/>
      <c r="J136" s="2505"/>
      <c r="K136" s="2505"/>
      <c r="L136" s="2506"/>
      <c r="M136" s="2505"/>
      <c r="N136" s="2505"/>
      <c r="O136" s="2506"/>
      <c r="P136" s="2505"/>
      <c r="Q136" s="2505"/>
      <c r="R136" s="2507"/>
    </row>
    <row r="137" spans="2:18" s="2037" customFormat="1">
      <c r="B137" s="2505"/>
      <c r="C137" s="2505"/>
      <c r="D137" s="2505"/>
      <c r="E137" s="2505"/>
      <c r="F137" s="2505"/>
      <c r="G137" s="2506"/>
      <c r="H137" s="2505"/>
      <c r="I137" s="2506"/>
      <c r="J137" s="2505"/>
      <c r="K137" s="2505"/>
      <c r="L137" s="2506"/>
      <c r="M137" s="2505"/>
      <c r="N137" s="2505"/>
      <c r="O137" s="2506"/>
      <c r="P137" s="2505"/>
      <c r="Q137" s="2505"/>
      <c r="R137" s="2507"/>
    </row>
    <row r="138" spans="2:18" s="2037" customFormat="1">
      <c r="B138" s="2505"/>
      <c r="C138" s="2505"/>
      <c r="D138" s="2505"/>
      <c r="E138" s="2505"/>
      <c r="F138" s="2505"/>
      <c r="G138" s="2506"/>
      <c r="H138" s="2505"/>
      <c r="I138" s="2506"/>
      <c r="J138" s="2505"/>
      <c r="K138" s="2505"/>
      <c r="L138" s="2506"/>
      <c r="M138" s="2505"/>
      <c r="N138" s="2505"/>
      <c r="O138" s="2506"/>
      <c r="P138" s="2505"/>
      <c r="Q138" s="2505"/>
      <c r="R138" s="2507"/>
    </row>
    <row r="139" spans="2:18" s="2037" customFormat="1">
      <c r="B139" s="2505"/>
      <c r="C139" s="2505"/>
      <c r="D139" s="2505"/>
      <c r="E139" s="2505"/>
      <c r="F139" s="2505"/>
      <c r="G139" s="2506"/>
      <c r="H139" s="2505"/>
      <c r="I139" s="2506"/>
      <c r="J139" s="2505"/>
      <c r="K139" s="2505"/>
      <c r="L139" s="2506"/>
      <c r="M139" s="2505"/>
      <c r="N139" s="2505"/>
      <c r="O139" s="2506"/>
      <c r="P139" s="2505"/>
      <c r="Q139" s="2505"/>
      <c r="R139" s="2507"/>
    </row>
    <row r="140" spans="2:18" s="2037" customFormat="1">
      <c r="B140" s="2505"/>
      <c r="C140" s="2505"/>
      <c r="D140" s="2505"/>
      <c r="E140" s="2505"/>
      <c r="F140" s="2505"/>
      <c r="G140" s="2506"/>
      <c r="H140" s="2505"/>
      <c r="I140" s="2506"/>
      <c r="J140" s="2505"/>
      <c r="K140" s="2505"/>
      <c r="L140" s="2506"/>
      <c r="M140" s="2505"/>
      <c r="N140" s="2505"/>
      <c r="O140" s="2506"/>
      <c r="P140" s="2505"/>
      <c r="Q140" s="2505"/>
      <c r="R140" s="2507"/>
    </row>
    <row r="141" spans="2:18" s="2037" customFormat="1">
      <c r="B141" s="2505"/>
      <c r="C141" s="2505"/>
      <c r="D141" s="2505"/>
      <c r="E141" s="2505"/>
      <c r="F141" s="2505"/>
      <c r="G141" s="2506"/>
      <c r="H141" s="2505"/>
      <c r="I141" s="2506"/>
      <c r="J141" s="2505"/>
      <c r="K141" s="2505"/>
      <c r="L141" s="2506"/>
      <c r="M141" s="2505"/>
      <c r="N141" s="2505"/>
      <c r="O141" s="2506"/>
      <c r="P141" s="2505"/>
      <c r="Q141" s="2505"/>
      <c r="R141" s="2507"/>
    </row>
    <row r="142" spans="2:18" s="2037" customFormat="1">
      <c r="B142" s="2505"/>
      <c r="C142" s="2505"/>
      <c r="D142" s="2505"/>
      <c r="E142" s="2505"/>
      <c r="F142" s="2505"/>
      <c r="G142" s="2506"/>
      <c r="H142" s="2505"/>
      <c r="I142" s="2506"/>
      <c r="J142" s="2505"/>
      <c r="K142" s="2505"/>
      <c r="L142" s="2506"/>
      <c r="M142" s="2505"/>
      <c r="N142" s="2505"/>
      <c r="O142" s="2506"/>
      <c r="P142" s="2505"/>
      <c r="Q142" s="2505"/>
      <c r="R142" s="2507"/>
    </row>
    <row r="143" spans="2:18" s="2037" customFormat="1">
      <c r="B143" s="2505"/>
      <c r="C143" s="2505"/>
      <c r="D143" s="2505"/>
      <c r="E143" s="2505"/>
      <c r="F143" s="2505"/>
      <c r="G143" s="2506"/>
      <c r="H143" s="2505"/>
      <c r="I143" s="2506"/>
      <c r="J143" s="2505"/>
      <c r="K143" s="2505"/>
      <c r="L143" s="2506"/>
      <c r="M143" s="2505"/>
      <c r="N143" s="2505"/>
      <c r="O143" s="2506"/>
      <c r="P143" s="2505"/>
      <c r="Q143" s="2505"/>
      <c r="R143" s="2507"/>
    </row>
    <row r="144" spans="2:18" s="2037" customFormat="1">
      <c r="B144" s="2505"/>
      <c r="C144" s="2505"/>
      <c r="D144" s="2505"/>
      <c r="E144" s="2505"/>
      <c r="F144" s="2505"/>
      <c r="G144" s="2506"/>
      <c r="H144" s="2505"/>
      <c r="I144" s="2506"/>
      <c r="J144" s="2505"/>
      <c r="K144" s="2505"/>
      <c r="L144" s="2506"/>
      <c r="M144" s="2505"/>
      <c r="N144" s="2505"/>
      <c r="O144" s="2506"/>
      <c r="P144" s="2505"/>
      <c r="Q144" s="2505"/>
      <c r="R144" s="2507"/>
    </row>
    <row r="145" spans="2:18" s="2037" customFormat="1">
      <c r="B145" s="2505"/>
      <c r="C145" s="2505"/>
      <c r="D145" s="2505"/>
      <c r="E145" s="2505"/>
      <c r="F145" s="2505"/>
      <c r="G145" s="2506"/>
      <c r="H145" s="2505"/>
      <c r="I145" s="2506"/>
      <c r="J145" s="2505"/>
      <c r="K145" s="2505"/>
      <c r="L145" s="2506"/>
      <c r="M145" s="2505"/>
      <c r="N145" s="2505"/>
      <c r="O145" s="2506"/>
      <c r="P145" s="2505"/>
      <c r="Q145" s="2505"/>
      <c r="R145" s="2507"/>
    </row>
    <row r="146" spans="2:18" s="2037" customFormat="1">
      <c r="B146" s="2505"/>
      <c r="C146" s="2505"/>
      <c r="D146" s="2505"/>
      <c r="E146" s="2505"/>
      <c r="F146" s="2505"/>
      <c r="G146" s="2506"/>
      <c r="H146" s="2505"/>
      <c r="I146" s="2506"/>
      <c r="J146" s="2505"/>
      <c r="K146" s="2505"/>
      <c r="L146" s="2506"/>
      <c r="M146" s="2505"/>
      <c r="N146" s="2505"/>
      <c r="O146" s="2506"/>
      <c r="P146" s="2505"/>
      <c r="Q146" s="2505"/>
      <c r="R146" s="2507"/>
    </row>
    <row r="147" spans="2:18" s="2037" customFormat="1">
      <c r="B147" s="2505"/>
      <c r="C147" s="2505"/>
      <c r="D147" s="2505"/>
      <c r="E147" s="2505"/>
      <c r="F147" s="2505"/>
      <c r="G147" s="2506"/>
      <c r="H147" s="2505"/>
      <c r="I147" s="2506"/>
      <c r="J147" s="2505"/>
      <c r="K147" s="2505"/>
      <c r="L147" s="2506"/>
      <c r="M147" s="2505"/>
      <c r="N147" s="2505"/>
      <c r="O147" s="2506"/>
      <c r="P147" s="2505"/>
      <c r="Q147" s="2505"/>
      <c r="R147" s="2507"/>
    </row>
    <row r="148" spans="2:18" s="2037" customFormat="1">
      <c r="B148" s="2505"/>
      <c r="C148" s="2505"/>
      <c r="D148" s="2505"/>
      <c r="E148" s="2505"/>
      <c r="F148" s="2505"/>
      <c r="G148" s="2506"/>
      <c r="H148" s="2505"/>
      <c r="I148" s="2506"/>
      <c r="J148" s="2505"/>
      <c r="K148" s="2505"/>
      <c r="L148" s="2506"/>
      <c r="M148" s="2505"/>
      <c r="N148" s="2505"/>
      <c r="O148" s="2506"/>
      <c r="P148" s="2505"/>
      <c r="Q148" s="2505"/>
      <c r="R148" s="2507"/>
    </row>
    <row r="149" spans="2:18" s="2037" customFormat="1">
      <c r="B149" s="2505"/>
      <c r="C149" s="2505"/>
      <c r="D149" s="2505"/>
      <c r="E149" s="2505"/>
      <c r="F149" s="2505"/>
      <c r="G149" s="2506"/>
      <c r="H149" s="2505"/>
      <c r="I149" s="2506"/>
      <c r="J149" s="2505"/>
      <c r="K149" s="2505"/>
      <c r="L149" s="2506"/>
      <c r="M149" s="2505"/>
      <c r="N149" s="2505"/>
      <c r="O149" s="2506"/>
      <c r="P149" s="2505"/>
      <c r="Q149" s="2505"/>
      <c r="R149" s="2507"/>
    </row>
    <row r="150" spans="2:18" s="2037" customFormat="1">
      <c r="B150" s="2505"/>
      <c r="C150" s="2505"/>
      <c r="D150" s="2505"/>
      <c r="E150" s="2505"/>
      <c r="F150" s="2505"/>
      <c r="G150" s="2506"/>
      <c r="H150" s="2505"/>
      <c r="I150" s="2506"/>
      <c r="J150" s="2505"/>
      <c r="K150" s="2505"/>
      <c r="L150" s="2506"/>
      <c r="M150" s="2505"/>
      <c r="N150" s="2505"/>
      <c r="O150" s="2506"/>
      <c r="P150" s="2505"/>
      <c r="Q150" s="2505"/>
      <c r="R150" s="2507"/>
    </row>
    <row r="151" spans="2:18" s="2037" customFormat="1">
      <c r="B151" s="2505"/>
      <c r="C151" s="2505"/>
      <c r="D151" s="2505"/>
      <c r="E151" s="2505"/>
      <c r="F151" s="2505"/>
      <c r="G151" s="2506"/>
      <c r="H151" s="2505"/>
      <c r="I151" s="2506"/>
      <c r="J151" s="2505"/>
      <c r="K151" s="2505"/>
      <c r="L151" s="2506"/>
      <c r="M151" s="2505"/>
      <c r="N151" s="2505"/>
      <c r="O151" s="2506"/>
      <c r="P151" s="2505"/>
      <c r="Q151" s="2505"/>
      <c r="R151" s="2507"/>
    </row>
    <row r="152" spans="2:18" s="2037" customFormat="1">
      <c r="B152" s="2505"/>
      <c r="C152" s="2505"/>
      <c r="D152" s="2505"/>
      <c r="E152" s="2505"/>
      <c r="F152" s="2505"/>
      <c r="G152" s="2506"/>
      <c r="H152" s="2505"/>
      <c r="I152" s="2506"/>
      <c r="J152" s="2505"/>
      <c r="K152" s="2505"/>
      <c r="L152" s="2506"/>
      <c r="M152" s="2505"/>
      <c r="N152" s="2505"/>
      <c r="O152" s="2506"/>
      <c r="P152" s="2505"/>
      <c r="Q152" s="2505"/>
      <c r="R152" s="2507"/>
    </row>
    <row r="153" spans="2:18" s="2037" customFormat="1">
      <c r="B153" s="2505"/>
      <c r="C153" s="2505"/>
      <c r="D153" s="2505"/>
      <c r="E153" s="2505"/>
      <c r="F153" s="2505"/>
      <c r="G153" s="2506"/>
      <c r="H153" s="2505"/>
      <c r="I153" s="2506"/>
      <c r="J153" s="2505"/>
      <c r="K153" s="2505"/>
      <c r="L153" s="2506"/>
      <c r="M153" s="2505"/>
      <c r="N153" s="2505"/>
      <c r="O153" s="2506"/>
      <c r="P153" s="2505"/>
      <c r="Q153" s="2505"/>
      <c r="R153" s="2507"/>
    </row>
    <row r="154" spans="2:18" s="2037" customFormat="1">
      <c r="B154" s="2505"/>
      <c r="C154" s="2505"/>
      <c r="D154" s="2505"/>
      <c r="E154" s="2505"/>
      <c r="F154" s="2505"/>
      <c r="G154" s="2506"/>
      <c r="H154" s="2505"/>
      <c r="I154" s="2506"/>
      <c r="J154" s="2505"/>
      <c r="K154" s="2505"/>
      <c r="L154" s="2506"/>
      <c r="M154" s="2505"/>
      <c r="N154" s="2505"/>
      <c r="O154" s="2506"/>
      <c r="P154" s="2505"/>
      <c r="Q154" s="2505"/>
      <c r="R154" s="2507"/>
    </row>
    <row r="155" spans="2:18" s="2037" customFormat="1">
      <c r="B155" s="2505"/>
      <c r="C155" s="2505"/>
      <c r="D155" s="2505"/>
      <c r="E155" s="2505"/>
      <c r="F155" s="2505"/>
      <c r="G155" s="2506"/>
      <c r="H155" s="2505"/>
      <c r="I155" s="2506"/>
      <c r="J155" s="2505"/>
      <c r="K155" s="2505"/>
      <c r="L155" s="2506"/>
      <c r="M155" s="2505"/>
      <c r="N155" s="2505"/>
      <c r="O155" s="2506"/>
      <c r="P155" s="2505"/>
      <c r="Q155" s="2505"/>
      <c r="R155" s="2507"/>
    </row>
    <row r="156" spans="2:18" s="2037" customFormat="1">
      <c r="B156" s="2505"/>
      <c r="C156" s="2505"/>
      <c r="D156" s="2505"/>
      <c r="E156" s="2505"/>
      <c r="F156" s="2505"/>
      <c r="G156" s="2506"/>
      <c r="H156" s="2505"/>
      <c r="I156" s="2506"/>
      <c r="J156" s="2505"/>
      <c r="K156" s="2505"/>
      <c r="L156" s="2506"/>
      <c r="M156" s="2505"/>
      <c r="N156" s="2505"/>
      <c r="O156" s="2506"/>
      <c r="P156" s="2505"/>
      <c r="Q156" s="2505"/>
      <c r="R156" s="2507"/>
    </row>
    <row r="157" spans="2:18" s="2037" customFormat="1">
      <c r="B157" s="2505"/>
      <c r="C157" s="2505"/>
      <c r="D157" s="2505"/>
      <c r="E157" s="2505"/>
      <c r="F157" s="2505"/>
      <c r="G157" s="2506"/>
      <c r="H157" s="2505"/>
      <c r="I157" s="2506"/>
      <c r="J157" s="2505"/>
      <c r="K157" s="2505"/>
      <c r="L157" s="2506"/>
      <c r="M157" s="2505"/>
      <c r="N157" s="2505"/>
      <c r="O157" s="2506"/>
      <c r="P157" s="2505"/>
      <c r="Q157" s="2505"/>
      <c r="R157" s="2507"/>
    </row>
    <row r="158" spans="2:18" s="2037" customFormat="1">
      <c r="B158" s="2505"/>
      <c r="C158" s="2505"/>
      <c r="D158" s="2505"/>
      <c r="E158" s="2505"/>
      <c r="F158" s="2505"/>
      <c r="G158" s="2506"/>
      <c r="H158" s="2505"/>
      <c r="I158" s="2506"/>
      <c r="J158" s="2505"/>
      <c r="K158" s="2505"/>
      <c r="L158" s="2506"/>
      <c r="M158" s="2505"/>
      <c r="N158" s="2505"/>
      <c r="O158" s="2506"/>
      <c r="P158" s="2505"/>
      <c r="Q158" s="2505"/>
      <c r="R158" s="2507"/>
    </row>
    <row r="159" spans="2:18" s="2037" customFormat="1">
      <c r="B159" s="2505"/>
      <c r="C159" s="2505"/>
      <c r="D159" s="2505"/>
      <c r="E159" s="2505"/>
      <c r="F159" s="2505"/>
      <c r="G159" s="2506"/>
      <c r="H159" s="2505"/>
      <c r="I159" s="2506"/>
      <c r="J159" s="2505"/>
      <c r="K159" s="2505"/>
      <c r="L159" s="2506"/>
      <c r="M159" s="2505"/>
      <c r="N159" s="2505"/>
      <c r="O159" s="2506"/>
      <c r="P159" s="2505"/>
      <c r="Q159" s="2505"/>
      <c r="R159" s="2507"/>
    </row>
    <row r="160" spans="2:18" s="2037" customFormat="1">
      <c r="B160" s="2505"/>
      <c r="C160" s="2505"/>
      <c r="D160" s="2505"/>
      <c r="E160" s="2505"/>
      <c r="F160" s="2505"/>
      <c r="G160" s="2506"/>
      <c r="H160" s="2505"/>
      <c r="I160" s="2506"/>
      <c r="J160" s="2505"/>
      <c r="K160" s="2505"/>
      <c r="L160" s="2506"/>
      <c r="M160" s="2505"/>
      <c r="N160" s="2505"/>
      <c r="O160" s="2506"/>
      <c r="P160" s="2505"/>
      <c r="Q160" s="2505"/>
      <c r="R160" s="2507"/>
    </row>
    <row r="161" spans="2:18" s="2037" customFormat="1">
      <c r="B161" s="2505"/>
      <c r="C161" s="2505"/>
      <c r="D161" s="2505"/>
      <c r="E161" s="2505"/>
      <c r="F161" s="2505"/>
      <c r="G161" s="2506"/>
      <c r="H161" s="2505"/>
      <c r="I161" s="2506"/>
      <c r="J161" s="2505"/>
      <c r="K161" s="2505"/>
      <c r="L161" s="2506"/>
      <c r="M161" s="2505"/>
      <c r="N161" s="2505"/>
      <c r="O161" s="2506"/>
      <c r="P161" s="2505"/>
      <c r="Q161" s="2505"/>
      <c r="R161" s="2507"/>
    </row>
    <row r="162" spans="2:18" s="2037" customFormat="1">
      <c r="B162" s="2505"/>
      <c r="C162" s="2505"/>
      <c r="D162" s="2505"/>
      <c r="E162" s="2505"/>
      <c r="F162" s="2505"/>
      <c r="G162" s="2506"/>
      <c r="H162" s="2505"/>
      <c r="I162" s="2506"/>
      <c r="J162" s="2505"/>
      <c r="K162" s="2505"/>
      <c r="L162" s="2506"/>
      <c r="M162" s="2505"/>
      <c r="N162" s="2505"/>
      <c r="O162" s="2506"/>
      <c r="P162" s="2505"/>
      <c r="Q162" s="2505"/>
      <c r="R162" s="2507"/>
    </row>
    <row r="163" spans="2:18" s="2037" customFormat="1">
      <c r="B163" s="2505"/>
      <c r="C163" s="2505"/>
      <c r="D163" s="2505"/>
      <c r="E163" s="2505"/>
      <c r="F163" s="2505"/>
      <c r="G163" s="2506"/>
      <c r="H163" s="2505"/>
      <c r="I163" s="2506"/>
      <c r="J163" s="2505"/>
      <c r="K163" s="2505"/>
      <c r="L163" s="2506"/>
      <c r="M163" s="2505"/>
      <c r="N163" s="2505"/>
      <c r="O163" s="2506"/>
      <c r="P163" s="2505"/>
      <c r="Q163" s="2505"/>
      <c r="R163" s="2507"/>
    </row>
    <row r="164" spans="2:18" s="2037" customFormat="1">
      <c r="B164" s="2505"/>
      <c r="C164" s="2505"/>
      <c r="D164" s="2505"/>
      <c r="E164" s="2505"/>
      <c r="F164" s="2505"/>
      <c r="G164" s="2506"/>
      <c r="H164" s="2505"/>
      <c r="I164" s="2506"/>
      <c r="J164" s="2505"/>
      <c r="K164" s="2505"/>
      <c r="L164" s="2506"/>
      <c r="M164" s="2505"/>
      <c r="N164" s="2505"/>
      <c r="O164" s="2506"/>
      <c r="P164" s="2505"/>
      <c r="Q164" s="2505"/>
      <c r="R164" s="2507"/>
    </row>
    <row r="165" spans="2:18" s="2037" customFormat="1">
      <c r="B165" s="2505"/>
      <c r="C165" s="2505"/>
      <c r="D165" s="2505"/>
      <c r="E165" s="2505"/>
      <c r="F165" s="2505"/>
      <c r="G165" s="2506"/>
      <c r="H165" s="2505"/>
      <c r="I165" s="2506"/>
      <c r="J165" s="2505"/>
      <c r="K165" s="2505"/>
      <c r="L165" s="2506"/>
      <c r="M165" s="2505"/>
      <c r="N165" s="2505"/>
      <c r="O165" s="2506"/>
      <c r="P165" s="2505"/>
      <c r="Q165" s="2505"/>
      <c r="R165" s="2507"/>
    </row>
    <row r="166" spans="2:18" s="2037" customFormat="1">
      <c r="B166" s="2505"/>
      <c r="C166" s="2505"/>
      <c r="D166" s="2505"/>
      <c r="E166" s="2505"/>
      <c r="F166" s="2505"/>
      <c r="G166" s="2506"/>
      <c r="H166" s="2505"/>
      <c r="I166" s="2506"/>
      <c r="J166" s="2505"/>
      <c r="K166" s="2505"/>
      <c r="L166" s="2506"/>
      <c r="M166" s="2505"/>
      <c r="N166" s="2505"/>
      <c r="O166" s="2506"/>
      <c r="P166" s="2505"/>
      <c r="Q166" s="2505"/>
      <c r="R166" s="2507"/>
    </row>
    <row r="167" spans="2:18" s="2037" customFormat="1">
      <c r="B167" s="2505"/>
      <c r="C167" s="2505"/>
      <c r="D167" s="2505"/>
      <c r="E167" s="2505"/>
      <c r="F167" s="2505"/>
      <c r="G167" s="2506"/>
      <c r="H167" s="2505"/>
      <c r="I167" s="2506"/>
      <c r="J167" s="2505"/>
      <c r="K167" s="2505"/>
      <c r="L167" s="2506"/>
      <c r="M167" s="2505"/>
      <c r="N167" s="2505"/>
      <c r="O167" s="2506"/>
      <c r="P167" s="2505"/>
      <c r="Q167" s="2505"/>
      <c r="R167" s="2507"/>
    </row>
    <row r="168" spans="2:18" s="2037" customFormat="1">
      <c r="B168" s="2505"/>
      <c r="C168" s="2505"/>
      <c r="D168" s="2505"/>
      <c r="E168" s="2505"/>
      <c r="F168" s="2505"/>
      <c r="G168" s="2506"/>
      <c r="H168" s="2505"/>
      <c r="I168" s="2506"/>
      <c r="J168" s="2505"/>
      <c r="K168" s="2505"/>
      <c r="L168" s="2506"/>
      <c r="M168" s="2505"/>
      <c r="N168" s="2505"/>
      <c r="O168" s="2506"/>
      <c r="P168" s="2505"/>
      <c r="Q168" s="2505"/>
      <c r="R168" s="2507"/>
    </row>
    <row r="169" spans="2:18" s="2037" customFormat="1">
      <c r="B169" s="2505"/>
      <c r="C169" s="2505"/>
      <c r="D169" s="2505"/>
      <c r="E169" s="2505"/>
      <c r="F169" s="2505"/>
      <c r="G169" s="2506"/>
      <c r="H169" s="2505"/>
      <c r="I169" s="2506"/>
      <c r="J169" s="2505"/>
      <c r="K169" s="2505"/>
      <c r="L169" s="2506"/>
      <c r="M169" s="2505"/>
      <c r="N169" s="2505"/>
      <c r="O169" s="2506"/>
      <c r="P169" s="2505"/>
      <c r="Q169" s="2505"/>
      <c r="R169" s="2507"/>
    </row>
    <row r="170" spans="2:18" s="2037" customFormat="1">
      <c r="B170" s="2505"/>
      <c r="C170" s="2505"/>
      <c r="D170" s="2505"/>
      <c r="E170" s="2505"/>
      <c r="F170" s="2505"/>
      <c r="G170" s="2506"/>
      <c r="H170" s="2505"/>
      <c r="I170" s="2506"/>
      <c r="J170" s="2505"/>
      <c r="K170" s="2505"/>
      <c r="L170" s="2506"/>
      <c r="M170" s="2505"/>
      <c r="N170" s="2505"/>
      <c r="O170" s="2506"/>
      <c r="P170" s="2505"/>
      <c r="Q170" s="2505"/>
      <c r="R170" s="2507"/>
    </row>
    <row r="171" spans="2:18" s="2037" customFormat="1">
      <c r="B171" s="2505"/>
      <c r="C171" s="2505"/>
      <c r="D171" s="2505"/>
      <c r="E171" s="2505"/>
      <c r="F171" s="2505"/>
      <c r="G171" s="2506"/>
      <c r="H171" s="2505"/>
      <c r="I171" s="2506"/>
      <c r="J171" s="2505"/>
      <c r="K171" s="2505"/>
      <c r="L171" s="2506"/>
      <c r="M171" s="2505"/>
      <c r="N171" s="2505"/>
      <c r="O171" s="2506"/>
      <c r="P171" s="2505"/>
      <c r="Q171" s="2505"/>
      <c r="R171" s="2507"/>
    </row>
    <row r="172" spans="2:18" s="2037" customFormat="1">
      <c r="B172" s="2505"/>
      <c r="C172" s="2505"/>
      <c r="D172" s="2505"/>
      <c r="E172" s="2505"/>
      <c r="F172" s="2505"/>
      <c r="G172" s="2506"/>
      <c r="H172" s="2505"/>
      <c r="I172" s="2506"/>
      <c r="J172" s="2505"/>
      <c r="K172" s="2505"/>
      <c r="L172" s="2506"/>
      <c r="M172" s="2505"/>
      <c r="N172" s="2505"/>
      <c r="O172" s="2506"/>
      <c r="P172" s="2505"/>
      <c r="Q172" s="2505"/>
      <c r="R172" s="2507"/>
    </row>
    <row r="173" spans="2:18" s="2037" customFormat="1">
      <c r="B173" s="2505"/>
      <c r="C173" s="2505"/>
      <c r="D173" s="2505"/>
      <c r="E173" s="2505"/>
      <c r="F173" s="2505"/>
      <c r="G173" s="2506"/>
      <c r="H173" s="2505"/>
      <c r="I173" s="2506"/>
      <c r="J173" s="2505"/>
      <c r="K173" s="2505"/>
      <c r="L173" s="2506"/>
      <c r="M173" s="2505"/>
      <c r="N173" s="2505"/>
      <c r="O173" s="2506"/>
      <c r="P173" s="2505"/>
      <c r="Q173" s="2505"/>
      <c r="R173" s="2507"/>
    </row>
    <row r="174" spans="2:18" s="2037" customFormat="1">
      <c r="B174" s="2505"/>
      <c r="C174" s="2505"/>
      <c r="D174" s="2505"/>
      <c r="E174" s="2505"/>
      <c r="F174" s="2505"/>
      <c r="G174" s="2506"/>
      <c r="H174" s="2505"/>
      <c r="I174" s="2506"/>
      <c r="J174" s="2505"/>
      <c r="K174" s="2505"/>
      <c r="L174" s="2506"/>
      <c r="M174" s="2505"/>
      <c r="N174" s="2505"/>
      <c r="O174" s="2506"/>
      <c r="P174" s="2505"/>
      <c r="Q174" s="2505"/>
      <c r="R174" s="2507"/>
    </row>
    <row r="175" spans="2:18" s="2037" customFormat="1">
      <c r="B175" s="2505"/>
      <c r="C175" s="2505"/>
      <c r="D175" s="2505"/>
      <c r="E175" s="2505"/>
      <c r="F175" s="2505"/>
      <c r="G175" s="2506"/>
      <c r="H175" s="2505"/>
      <c r="I175" s="2506"/>
      <c r="J175" s="2505"/>
      <c r="K175" s="2505"/>
      <c r="L175" s="2506"/>
      <c r="M175" s="2505"/>
      <c r="N175" s="2505"/>
      <c r="O175" s="2506"/>
      <c r="P175" s="2505"/>
      <c r="Q175" s="2505"/>
      <c r="R175" s="2507"/>
    </row>
    <row r="176" spans="2:18" s="2037" customFormat="1">
      <c r="B176" s="2505"/>
      <c r="C176" s="2505"/>
      <c r="D176" s="2505"/>
      <c r="E176" s="2505"/>
      <c r="F176" s="2505"/>
      <c r="G176" s="2506"/>
      <c r="H176" s="2505"/>
      <c r="I176" s="2506"/>
      <c r="J176" s="2505"/>
      <c r="K176" s="2505"/>
      <c r="L176" s="2506"/>
      <c r="M176" s="2505"/>
      <c r="N176" s="2505"/>
      <c r="O176" s="2506"/>
      <c r="P176" s="2505"/>
      <c r="Q176" s="2505"/>
      <c r="R176" s="2507"/>
    </row>
    <row r="177" spans="1:18" s="2037" customFormat="1">
      <c r="B177" s="2505"/>
      <c r="C177" s="2505"/>
      <c r="D177" s="2505"/>
      <c r="E177" s="2505"/>
      <c r="F177" s="2505"/>
      <c r="G177" s="2506"/>
      <c r="H177" s="2505"/>
      <c r="I177" s="2506"/>
      <c r="J177" s="2505"/>
      <c r="K177" s="2505"/>
      <c r="L177" s="2506"/>
      <c r="M177" s="2505"/>
      <c r="N177" s="2505"/>
      <c r="O177" s="2506"/>
      <c r="P177" s="2505"/>
      <c r="Q177" s="2505"/>
      <c r="R177" s="2507"/>
    </row>
    <row r="178" spans="1:18" s="2037" customFormat="1">
      <c r="B178" s="2505"/>
      <c r="C178" s="2505"/>
      <c r="D178" s="2505"/>
      <c r="E178" s="2505"/>
      <c r="F178" s="2505"/>
      <c r="G178" s="2506"/>
      <c r="H178" s="2505"/>
      <c r="I178" s="2506"/>
      <c r="J178" s="2505"/>
      <c r="K178" s="2505"/>
      <c r="L178" s="2506"/>
      <c r="M178" s="2505"/>
      <c r="N178" s="2505"/>
      <c r="O178" s="2506"/>
      <c r="P178" s="2505"/>
      <c r="Q178" s="2505"/>
      <c r="R178" s="2507"/>
    </row>
    <row r="179" spans="1:18" s="2037" customFormat="1">
      <c r="B179" s="2505"/>
      <c r="C179" s="2505"/>
      <c r="D179" s="2505"/>
      <c r="E179" s="2505"/>
      <c r="F179" s="2505"/>
      <c r="G179" s="2506"/>
      <c r="H179" s="2505"/>
      <c r="I179" s="2506"/>
      <c r="J179" s="2505"/>
      <c r="K179" s="2505"/>
      <c r="L179" s="2506"/>
      <c r="M179" s="2505"/>
      <c r="N179" s="2505"/>
      <c r="O179" s="2506"/>
      <c r="P179" s="2505"/>
      <c r="Q179" s="2505"/>
      <c r="R179" s="2507"/>
    </row>
    <row r="180" spans="1:18" s="2037" customFormat="1">
      <c r="B180" s="2505"/>
      <c r="C180" s="2505"/>
      <c r="D180" s="2505"/>
      <c r="E180" s="2505"/>
      <c r="F180" s="2505"/>
      <c r="G180" s="2506"/>
      <c r="H180" s="2505"/>
      <c r="I180" s="2506"/>
      <c r="J180" s="2505"/>
      <c r="K180" s="2505"/>
      <c r="L180" s="2506"/>
      <c r="M180" s="2505"/>
      <c r="N180" s="2505"/>
      <c r="O180" s="2506"/>
      <c r="P180" s="2505"/>
      <c r="Q180" s="2505"/>
      <c r="R180" s="2507"/>
    </row>
    <row r="181" spans="1:18" s="2037" customFormat="1">
      <c r="B181" s="2505"/>
      <c r="C181" s="2505"/>
      <c r="D181" s="2505"/>
      <c r="E181" s="2505"/>
      <c r="F181" s="2505"/>
      <c r="G181" s="2506"/>
      <c r="H181" s="2505"/>
      <c r="I181" s="2506"/>
      <c r="J181" s="2505"/>
      <c r="K181" s="2505"/>
      <c r="L181" s="2506"/>
      <c r="M181" s="2505"/>
      <c r="N181" s="2505"/>
      <c r="O181" s="2506"/>
      <c r="P181" s="2505"/>
      <c r="Q181" s="2505"/>
      <c r="R181" s="2507"/>
    </row>
    <row r="182" spans="1:18" s="2037" customFormat="1">
      <c r="B182" s="2505"/>
      <c r="C182" s="2505"/>
      <c r="D182" s="2505"/>
      <c r="E182" s="2505"/>
      <c r="F182" s="2505"/>
      <c r="G182" s="2506"/>
      <c r="H182" s="2505"/>
      <c r="I182" s="2506"/>
      <c r="J182" s="2505"/>
      <c r="K182" s="2505"/>
      <c r="L182" s="2506"/>
      <c r="M182" s="2505"/>
      <c r="N182" s="2505"/>
      <c r="O182" s="2506"/>
      <c r="P182" s="2505"/>
      <c r="Q182" s="2505"/>
      <c r="R182" s="2507"/>
    </row>
    <row r="183" spans="1:18" s="2037" customFormat="1">
      <c r="B183" s="2505"/>
      <c r="C183" s="2505"/>
      <c r="D183" s="2505"/>
      <c r="E183" s="2505"/>
      <c r="F183" s="2505"/>
      <c r="G183" s="2506"/>
      <c r="H183" s="2505"/>
      <c r="I183" s="2506"/>
      <c r="J183" s="2505"/>
      <c r="K183" s="2505"/>
      <c r="L183" s="2506"/>
      <c r="M183" s="2505"/>
      <c r="N183" s="2505"/>
      <c r="O183" s="2506"/>
      <c r="P183" s="2505"/>
      <c r="Q183" s="2505"/>
      <c r="R183" s="2507"/>
    </row>
    <row r="184" spans="1:18" s="2037" customFormat="1">
      <c r="B184" s="2505"/>
      <c r="C184" s="2505"/>
      <c r="D184" s="2505"/>
      <c r="E184" s="2505"/>
      <c r="F184" s="2505"/>
      <c r="G184" s="2506"/>
      <c r="H184" s="2505"/>
      <c r="I184" s="2506"/>
      <c r="J184" s="2505"/>
      <c r="K184" s="2505"/>
      <c r="L184" s="2506"/>
      <c r="M184" s="2505"/>
      <c r="N184" s="2505"/>
      <c r="O184" s="2506"/>
      <c r="P184" s="2505"/>
      <c r="Q184" s="2505"/>
      <c r="R184" s="2507"/>
    </row>
    <row r="185" spans="1:18" s="2037" customFormat="1">
      <c r="B185" s="2505"/>
      <c r="C185" s="2505"/>
      <c r="D185" s="2505"/>
      <c r="E185" s="2505"/>
      <c r="F185" s="2505"/>
      <c r="G185" s="2506"/>
      <c r="H185" s="2505"/>
      <c r="I185" s="2506"/>
      <c r="J185" s="2505"/>
      <c r="K185" s="2505"/>
      <c r="L185" s="2506"/>
      <c r="M185" s="2505"/>
      <c r="N185" s="2505"/>
      <c r="O185" s="2506"/>
      <c r="P185" s="2505"/>
      <c r="Q185" s="2505"/>
      <c r="R185" s="2507"/>
    </row>
    <row r="186" spans="1:18">
      <c r="A186" s="2037"/>
      <c r="B186" s="2505"/>
      <c r="C186" s="2505"/>
      <c r="E186" s="2505"/>
      <c r="F186" s="2505"/>
      <c r="G186" s="2506"/>
    </row>
    <row r="187" spans="1:18">
      <c r="A187" s="2037"/>
      <c r="B187" s="2505"/>
      <c r="C187" s="2505"/>
      <c r="E187" s="2505"/>
      <c r="F187" s="2505"/>
      <c r="G187" s="2506"/>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workbookViewId="0">
      <selection activeCell="N10" sqref="N10"/>
    </sheetView>
  </sheetViews>
  <sheetFormatPr defaultColWidth="9" defaultRowHeight="13.5"/>
  <cols>
    <col min="1" max="1" width="25" style="2486" customWidth="1"/>
    <col min="2" max="9" width="15.75" style="2486" customWidth="1"/>
    <col min="10" max="16384" width="9" style="2486"/>
  </cols>
  <sheetData>
    <row r="1" spans="1:11" ht="16.5">
      <c r="A1" s="2487" t="s">
        <v>668</v>
      </c>
      <c r="B1" s="2487">
        <f>SUM(B14:B23)</f>
        <v>842.81</v>
      </c>
      <c r="C1" s="2488"/>
      <c r="D1" s="2488"/>
      <c r="E1" s="2488"/>
      <c r="F1" s="2488"/>
      <c r="G1" s="2489"/>
      <c r="H1" s="2490"/>
      <c r="I1" s="2490"/>
      <c r="J1" s="2490"/>
      <c r="K1" s="2490"/>
    </row>
    <row r="2" spans="1:11" ht="16.5">
      <c r="A2" s="2487" t="s">
        <v>669</v>
      </c>
      <c r="B2" s="2487">
        <f>SUM(C14:C23)</f>
        <v>0</v>
      </c>
      <c r="C2" s="2488"/>
      <c r="D2" s="2488"/>
      <c r="E2" s="2488"/>
      <c r="F2" s="2488"/>
      <c r="G2" s="2489"/>
      <c r="H2" s="2490"/>
      <c r="I2" s="2490"/>
      <c r="J2" s="2490"/>
      <c r="K2" s="2490"/>
    </row>
    <row r="3" spans="1:11" ht="16.5">
      <c r="A3" s="2487" t="s">
        <v>670</v>
      </c>
      <c r="B3" s="2491">
        <f>项目基本情况!D3</f>
        <v>44725</v>
      </c>
      <c r="C3" s="2488"/>
      <c r="D3" s="2488"/>
      <c r="E3" s="2488"/>
      <c r="F3" s="2488"/>
      <c r="G3" s="2489"/>
      <c r="H3" s="2490"/>
      <c r="I3" s="2490"/>
      <c r="J3" s="2490"/>
      <c r="K3" s="2490"/>
    </row>
    <row r="4" spans="1:11" ht="33">
      <c r="A4" s="2487" t="s">
        <v>671</v>
      </c>
      <c r="B4" s="2487" t="s">
        <v>672</v>
      </c>
      <c r="C4" s="2487" t="s">
        <v>673</v>
      </c>
      <c r="D4" s="2487" t="s">
        <v>674</v>
      </c>
      <c r="E4" s="2488"/>
      <c r="F4" s="2489"/>
      <c r="G4" s="2489"/>
      <c r="H4" s="2490"/>
      <c r="I4" s="2490"/>
      <c r="J4" s="2490"/>
      <c r="K4" s="2490"/>
    </row>
    <row r="5" spans="1:11" ht="16.5">
      <c r="A5" s="2487" t="s">
        <v>675</v>
      </c>
      <c r="B5" s="2487">
        <f ca="1">SUM(D14:D23)</f>
        <v>1684</v>
      </c>
      <c r="C5" s="2487">
        <f ca="1">ROUND(B5*10000/$B$1,0)</f>
        <v>19981</v>
      </c>
      <c r="D5" s="2487" t="e">
        <f ca="1">ROUND(B5*10000/$B$2,0)</f>
        <v>#DIV/0!</v>
      </c>
      <c r="E5" s="2488"/>
      <c r="F5" s="2489"/>
      <c r="G5" s="2489"/>
      <c r="H5" s="2490"/>
      <c r="I5" s="2490"/>
      <c r="J5" s="2490"/>
      <c r="K5" s="2490"/>
    </row>
    <row r="6" spans="1:11" ht="16.5">
      <c r="A6" s="2487" t="s">
        <v>676</v>
      </c>
      <c r="B6" s="2487">
        <f ca="1">SUM(G14:G23)</f>
        <v>1684</v>
      </c>
      <c r="C6" s="2487">
        <f ca="1">ROUND(B6*10000/$B$1,0)</f>
        <v>19981</v>
      </c>
      <c r="D6" s="2487" t="e">
        <f ca="1">ROUND(B6*10000/$B$2,0)</f>
        <v>#DIV/0!</v>
      </c>
      <c r="E6" s="2488"/>
      <c r="F6" s="2489"/>
      <c r="G6" s="2489"/>
      <c r="H6" s="2490"/>
      <c r="I6" s="2490"/>
      <c r="J6" s="2490"/>
      <c r="K6" s="2490"/>
    </row>
    <row r="7" spans="1:11" ht="16.5">
      <c r="A7" s="2487" t="s">
        <v>677</v>
      </c>
      <c r="B7" s="2487">
        <f>SUM(H14:H23)</f>
        <v>0</v>
      </c>
      <c r="C7" s="2487">
        <f>ROUND(B7*10000/$B$1,0)</f>
        <v>0</v>
      </c>
      <c r="D7" s="2487" t="e">
        <f>ROUND(B7*10000/$B$2,0)</f>
        <v>#DIV/0!</v>
      </c>
      <c r="E7" s="2488"/>
      <c r="F7" s="2489"/>
      <c r="G7" s="2489"/>
      <c r="H7" s="2490"/>
      <c r="I7" s="2490"/>
      <c r="J7" s="2490"/>
      <c r="K7" s="2490"/>
    </row>
    <row r="8" spans="1:11" ht="16.5">
      <c r="A8" s="2487" t="s">
        <v>330</v>
      </c>
      <c r="B8" s="2487">
        <f>SUM(I14:I23)</f>
        <v>0</v>
      </c>
      <c r="C8" s="2487">
        <f>ROUND(B8*10000/$B$1,0)</f>
        <v>0</v>
      </c>
      <c r="D8" s="2487" t="e">
        <f>ROUND(B8*10000/$B$2,0)</f>
        <v>#DIV/0!</v>
      </c>
      <c r="E8" s="2488"/>
      <c r="F8" s="2489"/>
      <c r="G8" s="2489"/>
      <c r="H8" s="2490"/>
      <c r="I8" s="2490"/>
      <c r="J8" s="2490"/>
      <c r="K8" s="2490"/>
    </row>
    <row r="9" spans="1:11" ht="16.5">
      <c r="A9" s="2487" t="s">
        <v>678</v>
      </c>
      <c r="B9" s="2492"/>
      <c r="C9" s="2488"/>
      <c r="D9" s="2488"/>
      <c r="E9" s="2488"/>
      <c r="F9" s="2489"/>
      <c r="G9" s="2489"/>
      <c r="H9" s="2490"/>
      <c r="I9" s="2490"/>
      <c r="J9" s="2490"/>
      <c r="K9" s="2490"/>
    </row>
    <row r="10" spans="1:11" ht="16.5">
      <c r="A10" s="2487" t="s">
        <v>679</v>
      </c>
      <c r="B10" s="2492"/>
      <c r="C10" s="2488"/>
      <c r="D10" s="2488"/>
      <c r="E10" s="2488"/>
      <c r="F10" s="2489"/>
      <c r="G10" s="2489"/>
      <c r="H10" s="2490"/>
      <c r="I10" s="2490"/>
      <c r="J10" s="2490"/>
      <c r="K10" s="2490"/>
    </row>
    <row r="11" spans="1:11" ht="16.5">
      <c r="A11" s="2487" t="s">
        <v>680</v>
      </c>
      <c r="B11" s="2492"/>
      <c r="C11" s="2488"/>
      <c r="D11" s="2488"/>
      <c r="E11" s="2488"/>
      <c r="F11" s="2489"/>
      <c r="G11" s="2489"/>
      <c r="H11" s="2490"/>
      <c r="I11" s="2490"/>
      <c r="J11" s="2490"/>
      <c r="K11" s="2490"/>
    </row>
    <row r="12" spans="1:11" ht="16.5">
      <c r="A12" s="2488"/>
      <c r="B12" s="2488"/>
      <c r="C12" s="2488"/>
      <c r="D12" s="2488"/>
      <c r="E12" s="2488"/>
      <c r="F12" s="2489"/>
      <c r="G12" s="2489"/>
      <c r="H12" s="2490"/>
      <c r="I12" s="2490"/>
      <c r="J12" s="2490"/>
      <c r="K12" s="2490"/>
    </row>
    <row r="13" spans="1:11" ht="33">
      <c r="A13" s="2493" t="s">
        <v>681</v>
      </c>
      <c r="B13" s="2494" t="s">
        <v>668</v>
      </c>
      <c r="C13" s="2494" t="s">
        <v>669</v>
      </c>
      <c r="D13" s="2494" t="s">
        <v>682</v>
      </c>
      <c r="E13" s="2487" t="s">
        <v>673</v>
      </c>
      <c r="F13" s="2487" t="s">
        <v>674</v>
      </c>
      <c r="G13" s="2494" t="s">
        <v>683</v>
      </c>
      <c r="H13" s="2494" t="s">
        <v>684</v>
      </c>
      <c r="I13" s="2494" t="s">
        <v>685</v>
      </c>
      <c r="J13" s="2489"/>
      <c r="K13" s="2490"/>
    </row>
    <row r="14" spans="1:11" ht="16.5">
      <c r="A14" s="2495" t="s">
        <v>2643</v>
      </c>
      <c r="B14" s="2496">
        <f>结果表!B118+'数据-汇总表'!G20</f>
        <v>842.81</v>
      </c>
      <c r="C14" s="2496">
        <f>结果表!C118+'数据-汇总表'!D20</f>
        <v>0</v>
      </c>
      <c r="D14" s="2496">
        <f ca="1">结果表!H118</f>
        <v>1684</v>
      </c>
      <c r="E14" s="2496">
        <f ca="1">ROUND(D14*10000/B14,0)</f>
        <v>19981</v>
      </c>
      <c r="F14" s="2496" t="e">
        <f ca="1">ROUND(D14*10000/C14,0)</f>
        <v>#DIV/0!</v>
      </c>
      <c r="G14" s="2496">
        <f ca="1">D14</f>
        <v>1684</v>
      </c>
      <c r="H14" s="2496" t="str">
        <f>结果表!D124</f>
        <v>——</v>
      </c>
      <c r="I14" s="2496"/>
      <c r="J14" s="2489"/>
      <c r="K14" s="2490"/>
    </row>
    <row r="15" spans="1:11" ht="16.5">
      <c r="A15" s="2495" t="s">
        <v>2644</v>
      </c>
      <c r="B15" s="2497"/>
      <c r="C15" s="2497"/>
      <c r="D15" s="2497"/>
      <c r="E15" s="2496" t="e">
        <f t="shared" ref="E15:E23" si="0">ROUND(D15*10000/B15,0)</f>
        <v>#DIV/0!</v>
      </c>
      <c r="F15" s="2496" t="e">
        <f t="shared" ref="F15:F23" si="1">ROUND(D15*10000/C15,0)</f>
        <v>#DIV/0!</v>
      </c>
      <c r="G15" s="2498"/>
      <c r="H15" s="2498"/>
      <c r="I15" s="2497"/>
      <c r="J15" s="2489"/>
      <c r="K15" s="2490"/>
    </row>
    <row r="16" spans="1:11" ht="16.5">
      <c r="A16" s="2495" t="s">
        <v>686</v>
      </c>
      <c r="B16" s="2497"/>
      <c r="C16" s="2497"/>
      <c r="D16" s="2497"/>
      <c r="E16" s="2496" t="e">
        <f t="shared" si="0"/>
        <v>#DIV/0!</v>
      </c>
      <c r="F16" s="2496" t="e">
        <f t="shared" si="1"/>
        <v>#DIV/0!</v>
      </c>
      <c r="G16" s="2498"/>
      <c r="H16" s="2498"/>
      <c r="I16" s="2497"/>
      <c r="J16" s="2490"/>
      <c r="K16" s="2490"/>
    </row>
    <row r="17" spans="1:11" ht="16.5">
      <c r="A17" s="2495" t="s">
        <v>687</v>
      </c>
      <c r="B17" s="2497"/>
      <c r="C17" s="2497"/>
      <c r="D17" s="2497"/>
      <c r="E17" s="2496" t="e">
        <f t="shared" si="0"/>
        <v>#DIV/0!</v>
      </c>
      <c r="F17" s="2496" t="e">
        <f t="shared" si="1"/>
        <v>#DIV/0!</v>
      </c>
      <c r="G17" s="2498"/>
      <c r="H17" s="2498"/>
      <c r="I17" s="2497"/>
      <c r="J17" s="2490"/>
      <c r="K17" s="2490"/>
    </row>
    <row r="18" spans="1:11" ht="16.5">
      <c r="A18" s="2495" t="s">
        <v>688</v>
      </c>
      <c r="B18" s="2497"/>
      <c r="C18" s="2497"/>
      <c r="D18" s="2497"/>
      <c r="E18" s="2496" t="e">
        <f t="shared" si="0"/>
        <v>#DIV/0!</v>
      </c>
      <c r="F18" s="2496" t="e">
        <f t="shared" si="1"/>
        <v>#DIV/0!</v>
      </c>
      <c r="G18" s="2497"/>
      <c r="H18" s="2497"/>
      <c r="I18" s="2497"/>
      <c r="J18" s="2490"/>
      <c r="K18" s="2490"/>
    </row>
    <row r="19" spans="1:11" ht="16.5">
      <c r="A19" s="2495" t="s">
        <v>689</v>
      </c>
      <c r="B19" s="2497"/>
      <c r="C19" s="2497"/>
      <c r="D19" s="2497"/>
      <c r="E19" s="2496" t="e">
        <f t="shared" si="0"/>
        <v>#DIV/0!</v>
      </c>
      <c r="F19" s="2496" t="e">
        <f t="shared" si="1"/>
        <v>#DIV/0!</v>
      </c>
      <c r="G19" s="2497"/>
      <c r="H19" s="2497"/>
      <c r="I19" s="2497"/>
      <c r="J19" s="2490"/>
      <c r="K19" s="2490"/>
    </row>
    <row r="20" spans="1:11" ht="16.5">
      <c r="A20" s="2495" t="s">
        <v>690</v>
      </c>
      <c r="B20" s="2497"/>
      <c r="C20" s="2497"/>
      <c r="D20" s="2497"/>
      <c r="E20" s="2496" t="e">
        <f t="shared" si="0"/>
        <v>#DIV/0!</v>
      </c>
      <c r="F20" s="2496" t="e">
        <f t="shared" si="1"/>
        <v>#DIV/0!</v>
      </c>
      <c r="G20" s="2497"/>
      <c r="H20" s="2497"/>
      <c r="I20" s="2497"/>
      <c r="J20" s="2490"/>
      <c r="K20" s="2490"/>
    </row>
    <row r="21" spans="1:11" ht="16.5">
      <c r="A21" s="2495" t="s">
        <v>691</v>
      </c>
      <c r="B21" s="2497"/>
      <c r="C21" s="2497"/>
      <c r="D21" s="2497"/>
      <c r="E21" s="2496" t="e">
        <f t="shared" si="0"/>
        <v>#DIV/0!</v>
      </c>
      <c r="F21" s="2496" t="e">
        <f t="shared" si="1"/>
        <v>#DIV/0!</v>
      </c>
      <c r="G21" s="2497"/>
      <c r="H21" s="2497"/>
      <c r="I21" s="2497"/>
      <c r="J21" s="2490"/>
      <c r="K21" s="2490"/>
    </row>
    <row r="22" spans="1:11" ht="16.5">
      <c r="A22" s="2495"/>
      <c r="B22" s="2497"/>
      <c r="C22" s="2497"/>
      <c r="D22" s="2497"/>
      <c r="E22" s="2496" t="e">
        <f t="shared" si="0"/>
        <v>#DIV/0!</v>
      </c>
      <c r="F22" s="2496" t="e">
        <f t="shared" si="1"/>
        <v>#DIV/0!</v>
      </c>
      <c r="G22" s="2497"/>
      <c r="H22" s="2497"/>
      <c r="I22" s="2497"/>
      <c r="J22" s="2490"/>
      <c r="K22" s="2490"/>
    </row>
    <row r="23" spans="1:11" ht="16.5">
      <c r="A23" s="2495"/>
      <c r="B23" s="2497"/>
      <c r="C23" s="2497"/>
      <c r="D23" s="2497"/>
      <c r="E23" s="2492" t="e">
        <f t="shared" si="0"/>
        <v>#DIV/0!</v>
      </c>
      <c r="F23" s="2492" t="e">
        <f t="shared" si="1"/>
        <v>#DIV/0!</v>
      </c>
      <c r="G23" s="2497"/>
      <c r="H23" s="2497"/>
      <c r="I23" s="2497"/>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row r="31" spans="1:11">
      <c r="C31" s="3227" t="s">
        <v>2647</v>
      </c>
    </row>
    <row r="32" spans="1:11">
      <c r="A32" s="2495" t="s">
        <v>2643</v>
      </c>
      <c r="B32" s="3227" t="s">
        <v>2645</v>
      </c>
      <c r="C32" s="2486">
        <f ca="1">结果表!I118</f>
        <v>19981</v>
      </c>
    </row>
    <row r="33" spans="1:3">
      <c r="B33" s="3227" t="s">
        <v>2646</v>
      </c>
      <c r="C33" s="2486" t="e">
        <f ca="1">'结果表 (地下)'!H102</f>
        <v>#N/A</v>
      </c>
    </row>
    <row r="34" spans="1:3">
      <c r="A34" s="2495" t="s">
        <v>2644</v>
      </c>
      <c r="B34" s="3227" t="s">
        <v>2645</v>
      </c>
      <c r="C34" s="2486" t="e">
        <f>#REF!</f>
        <v>#REF!</v>
      </c>
    </row>
    <row r="35" spans="1:3">
      <c r="B35" s="3227" t="s">
        <v>2646</v>
      </c>
      <c r="C35" s="2486" t="e">
        <f ca="1">'结果表 (地下)'!I118</f>
        <v>#N/A</v>
      </c>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80" zoomScaleNormal="100" zoomScalePageLayoutView="80" workbookViewId="0">
      <selection activeCell="G19" sqref="G19:G20"/>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692</v>
      </c>
      <c r="B1" s="2160"/>
      <c r="C1" s="2161" t="s">
        <v>462</v>
      </c>
      <c r="D1" s="2160"/>
      <c r="E1" s="2160"/>
      <c r="F1" s="2162" t="s">
        <v>693</v>
      </c>
      <c r="G1" s="2163" t="s">
        <v>2651</v>
      </c>
      <c r="H1" s="2164" t="str">
        <f>IF(G1="现房","——","估价对象范围")</f>
        <v>——</v>
      </c>
      <c r="I1" s="2297" t="s">
        <v>2664</v>
      </c>
    </row>
    <row r="2" spans="1:12" ht="21.75" customHeight="1">
      <c r="A2" s="3402" t="str">
        <f>项目基本情况!S2</f>
        <v>北京市通州区口子村东1号院72号楼-1至3层101房地产</v>
      </c>
      <c r="B2" s="3403"/>
      <c r="C2" s="3403"/>
      <c r="D2" s="3403"/>
      <c r="E2" s="3403"/>
      <c r="F2" s="3403"/>
      <c r="G2" s="3403"/>
      <c r="H2" s="3403"/>
      <c r="I2" s="3404"/>
    </row>
    <row r="3" spans="1:12" ht="12.75">
      <c r="A3" s="3405" t="s">
        <v>694</v>
      </c>
      <c r="B3" s="3406"/>
      <c r="C3" s="3406"/>
      <c r="D3" s="3406"/>
      <c r="E3" s="3406"/>
      <c r="F3" s="3406"/>
      <c r="G3" s="3406"/>
      <c r="H3" s="3406"/>
      <c r="I3" s="3406"/>
    </row>
    <row r="4" spans="1:12" ht="14.25">
      <c r="A4" s="2165" t="s">
        <v>695</v>
      </c>
      <c r="B4" s="2166" t="s">
        <v>696</v>
      </c>
      <c r="C4" s="2167" t="s">
        <v>2663</v>
      </c>
      <c r="D4" s="2167" t="s">
        <v>583</v>
      </c>
      <c r="E4" s="3407" t="s">
        <v>697</v>
      </c>
      <c r="F4" s="3408"/>
      <c r="G4" s="3408"/>
      <c r="H4" s="3408"/>
      <c r="I4" s="3409"/>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26" t="s">
        <v>698</v>
      </c>
      <c r="B5" s="3334">
        <v>25</v>
      </c>
      <c r="C5" s="3419"/>
      <c r="D5" s="3337"/>
      <c r="E5" s="1827" t="s">
        <v>699</v>
      </c>
      <c r="F5" s="2172"/>
      <c r="G5" s="2172"/>
      <c r="H5" s="2172"/>
      <c r="I5" s="2148"/>
    </row>
    <row r="6" spans="1:12" ht="12.75">
      <c r="A6" s="3326"/>
      <c r="B6" s="3334"/>
      <c r="C6" s="3420"/>
      <c r="D6" s="3337"/>
      <c r="E6" s="1827" t="s">
        <v>700</v>
      </c>
      <c r="F6" s="2172"/>
      <c r="G6" s="2172"/>
      <c r="H6" s="2172"/>
      <c r="I6" s="2148"/>
    </row>
    <row r="7" spans="1:12" ht="12.75">
      <c r="A7" s="3326"/>
      <c r="B7" s="3334"/>
      <c r="C7" s="3421"/>
      <c r="D7" s="3337"/>
      <c r="E7" s="1827" t="s">
        <v>701</v>
      </c>
      <c r="F7" s="2172"/>
      <c r="G7" s="2172"/>
      <c r="H7" s="2172"/>
      <c r="I7" s="2148"/>
    </row>
    <row r="8" spans="1:12" ht="12.75">
      <c r="A8" s="3326" t="s">
        <v>702</v>
      </c>
      <c r="B8" s="3334">
        <v>15</v>
      </c>
      <c r="C8" s="3419"/>
      <c r="D8" s="3337"/>
      <c r="E8" s="1827" t="s">
        <v>703</v>
      </c>
      <c r="F8" s="2172"/>
      <c r="G8" s="2172"/>
      <c r="H8" s="2172"/>
      <c r="I8" s="2148"/>
    </row>
    <row r="9" spans="1:12" ht="12.75">
      <c r="A9" s="3326"/>
      <c r="B9" s="3334"/>
      <c r="C9" s="3421"/>
      <c r="D9" s="3337"/>
      <c r="E9" s="1827" t="s">
        <v>704</v>
      </c>
      <c r="F9" s="2172"/>
      <c r="G9" s="2172"/>
      <c r="H9" s="2172"/>
      <c r="I9" s="2148"/>
    </row>
    <row r="10" spans="1:12" ht="12.75">
      <c r="A10" s="3326" t="s">
        <v>705</v>
      </c>
      <c r="B10" s="3334">
        <v>15</v>
      </c>
      <c r="C10" s="3419"/>
      <c r="D10" s="3337"/>
      <c r="E10" s="1827" t="s">
        <v>706</v>
      </c>
      <c r="F10" s="2172"/>
      <c r="G10" s="2172"/>
      <c r="H10" s="2172"/>
      <c r="I10" s="2148"/>
    </row>
    <row r="11" spans="1:12" ht="12.75">
      <c r="A11" s="3326"/>
      <c r="B11" s="3334"/>
      <c r="C11" s="3421"/>
      <c r="D11" s="3337"/>
      <c r="E11" s="1827" t="s">
        <v>707</v>
      </c>
      <c r="F11" s="2172"/>
      <c r="G11" s="2172"/>
      <c r="H11" s="2172"/>
      <c r="I11" s="2148"/>
    </row>
    <row r="12" spans="1:12" ht="12.75">
      <c r="A12" s="3326" t="s">
        <v>708</v>
      </c>
      <c r="B12" s="3334">
        <v>15</v>
      </c>
      <c r="C12" s="3419"/>
      <c r="D12" s="3337"/>
      <c r="E12" s="1827" t="s">
        <v>709</v>
      </c>
      <c r="F12" s="2172"/>
      <c r="G12" s="2172"/>
      <c r="H12" s="2172"/>
      <c r="I12" s="2148"/>
    </row>
    <row r="13" spans="1:12" ht="12.75">
      <c r="A13" s="3326"/>
      <c r="B13" s="3334"/>
      <c r="C13" s="3421"/>
      <c r="D13" s="3337"/>
      <c r="E13" s="1827" t="s">
        <v>710</v>
      </c>
      <c r="F13" s="2172"/>
      <c r="G13" s="2172"/>
      <c r="H13" s="2172"/>
      <c r="I13" s="2148"/>
    </row>
    <row r="14" spans="1:12" ht="12.75">
      <c r="A14" s="3326" t="s">
        <v>711</v>
      </c>
      <c r="B14" s="3334">
        <v>30</v>
      </c>
      <c r="C14" s="3419">
        <v>7</v>
      </c>
      <c r="D14" s="3337">
        <v>3</v>
      </c>
      <c r="E14" s="1827" t="s">
        <v>712</v>
      </c>
      <c r="F14" s="2172"/>
      <c r="G14" s="2172"/>
      <c r="H14" s="2172"/>
      <c r="I14" s="2148"/>
    </row>
    <row r="15" spans="1:12" ht="12.75">
      <c r="A15" s="3326"/>
      <c r="B15" s="3334"/>
      <c r="C15" s="3420"/>
      <c r="D15" s="3337"/>
      <c r="E15" s="1827" t="s">
        <v>713</v>
      </c>
      <c r="F15" s="2172"/>
      <c r="G15" s="2172"/>
      <c r="H15" s="2172"/>
      <c r="I15" s="2148"/>
    </row>
    <row r="16" spans="1:12" ht="12.75">
      <c r="A16" s="3326"/>
      <c r="B16" s="3334"/>
      <c r="C16" s="3421"/>
      <c r="D16" s="3337"/>
      <c r="E16" s="1827" t="s">
        <v>714</v>
      </c>
      <c r="F16" s="2172"/>
      <c r="G16" s="2172"/>
      <c r="H16" s="2172"/>
      <c r="I16" s="2148"/>
    </row>
    <row r="17" spans="1:36" ht="15">
      <c r="A17" s="2173" t="s">
        <v>715</v>
      </c>
      <c r="B17" s="2174"/>
      <c r="C17" s="2175">
        <f>SUM(C5:C16)</f>
        <v>7</v>
      </c>
      <c r="D17" s="2175">
        <f>SUM(D5:D16)</f>
        <v>3</v>
      </c>
      <c r="E17" s="282"/>
      <c r="F17" s="282"/>
      <c r="G17" s="282"/>
      <c r="H17" s="282"/>
      <c r="I17" s="282"/>
      <c r="K17" s="1787"/>
      <c r="L17" s="1787" t="s">
        <v>716</v>
      </c>
      <c r="M17" s="1787" t="s">
        <v>717</v>
      </c>
    </row>
    <row r="18" spans="1:36" ht="31.9" customHeight="1">
      <c r="A18" s="2176" t="s">
        <v>718</v>
      </c>
      <c r="B18" s="2177"/>
      <c r="C18" s="2178">
        <f>ROUND(C17/SUM(C17:D17),2)</f>
        <v>0.7</v>
      </c>
      <c r="D18" s="2178">
        <f>1-C18</f>
        <v>0.30000000000000004</v>
      </c>
      <c r="E18" s="3410" t="s">
        <v>719</v>
      </c>
      <c r="F18" s="3411"/>
      <c r="G18" s="3411"/>
      <c r="H18" s="3411"/>
      <c r="I18" s="3411"/>
      <c r="K18" s="1787" t="s">
        <v>362</v>
      </c>
      <c r="L18" s="1787">
        <f>IF(C1="",'数据-汇总表'!E3,SUMIF(项目类型,C1,'数据-汇总表'!E17:E26)+SUMIF(项目类型,C1,'数据-汇总表'!I17:I26))</f>
        <v>842.81</v>
      </c>
      <c r="M18" s="1787">
        <f>IF(C1="",'数据-汇总表'!E3,SUMIF(项目类型,C1,'数据-汇总表'!E17:E26))</f>
        <v>842.81</v>
      </c>
    </row>
    <row r="19" spans="1:36" ht="15">
      <c r="A19" s="2179" t="s">
        <v>720</v>
      </c>
      <c r="B19" s="2180" t="s">
        <v>721</v>
      </c>
      <c r="C19" s="2181">
        <f ca="1">SUMIF(INDIRECT("'"&amp;C4&amp;"'"&amp;"!A:A"),结果表!B19,INDIRECT("'"&amp;C4&amp;"'"&amp;"!B:B"))</f>
        <v>2015</v>
      </c>
      <c r="D19" s="1268">
        <f ca="1">SUMIF(INDIRECT("'"&amp;D4&amp;"'"&amp;"!A:A"),结果表!B19,INDIRECT("'"&amp;D4&amp;"'"&amp;"!B:B"))</f>
        <v>913</v>
      </c>
      <c r="E19" s="2179" t="s">
        <v>722</v>
      </c>
      <c r="F19" s="2180" t="s">
        <v>721</v>
      </c>
      <c r="G19" s="2182">
        <f ca="1">ROUND(C19*$C$18+D19*$D$18,0)</f>
        <v>1684</v>
      </c>
      <c r="H19" s="2183" t="s">
        <v>723</v>
      </c>
      <c r="I19" s="282"/>
      <c r="K19" s="1787" t="s">
        <v>365</v>
      </c>
      <c r="L19" s="1787">
        <f>IF(C1="",'数据-汇总表'!D3,SUMIF(项目类型,C1,'数据-汇总表'!D17:D26)+SUMIF(项目类型,C1,'数据-汇总表'!H17:H27))</f>
        <v>0</v>
      </c>
      <c r="M19" s="1787">
        <f>IF(C1="",'数据-汇总表'!D3,SUMIF(项目类型,C1,'数据-汇总表'!D17:D26))</f>
        <v>0</v>
      </c>
    </row>
    <row r="20" spans="1:36" ht="15">
      <c r="A20" s="2184"/>
      <c r="B20" s="2185" t="s">
        <v>724</v>
      </c>
      <c r="C20" s="1523">
        <f ca="1">SUMIF(INDIRECT("'"&amp;C4&amp;"'"&amp;"!A:A"),结果表!B20,INDIRECT("'"&amp;C4&amp;"'"&amp;"!B:B"))</f>
        <v>23912</v>
      </c>
      <c r="D20" s="1526">
        <f ca="1">SUMIF(INDIRECT("'"&amp;D4&amp;"'"&amp;"!A:A"),结果表!B20,INDIRECT("'"&amp;D4&amp;"'"&amp;"!B:B"))</f>
        <v>10833</v>
      </c>
      <c r="E20" s="2184"/>
      <c r="F20" s="2185" t="s">
        <v>724</v>
      </c>
      <c r="G20" s="2186">
        <f ca="1">ROUND(C20*$C$18+D20*$D$18,0)</f>
        <v>19988</v>
      </c>
      <c r="H20" s="1942" t="s">
        <v>725</v>
      </c>
      <c r="I20" s="282"/>
    </row>
    <row r="21" spans="1:36" ht="15" customHeight="1">
      <c r="A21" s="2113"/>
      <c r="B21" s="2187" t="s">
        <v>726</v>
      </c>
      <c r="C21" s="2188" t="e">
        <f ca="1">ROUND(C19*10000/L19,0)</f>
        <v>#DIV/0!</v>
      </c>
      <c r="D21" s="2189" t="e">
        <f ca="1">ROUND(D19*10000/L19,0)</f>
        <v>#DIV/0!</v>
      </c>
      <c r="E21" s="2113"/>
      <c r="F21" s="2187" t="s">
        <v>726</v>
      </c>
      <c r="G21" s="2190" t="e">
        <f ca="1">ROUND(G19*10000/L19,0)</f>
        <v>#DIV/0!</v>
      </c>
      <c r="H21" s="2191" t="s">
        <v>725</v>
      </c>
      <c r="I21" s="282"/>
    </row>
    <row r="22" spans="1:36" ht="14.25">
      <c r="A22" s="2192" t="s">
        <v>727</v>
      </c>
      <c r="B22" s="2193"/>
      <c r="C22" s="2194"/>
      <c r="D22" s="2195">
        <f ca="1">IF(C19&lt;D19,D19/C19-1,C19/D19-1)</f>
        <v>1.2070098576122672</v>
      </c>
      <c r="E22" s="282"/>
      <c r="F22" s="282"/>
      <c r="G22" s="282"/>
      <c r="H22" s="282"/>
      <c r="I22" s="282"/>
    </row>
    <row r="23" spans="1:36" ht="12.75">
      <c r="A23" s="2160"/>
      <c r="B23" s="2160"/>
      <c r="C23" s="2160"/>
      <c r="D23" s="2160"/>
      <c r="E23" s="282"/>
      <c r="F23" s="282"/>
      <c r="G23" s="282"/>
      <c r="H23" s="282"/>
      <c r="I23" s="282"/>
    </row>
    <row r="24" spans="1:36" ht="14.25">
      <c r="A24" s="3327" t="s">
        <v>728</v>
      </c>
      <c r="B24" s="2180" t="s">
        <v>721</v>
      </c>
      <c r="C24" s="2182">
        <f>IF(B30=0,0,D30)</f>
        <v>0</v>
      </c>
      <c r="D24" s="2196"/>
      <c r="E24" s="282"/>
      <c r="F24" s="282"/>
      <c r="G24" s="282"/>
      <c r="H24" s="282"/>
      <c r="I24" s="282"/>
    </row>
    <row r="25" spans="1:36" ht="14.25">
      <c r="A25" s="3328"/>
      <c r="B25" s="2185" t="s">
        <v>724</v>
      </c>
      <c r="C25" s="2197">
        <f>IF(B30=0,0,C30)</f>
        <v>0</v>
      </c>
      <c r="D25" s="2198"/>
      <c r="E25" s="282"/>
      <c r="F25" s="282"/>
      <c r="G25" s="282"/>
      <c r="H25" s="282"/>
      <c r="I25" s="282"/>
    </row>
    <row r="26" spans="1:36" ht="13.5" customHeight="1">
      <c r="A26" s="2199" t="s">
        <v>729</v>
      </c>
      <c r="B26" s="2200" t="s">
        <v>730</v>
      </c>
      <c r="C26" s="2200" t="s">
        <v>731</v>
      </c>
      <c r="D26" s="2201" t="s">
        <v>732</v>
      </c>
      <c r="E26" s="282"/>
      <c r="F26" s="282"/>
      <c r="G26" s="282"/>
      <c r="H26" s="282"/>
      <c r="I26" s="282"/>
    </row>
    <row r="27" spans="1:36" ht="14.25">
      <c r="A27" s="2199"/>
      <c r="B27" s="2200">
        <v>0</v>
      </c>
      <c r="C27" s="2200">
        <v>0</v>
      </c>
      <c r="D27" s="2201"/>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733</v>
      </c>
      <c r="B30" s="2200"/>
      <c r="C30" s="2200"/>
      <c r="D30" s="2200"/>
      <c r="E30" s="2202" t="s">
        <v>734</v>
      </c>
      <c r="F30" s="282"/>
      <c r="G30" s="282"/>
      <c r="H30" s="282"/>
      <c r="I30" s="282"/>
    </row>
    <row r="31" spans="1:36" s="2154" customFormat="1" ht="26.45" customHeight="1">
      <c r="A31" s="2203"/>
      <c r="B31" s="2204"/>
      <c r="C31" s="2204"/>
      <c r="D31" s="2204"/>
      <c r="E31" s="2204"/>
      <c r="F31" s="2204"/>
      <c r="G31" s="2204"/>
      <c r="H31" s="2204"/>
      <c r="I31" s="2299" t="s">
        <v>735</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736</v>
      </c>
      <c r="B32" s="2206"/>
      <c r="C32" s="2207">
        <f ca="1">IF(D32="总价",G19-C24,G20-C25)</f>
        <v>1684</v>
      </c>
      <c r="D32" s="2208" t="s">
        <v>737</v>
      </c>
      <c r="E32" s="282"/>
      <c r="F32" s="282"/>
      <c r="G32" s="282"/>
      <c r="H32" s="282"/>
      <c r="I32" s="282"/>
    </row>
    <row r="33" spans="1:15" ht="15">
      <c r="A33" s="2053" t="s">
        <v>738</v>
      </c>
      <c r="B33" s="2209"/>
      <c r="C33" s="2210" t="s">
        <v>739</v>
      </c>
      <c r="D33" s="2211" t="s">
        <v>740</v>
      </c>
      <c r="E33" s="2212" t="s">
        <v>741</v>
      </c>
      <c r="F33" s="2213" t="str">
        <f>IF(D32="楼面单价","取值（单价）","取值（总价）")</f>
        <v>取值（总价）</v>
      </c>
      <c r="G33" s="282"/>
      <c r="H33" s="282"/>
      <c r="I33" s="282"/>
    </row>
    <row r="34" spans="1:15" ht="15">
      <c r="A34" s="2214"/>
      <c r="B34" s="2215" t="s">
        <v>742</v>
      </c>
      <c r="C34" s="2216">
        <f ca="1">IF(C33="自定义",F34,C32-C35)</f>
        <v>99</v>
      </c>
      <c r="D34" s="2217">
        <f ca="1">IF(C33="自定义",ROUND(C34/C32,3),IF(C33="收益比率",SUMIF(INDIRECT("'"&amp;D33&amp;"'"&amp;"!b:b"),"土地收益比率",INDIRECT("'"&amp;D33&amp;"'"&amp;"!c:c")),SUMIF(INDIRECT("'"&amp;D33&amp;"'"&amp;"!b:b"),"土地成本比率",INDIRECT("'"&amp;D33&amp;"'"&amp;"!c:c"))))</f>
        <v>5.9000000000000052E-2</v>
      </c>
      <c r="E34" s="2218" t="s">
        <v>743</v>
      </c>
      <c r="F34" s="2219"/>
      <c r="G34" s="282"/>
      <c r="H34" s="282"/>
      <c r="I34" s="282"/>
    </row>
    <row r="35" spans="1:15" ht="15">
      <c r="A35" s="2220"/>
      <c r="B35" s="2221" t="s">
        <v>744</v>
      </c>
      <c r="C35" s="2222">
        <f ca="1">IF(C33="自定义",F35,ROUND(C32*D35,0))</f>
        <v>1585</v>
      </c>
      <c r="D35" s="2223">
        <f ca="1">IF(C33="自定义",ROUND(C35/C32,3),IF(C33="收益比率",SUMIF(INDIRECT("'"&amp;D33&amp;"'"&amp;"!b:b"),"建筑物收益比率",INDIRECT("'"&amp;D33&amp;"'"&amp;"!c:c")),SUMIF(INDIRECT("'"&amp;D33&amp;"'"&amp;"!b:b"),"建筑物成本比率",INDIRECT("'"&amp;D33&amp;"'"&amp;"!c:c"))))</f>
        <v>0.94099999999999995</v>
      </c>
      <c r="E35" s="2224" t="s">
        <v>745</v>
      </c>
      <c r="F35" s="2225"/>
      <c r="G35" s="282"/>
      <c r="H35" s="282"/>
      <c r="I35" s="282"/>
    </row>
    <row r="36" spans="1:15" ht="15">
      <c r="A36" s="3329" t="s">
        <v>746</v>
      </c>
      <c r="B36" s="2226" t="s">
        <v>747</v>
      </c>
      <c r="C36" s="2227"/>
      <c r="D36" s="2228"/>
      <c r="E36" s="2229"/>
      <c r="F36" s="2230"/>
      <c r="G36" s="282"/>
      <c r="H36" s="282"/>
      <c r="I36" s="282"/>
    </row>
    <row r="37" spans="1:15" ht="15">
      <c r="A37" s="3330"/>
      <c r="B37" s="2231" t="s">
        <v>748</v>
      </c>
      <c r="C37" s="2232"/>
      <c r="D37" s="2233"/>
      <c r="E37" s="2233"/>
      <c r="F37" s="2230"/>
      <c r="G37" s="282"/>
      <c r="H37" s="282"/>
      <c r="I37" s="282"/>
    </row>
    <row r="38" spans="1:15" ht="15">
      <c r="A38" s="3331"/>
      <c r="B38" s="2234" t="s">
        <v>749</v>
      </c>
      <c r="C38" s="2235"/>
      <c r="D38" s="2236" t="s">
        <v>750</v>
      </c>
      <c r="E38" s="2233"/>
      <c r="F38" s="2230"/>
      <c r="G38" s="282"/>
      <c r="H38" s="282"/>
      <c r="I38" s="282"/>
    </row>
    <row r="39" spans="1:15" ht="15">
      <c r="A39" s="2184" t="s">
        <v>751</v>
      </c>
      <c r="B39" s="2237" t="s">
        <v>730</v>
      </c>
      <c r="C39" s="2238" t="s">
        <v>731</v>
      </c>
      <c r="D39" s="2238" t="s">
        <v>752</v>
      </c>
      <c r="E39" s="2239" t="s">
        <v>732</v>
      </c>
      <c r="F39" s="2230"/>
      <c r="G39" s="282"/>
      <c r="H39" s="282"/>
      <c r="I39" s="282"/>
    </row>
    <row r="40" spans="1:15" ht="14.25">
      <c r="A40" s="2240" t="s">
        <v>753</v>
      </c>
      <c r="B40" s="2241"/>
      <c r="C40" s="300"/>
      <c r="D40" s="300"/>
      <c r="E40" s="2242"/>
      <c r="F40" s="2230"/>
      <c r="G40" s="282"/>
      <c r="H40" s="282"/>
      <c r="I40" s="282"/>
    </row>
    <row r="41" spans="1:15" ht="14.25">
      <c r="A41" s="2240" t="s">
        <v>754</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755</v>
      </c>
      <c r="B44" s="2249"/>
      <c r="C44" s="2249"/>
      <c r="D44" s="2250"/>
      <c r="E44" s="2250"/>
      <c r="F44" s="2251"/>
      <c r="G44" s="2251"/>
      <c r="H44" s="2251"/>
      <c r="I44" s="2251"/>
      <c r="J44" s="2303" t="s">
        <v>756</v>
      </c>
      <c r="K44" s="2304"/>
      <c r="L44" s="2304"/>
      <c r="M44" s="2304"/>
      <c r="N44" s="2304"/>
      <c r="O44" s="2304"/>
    </row>
    <row r="45" spans="1:15" ht="14.25" customHeight="1">
      <c r="A45" s="3412" t="s">
        <v>757</v>
      </c>
      <c r="B45" s="3413"/>
      <c r="C45" s="3414"/>
      <c r="D45" s="1786" t="e">
        <f ca="1">ROUND((H101+'结果表 (地下)'!H101)*F45,0)</f>
        <v>#N/A</v>
      </c>
      <c r="E45" s="2252" t="s">
        <v>758</v>
      </c>
      <c r="F45" s="2253">
        <v>0.56000000000000005</v>
      </c>
      <c r="G45" s="2254" t="s">
        <v>759</v>
      </c>
      <c r="H45" s="282"/>
      <c r="I45" s="282"/>
      <c r="J45" s="3401" t="s">
        <v>760</v>
      </c>
      <c r="K45" s="3401"/>
      <c r="L45" s="3401"/>
      <c r="M45" s="3401"/>
      <c r="N45" s="3401"/>
      <c r="O45" s="3401"/>
    </row>
    <row r="46" spans="1:15" ht="14.25" customHeight="1">
      <c r="A46" s="3415" t="s">
        <v>761</v>
      </c>
      <c r="B46" s="3416"/>
      <c r="C46" s="3416"/>
      <c r="D46" s="3416"/>
      <c r="E46" s="3416"/>
      <c r="F46" s="3416"/>
      <c r="G46" s="3417"/>
      <c r="H46" s="2255"/>
      <c r="I46" s="283"/>
      <c r="J46" s="2305">
        <v>1</v>
      </c>
      <c r="K46" s="3391" t="s">
        <v>762</v>
      </c>
      <c r="L46" s="3391"/>
      <c r="M46" s="3418"/>
      <c r="N46" s="3418"/>
      <c r="O46" s="3418"/>
    </row>
    <row r="47" spans="1:15" ht="12" customHeight="1">
      <c r="A47" s="2256" t="s">
        <v>763</v>
      </c>
      <c r="B47" s="2257"/>
      <c r="C47" s="2258"/>
      <c r="D47" s="1837" t="s">
        <v>764</v>
      </c>
      <c r="E47" s="1787" t="s">
        <v>765</v>
      </c>
      <c r="F47" s="2259" t="s">
        <v>766</v>
      </c>
      <c r="G47" s="2260" t="s">
        <v>767</v>
      </c>
      <c r="H47" s="2261"/>
      <c r="I47" s="283"/>
      <c r="J47" s="2305">
        <v>2</v>
      </c>
      <c r="K47" s="3391" t="s">
        <v>768</v>
      </c>
      <c r="L47" s="3391"/>
      <c r="M47" s="3398">
        <f>'数据-取费表'!B2</f>
        <v>44725</v>
      </c>
      <c r="N47" s="3398"/>
      <c r="O47" s="3398"/>
    </row>
    <row r="48" spans="1:15" ht="25.5">
      <c r="A48" s="3399" t="s">
        <v>769</v>
      </c>
      <c r="B48" s="3393"/>
      <c r="C48" s="3393"/>
      <c r="D48" s="1940" t="e">
        <f ca="1">IF(H48="情况1",0,IF(H48="情况2",D52,IF(H48="情况3",D53,IF(H48="情况4",D54))))</f>
        <v>#N/A</v>
      </c>
      <c r="E48" s="1841" t="str">
        <f>IF(H48="情况4","(销售额-原购置价)×税（费）率","销售额×税（费）率")</f>
        <v>销售额×税（费）率</v>
      </c>
      <c r="F48" s="2263">
        <f>IF(H48="情况1","免征",'数据-取费表'!B41)</f>
        <v>5.5000000000000007E-2</v>
      </c>
      <c r="G48" s="2264" t="s">
        <v>770</v>
      </c>
      <c r="H48" s="2265" t="s">
        <v>771</v>
      </c>
      <c r="I48" s="2255"/>
      <c r="J48" s="2305">
        <v>3</v>
      </c>
      <c r="K48" s="3391" t="s">
        <v>772</v>
      </c>
      <c r="L48" s="3391"/>
      <c r="M48" s="3400" t="e">
        <f ca="1">H101+'结果表 (地下)'!G19</f>
        <v>#N/A</v>
      </c>
      <c r="N48" s="3400"/>
      <c r="O48" s="3400"/>
    </row>
    <row r="49" spans="1:35" ht="25.5" customHeight="1">
      <c r="A49" s="2262" t="s">
        <v>773</v>
      </c>
      <c r="B49" s="3364" t="s">
        <v>774</v>
      </c>
      <c r="C49" s="3364"/>
      <c r="D49" s="2266">
        <v>0</v>
      </c>
      <c r="E49" s="1847" t="s">
        <v>775</v>
      </c>
      <c r="F49" s="2267" t="s">
        <v>124</v>
      </c>
      <c r="G49" s="3394"/>
      <c r="H49" s="2268" t="s">
        <v>776</v>
      </c>
      <c r="I49" s="2307"/>
      <c r="J49" s="2305">
        <v>4</v>
      </c>
      <c r="K49" s="3391" t="str">
        <f>IF(项目基本情况!E8="房地产抵押价值","房地产抵押价值","抵押担保权已注销时的房地产抵押价值")</f>
        <v>房地产抵押价值</v>
      </c>
      <c r="L49" s="3391"/>
      <c r="M49" s="3400" t="e">
        <f ca="1">M48</f>
        <v>#N/A</v>
      </c>
      <c r="N49" s="3400"/>
      <c r="O49" s="3400"/>
    </row>
    <row r="50" spans="1:35" ht="25.5" customHeight="1">
      <c r="A50" s="2269"/>
      <c r="B50" s="3364" t="s">
        <v>777</v>
      </c>
      <c r="C50" s="3364"/>
      <c r="D50" s="2270"/>
      <c r="E50" s="1862"/>
      <c r="F50" s="2267"/>
      <c r="G50" s="3395"/>
      <c r="H50" s="2271" t="s">
        <v>778</v>
      </c>
      <c r="I50" s="2307"/>
      <c r="J50" s="3401" t="s">
        <v>779</v>
      </c>
      <c r="K50" s="3401"/>
      <c r="L50" s="3401"/>
      <c r="M50" s="3401"/>
      <c r="N50" s="3401"/>
      <c r="O50" s="3401"/>
    </row>
    <row r="51" spans="1:35" ht="20.45" customHeight="1">
      <c r="A51" s="2272"/>
      <c r="B51" s="3364" t="s">
        <v>780</v>
      </c>
      <c r="C51" s="3364"/>
      <c r="D51" s="1837"/>
      <c r="E51" s="1851"/>
      <c r="F51" s="2267"/>
      <c r="G51" s="3396"/>
      <c r="H51" s="2271" t="s">
        <v>781</v>
      </c>
      <c r="I51" s="2307"/>
      <c r="J51" s="2306" t="s">
        <v>782</v>
      </c>
      <c r="K51" s="3391" t="s">
        <v>783</v>
      </c>
      <c r="L51" s="3391"/>
      <c r="M51" s="2306" t="s">
        <v>784</v>
      </c>
      <c r="N51" s="2306" t="s">
        <v>785</v>
      </c>
      <c r="O51" s="2306" t="s">
        <v>786</v>
      </c>
    </row>
    <row r="52" spans="1:35" ht="24" customHeight="1">
      <c r="A52" s="2273" t="s">
        <v>787</v>
      </c>
      <c r="B52" s="3364" t="s">
        <v>788</v>
      </c>
      <c r="C52" s="3364"/>
      <c r="D52" s="1837" t="e">
        <f ca="1">ROUND(D45*'数据-取费表'!B41/(1+'数据-取费表'!C42),0)</f>
        <v>#N/A</v>
      </c>
      <c r="E52" s="1841" t="s">
        <v>789</v>
      </c>
      <c r="F52" s="2274">
        <f>'数据-取费表'!B41</f>
        <v>5.5000000000000007E-2</v>
      </c>
      <c r="G52" s="2275"/>
      <c r="H52" s="1955"/>
      <c r="I52" s="2308"/>
      <c r="J52" s="2305">
        <v>1</v>
      </c>
      <c r="K52" s="3387" t="s">
        <v>790</v>
      </c>
      <c r="L52" s="3387"/>
      <c r="M52" s="2309" t="e">
        <f ca="1">D48</f>
        <v>#N/A</v>
      </c>
      <c r="N52" s="2305" t="str">
        <f>E48</f>
        <v>销售额×税（费）率</v>
      </c>
      <c r="O52" s="2310">
        <f>F48</f>
        <v>5.5000000000000007E-2</v>
      </c>
    </row>
    <row r="53" spans="1:35" ht="12" customHeight="1">
      <c r="A53" s="2273" t="s">
        <v>791</v>
      </c>
      <c r="B53" s="3363" t="s">
        <v>792</v>
      </c>
      <c r="C53" s="3383"/>
      <c r="D53" s="1837" t="e">
        <f ca="1">ROUND(D45*'数据-取费表'!B41/(1+'数据-取费表'!C42),0)</f>
        <v>#N/A</v>
      </c>
      <c r="E53" s="1841" t="s">
        <v>789</v>
      </c>
      <c r="F53" s="2274">
        <f>'数据-取费表'!B41</f>
        <v>5.5000000000000007E-2</v>
      </c>
      <c r="G53" s="2275"/>
      <c r="H53" s="1955"/>
      <c r="I53" s="2308"/>
      <c r="J53" s="2305">
        <v>2</v>
      </c>
      <c r="K53" s="3387" t="s">
        <v>793</v>
      </c>
      <c r="L53" s="3387"/>
      <c r="M53" s="2309" t="e">
        <f t="shared" ref="M53:O54" ca="1" si="0">D55</f>
        <v>#N/A</v>
      </c>
      <c r="N53" s="2305" t="str">
        <f t="shared" si="0"/>
        <v>销售额×税（费）率</v>
      </c>
      <c r="O53" s="2310">
        <f t="shared" si="0"/>
        <v>5.0000000000000001E-4</v>
      </c>
    </row>
    <row r="54" spans="1:35" ht="12" customHeight="1">
      <c r="A54" s="2273" t="s">
        <v>794</v>
      </c>
      <c r="B54" s="3363" t="s">
        <v>795</v>
      </c>
      <c r="C54" s="3383"/>
      <c r="D54" s="1837" t="e">
        <f ca="1">C68</f>
        <v>#N/A</v>
      </c>
      <c r="E54" s="1851" t="s">
        <v>796</v>
      </c>
      <c r="F54" s="2274">
        <f>'数据-取费表'!B41</f>
        <v>5.5000000000000007E-2</v>
      </c>
      <c r="G54" s="2275"/>
      <c r="H54" s="2276"/>
      <c r="I54" s="2308"/>
      <c r="J54" s="2305">
        <v>3</v>
      </c>
      <c r="K54" s="3387" t="s">
        <v>797</v>
      </c>
      <c r="L54" s="3387"/>
      <c r="M54" s="2309" t="e">
        <f t="shared" ca="1" si="0"/>
        <v>#N/A</v>
      </c>
      <c r="N54" s="2305" t="str">
        <f t="shared" si="0"/>
        <v>增值额×税（费）率</v>
      </c>
      <c r="O54" s="2311" t="str">
        <f t="shared" si="0"/>
        <v>——</v>
      </c>
    </row>
    <row r="55" spans="1:35" ht="24" customHeight="1">
      <c r="A55" s="3392" t="s">
        <v>798</v>
      </c>
      <c r="B55" s="3393"/>
      <c r="C55" s="3393"/>
      <c r="D55" s="1940" t="e">
        <f ca="1">IF(H55="个人住宅",0,ROUND(D45*I55,0))</f>
        <v>#N/A</v>
      </c>
      <c r="E55" s="1841" t="s">
        <v>799</v>
      </c>
      <c r="F55" s="2274">
        <f>IF(H55="正常",I55,"免征")</f>
        <v>5.0000000000000001E-4</v>
      </c>
      <c r="G55" s="2275"/>
      <c r="H55" s="2265" t="s">
        <v>800</v>
      </c>
      <c r="I55" s="2312">
        <f>'数据-取费表'!B49</f>
        <v>5.0000000000000001E-4</v>
      </c>
      <c r="J55" s="2305" t="str">
        <f>IF(H59="非个人房产","",4)</f>
        <v/>
      </c>
      <c r="K55" s="3387" t="str">
        <f>IF(H59="非个人房产","——","个人所得税")</f>
        <v>——</v>
      </c>
      <c r="L55" s="3387"/>
      <c r="M55" s="2313" t="str">
        <f>D59</f>
        <v>——</v>
      </c>
      <c r="N55" s="635" t="str">
        <f>E59</f>
        <v>——</v>
      </c>
      <c r="O55" s="2314" t="str">
        <f>F59</f>
        <v>——</v>
      </c>
    </row>
    <row r="56" spans="1:35" ht="24.75">
      <c r="A56" s="3392" t="s">
        <v>801</v>
      </c>
      <c r="B56" s="3393"/>
      <c r="C56" s="3393"/>
      <c r="D56" s="1940" t="e">
        <f ca="1">IF(H56="个人住宅",D57,D58)</f>
        <v>#N/A</v>
      </c>
      <c r="E56" s="1841" t="s">
        <v>802</v>
      </c>
      <c r="F56" s="2274" t="str">
        <f>IF(H56="正常",F58,"免征")</f>
        <v>——</v>
      </c>
      <c r="G56" s="2277" t="s">
        <v>803</v>
      </c>
      <c r="H56" s="2278" t="s">
        <v>800</v>
      </c>
      <c r="I56" s="2287"/>
      <c r="J56" s="2305" t="str">
        <f>IF(项目基本情况!K6="上海银行",IF(J55="",4,J55+1),"")</f>
        <v/>
      </c>
      <c r="K56" s="3381" t="str">
        <f>IF(项目基本情况!K6="上海银行","其他处置费用","")</f>
        <v/>
      </c>
      <c r="L56" s="3397"/>
      <c r="M56" s="2309" t="str">
        <f>IF(项目基本情况!K6="上海银行",M69,"")</f>
        <v/>
      </c>
      <c r="N56" s="3381" t="str">
        <f>IF(项目基本情况!K6="上海银行","包含处置中涉及的律师、诉讼、拍卖、评估等费用","")</f>
        <v/>
      </c>
      <c r="O56" s="3382"/>
    </row>
    <row r="57" spans="1:35" ht="12.75">
      <c r="A57" s="2273" t="s">
        <v>773</v>
      </c>
      <c r="B57" s="3363" t="s">
        <v>804</v>
      </c>
      <c r="C57" s="3383"/>
      <c r="D57" s="2266">
        <v>0</v>
      </c>
      <c r="E57" s="1847" t="s">
        <v>775</v>
      </c>
      <c r="F57" s="1787"/>
      <c r="G57" s="2275"/>
      <c r="H57" s="2279"/>
      <c r="I57" s="2287"/>
      <c r="J57" s="3387">
        <f>IF(AND(J55="",J56=""),4,IF(项目基本情况!K6="上海银行",结果表!J56+1,结果表!J55+1))</f>
        <v>4</v>
      </c>
      <c r="K57" s="3387" t="s">
        <v>805</v>
      </c>
      <c r="L57" s="2315" t="s">
        <v>806</v>
      </c>
      <c r="M57" s="2316"/>
      <c r="N57" s="2317">
        <f ca="1">SUMIF(M52:M56,"&lt;9e307")</f>
        <v>0</v>
      </c>
      <c r="O57" s="2318"/>
      <c r="P57" s="2319" t="e">
        <f ca="1">N57/M49</f>
        <v>#N/A</v>
      </c>
    </row>
    <row r="58" spans="1:35" ht="24.75">
      <c r="A58" s="2273" t="s">
        <v>787</v>
      </c>
      <c r="B58" s="3363" t="s">
        <v>807</v>
      </c>
      <c r="C58" s="3364"/>
      <c r="D58" s="1940" t="e">
        <f ca="1">IF(H58="转让取得",C81,C97)</f>
        <v>#N/A</v>
      </c>
      <c r="E58" s="1841" t="s">
        <v>802</v>
      </c>
      <c r="F58" s="1787" t="s">
        <v>124</v>
      </c>
      <c r="G58" s="2275"/>
      <c r="H58" s="2278" t="s">
        <v>808</v>
      </c>
      <c r="I58" s="2287"/>
      <c r="J58" s="3387"/>
      <c r="K58" s="3387"/>
      <c r="L58" s="2315" t="s">
        <v>809</v>
      </c>
      <c r="M58" s="2320"/>
      <c r="N58" s="2321" t="str">
        <f ca="1">NUMBERSTRING(INT(N57*10000),2)&amp;"元整"</f>
        <v>零元整</v>
      </c>
      <c r="O58" s="2322"/>
    </row>
    <row r="59" spans="1:35" ht="24">
      <c r="A59" s="3384" t="s">
        <v>810</v>
      </c>
      <c r="B59" s="3385"/>
      <c r="C59" s="3385"/>
      <c r="D59" s="2280" t="str">
        <f>IF(H59="非个人房产","——",IF(H59="个人住宅（满五唯一有凭证）",0,IF(H59="个人其他（无凭证）",ROUND(D45*F59,0),ROUND(C67*F59,0))))</f>
        <v>——</v>
      </c>
      <c r="E59" s="2281" t="str">
        <f>IF(H59="非个人房产","——",IF(H59="个人其他（无凭证）","销售额×税（费）率",IF(H59="个人住宅（满五唯一有凭证）","免征","差额计税")))</f>
        <v>——</v>
      </c>
      <c r="F59" s="2282" t="str">
        <f>IF(OR(H59="非个人房产",H59="个人住宅（满五唯一有凭证）"),"——",IF(H59="个人其他（有凭证）",20%,1%))</f>
        <v>——</v>
      </c>
      <c r="G59" s="2283" t="s">
        <v>803</v>
      </c>
      <c r="H59" s="2284" t="s">
        <v>811</v>
      </c>
      <c r="I59" s="2323" t="s">
        <v>812</v>
      </c>
      <c r="J59" s="3388">
        <f>J57+1</f>
        <v>5</v>
      </c>
      <c r="K59" s="3387" t="s">
        <v>813</v>
      </c>
      <c r="L59" s="2305" t="s">
        <v>806</v>
      </c>
      <c r="M59" s="2324"/>
      <c r="N59" s="2325" t="e">
        <f ca="1">M49-N57</f>
        <v>#N/A</v>
      </c>
      <c r="O59" s="2326"/>
    </row>
    <row r="60" spans="1:35" ht="12" customHeight="1">
      <c r="A60" s="2285"/>
      <c r="B60" s="2160"/>
      <c r="C60" s="2160"/>
      <c r="D60" s="2160"/>
      <c r="E60" s="2286"/>
      <c r="F60" s="2287"/>
      <c r="G60" s="2287"/>
      <c r="H60" s="2288"/>
      <c r="I60" s="282"/>
      <c r="J60" s="3389"/>
      <c r="K60" s="3387"/>
      <c r="L60" s="2315" t="s">
        <v>809</v>
      </c>
      <c r="M60" s="2320"/>
      <c r="N60" s="2321" t="e">
        <f ca="1">NUMBERSTRING(INT(N59*10000),2)&amp;"元整"</f>
        <v>#N/A</v>
      </c>
      <c r="O60" s="2322"/>
    </row>
    <row r="61" spans="1:35" ht="12.75">
      <c r="A61" s="3386" t="s">
        <v>814</v>
      </c>
      <c r="B61" s="3386"/>
      <c r="C61" s="3386"/>
      <c r="D61" s="3386"/>
      <c r="E61" s="3386"/>
      <c r="F61" s="2287"/>
      <c r="G61" s="2287"/>
      <c r="H61" s="2288"/>
      <c r="I61" s="282"/>
      <c r="J61" s="2305">
        <f>J59+1</f>
        <v>6</v>
      </c>
      <c r="K61" s="3387" t="s">
        <v>815</v>
      </c>
      <c r="L61" s="3387"/>
      <c r="M61" s="2327"/>
      <c r="N61" s="2328" t="e">
        <f ca="1">ROUND(N59*10000/'数据-汇总表'!E3,0)</f>
        <v>#N/A</v>
      </c>
      <c r="O61" s="2329"/>
    </row>
    <row r="62" spans="1:35" ht="12.75">
      <c r="A62" s="3361" t="s">
        <v>816</v>
      </c>
      <c r="B62" s="3362"/>
      <c r="C62" s="614"/>
      <c r="D62" s="614" t="s">
        <v>817</v>
      </c>
      <c r="E62" s="2289" t="s">
        <v>767</v>
      </c>
      <c r="F62" s="2287"/>
      <c r="G62" s="2287"/>
      <c r="H62" s="2288"/>
      <c r="I62" s="282"/>
    </row>
    <row r="63" spans="1:35" ht="12.75">
      <c r="A63" s="2290" t="s">
        <v>818</v>
      </c>
      <c r="B63" s="2291" t="s">
        <v>819</v>
      </c>
      <c r="C63" s="2292" t="e">
        <f ca="1">ROUND((C64+C65)/(1+'数据-取费表'!C42),0)</f>
        <v>#N/A</v>
      </c>
      <c r="D63" s="2291"/>
      <c r="E63" s="2293"/>
      <c r="F63" s="2287"/>
      <c r="G63" s="2287"/>
      <c r="H63" s="2288"/>
      <c r="I63" s="282"/>
      <c r="J63" s="3390" t="s">
        <v>820</v>
      </c>
      <c r="K63" s="2330" t="s">
        <v>821</v>
      </c>
      <c r="L63" s="2330" t="e">
        <f ca="1">IF(M49&gt;10000,M49*0.5%,IF(AND(M49&gt;1000,M49&lt;=10000),M49*1%,IF(AND(M49&gt;100,M49&lt;=1000),M49*3%,IF(AND(M49&gt;10,M49&lt;=100),M49*5%,M49*8%))))</f>
        <v>#N/A</v>
      </c>
      <c r="M63" s="1787" t="e">
        <f ca="1">ROUND(L63,1)</f>
        <v>#N/A</v>
      </c>
      <c r="N63" s="2331"/>
      <c r="Z63" s="2157"/>
      <c r="AI63" s="2158"/>
    </row>
    <row r="64" spans="1:35" ht="14.25" customHeight="1">
      <c r="A64" s="2294" t="s">
        <v>822</v>
      </c>
      <c r="B64" s="601" t="s">
        <v>823</v>
      </c>
      <c r="C64" s="2295" t="e">
        <f ca="1">D45</f>
        <v>#N/A</v>
      </c>
      <c r="D64" s="601" t="s">
        <v>124</v>
      </c>
      <c r="E64" s="2296"/>
      <c r="F64" s="2287"/>
      <c r="G64" s="2287"/>
      <c r="H64" s="2288"/>
      <c r="I64" s="282"/>
      <c r="J64" s="3390"/>
      <c r="K64" s="2330" t="s">
        <v>824</v>
      </c>
      <c r="L64" s="2330" t="e">
        <f ca="1">IF(M49&gt;2000,M49*0.5%,IF(AND(M49&gt;1000,M49&lt;=2000),M49*0.6%,IF(AND(M49&gt;500,M49&lt;=1000),M49*0.7%,IF(AND(M49&gt;200,M49&lt;=500),M49*0.8%,IF(AND(M49&gt;100,M49&lt;=200),M49*0.9%,IF(AND(M49&gt;50,M49&lt;=100),M49*1%,IF(AND(M49&gt;20,M49&lt;=50),M49*1.5%,IF(AND(M49&gt;10,M49&lt;=20),M49*2%,IF(AND(M49&gt;1,M49&lt;=10),M49*2.5%)))))))))</f>
        <v>#N/A</v>
      </c>
      <c r="M64" s="1787" t="e">
        <f t="shared" ref="M64:M65" ca="1" si="1">ROUND(L64,1)</f>
        <v>#N/A</v>
      </c>
      <c r="N64" s="1955" t="s">
        <v>825</v>
      </c>
      <c r="Z64" s="2157"/>
      <c r="AI64" s="2158"/>
    </row>
    <row r="65" spans="1:35" ht="14.25" customHeight="1">
      <c r="A65" s="2294" t="s">
        <v>826</v>
      </c>
      <c r="B65" s="601" t="s">
        <v>827</v>
      </c>
      <c r="C65" s="2333"/>
      <c r="D65" s="601"/>
      <c r="E65" s="2296"/>
      <c r="F65" s="2287"/>
      <c r="G65" s="2287"/>
      <c r="H65" s="2288"/>
      <c r="I65" s="282"/>
      <c r="J65" s="3390"/>
      <c r="K65" s="2330" t="s">
        <v>828</v>
      </c>
      <c r="L65" s="2330" t="e">
        <f ca="1">IF(M49&gt;1000,M49*0.1%,IF(AND(M49&gt;500,M49&lt;=1000),M49*0.5%,IF(AND(M49&gt;50,M49&lt;=500),M49*1%,IF(AND(M49&gt;1,M49&lt;=50),M49*1.5%))))</f>
        <v>#N/A</v>
      </c>
      <c r="M65" s="1787" t="e">
        <f t="shared" ca="1" si="1"/>
        <v>#N/A</v>
      </c>
      <c r="N65" s="1955" t="s">
        <v>825</v>
      </c>
      <c r="Z65" s="2157"/>
      <c r="AI65" s="2158"/>
    </row>
    <row r="66" spans="1:35" ht="14.25" customHeight="1">
      <c r="A66" s="2290" t="s">
        <v>829</v>
      </c>
      <c r="B66" s="2334" t="s">
        <v>830</v>
      </c>
      <c r="C66" s="2335"/>
      <c r="D66" s="2334" t="s">
        <v>124</v>
      </c>
      <c r="E66" s="2336" t="s">
        <v>831</v>
      </c>
      <c r="F66" s="2287"/>
      <c r="G66" s="2287"/>
      <c r="H66" s="2288"/>
      <c r="I66" s="282"/>
      <c r="J66" s="3390"/>
      <c r="K66" s="2330" t="s">
        <v>832</v>
      </c>
      <c r="L66" s="2330" t="e">
        <f ca="1">M49*0.5%</f>
        <v>#N/A</v>
      </c>
      <c r="M66" s="1787" t="e">
        <f ca="1">IF(L66&gt;0.5,0.5,ROUND(L66,0))</f>
        <v>#N/A</v>
      </c>
      <c r="N66" s="1955" t="s">
        <v>833</v>
      </c>
      <c r="Z66" s="2157"/>
      <c r="AI66" s="2158"/>
    </row>
    <row r="67" spans="1:35" ht="14.25" customHeight="1">
      <c r="A67" s="2290" t="s">
        <v>834</v>
      </c>
      <c r="B67" s="2334" t="s">
        <v>835</v>
      </c>
      <c r="C67" s="2337" t="e">
        <f ca="1">C63-C66</f>
        <v>#N/A</v>
      </c>
      <c r="D67" s="601" t="s">
        <v>124</v>
      </c>
      <c r="E67" s="2296"/>
      <c r="F67" s="2287"/>
      <c r="G67" s="2287"/>
      <c r="H67" s="2288"/>
      <c r="I67" s="282"/>
      <c r="J67" s="3390"/>
      <c r="K67" s="2330" t="s">
        <v>836</v>
      </c>
      <c r="L67" s="2330" t="e">
        <f ca="1">IF(M49&gt;=10000,(8.25+(M49-10000)*0.01%),IF(AND(M49&gt;=8000,M49&lt;10000),(7.85+(M49-8000)*0.02%),IF(AND(M49&gt;=5000,M49&lt;8000),(6.65+(M49-5000)*0.04%),IF(AND(M49&gt;=2000,M49&lt;5000),(4.25+(PM49-2000)*0.08%),IF(AND(M49&gt;=1000,M49&lt;2000),(2.75+(M49-1000)*0.15%),IF(AND(M49&gt;=100,M49&lt;1000),(0.5+(M49-100)*0.25%),IF(AND(M49&gt;0,M49&lt;100),M49*0.5%)))))))</f>
        <v>#N/A</v>
      </c>
      <c r="M67" s="1787" t="e">
        <f ca="1">ROUND(L67*0.9,1)</f>
        <v>#N/A</v>
      </c>
      <c r="N67" s="2331"/>
      <c r="Z67" s="2157"/>
      <c r="AI67" s="2158"/>
    </row>
    <row r="68" spans="1:35" ht="14.25" customHeight="1">
      <c r="A68" s="2338" t="s">
        <v>837</v>
      </c>
      <c r="B68" s="2339" t="s">
        <v>838</v>
      </c>
      <c r="C68" s="2340" t="e">
        <f ca="1">IF(C67&lt;=0,0,ROUND(C67*D68,0))</f>
        <v>#N/A</v>
      </c>
      <c r="D68" s="2341">
        <f>'数据-取费表'!B41</f>
        <v>5.5000000000000007E-2</v>
      </c>
      <c r="E68" s="2342"/>
      <c r="F68" s="2287"/>
      <c r="G68" s="2287"/>
      <c r="H68" s="2288"/>
      <c r="I68" s="282"/>
      <c r="J68" s="3390"/>
      <c r="K68" s="2330" t="s">
        <v>839</v>
      </c>
      <c r="L68" s="2330" t="e">
        <f ca="1">IF(M49&gt;10000,M49*0.5%,IF(AND(M49&gt;5000,M49&lt;=10000),M49*1%,IF(AND(M49&gt;1000,M49&lt;=5000),M49*2%,IF(AND(M49&gt;200,M49&lt;=1000),M49*3%,M49*5%))))</f>
        <v>#N/A</v>
      </c>
      <c r="M68" s="1787" t="e">
        <f ca="1">ROUND(L68,1)</f>
        <v>#N/A</v>
      </c>
      <c r="N68" s="2331"/>
      <c r="Z68" s="2157"/>
      <c r="AI68" s="2158"/>
    </row>
    <row r="69" spans="1:35" s="2155" customFormat="1" ht="16.5" hidden="1" customHeight="1">
      <c r="A69" s="2343"/>
      <c r="B69" s="2344"/>
      <c r="C69" s="2345"/>
      <c r="D69" s="752"/>
      <c r="E69" s="2346"/>
      <c r="F69" s="2286"/>
      <c r="G69" s="2286"/>
      <c r="H69" s="2246"/>
      <c r="I69" s="2160"/>
      <c r="J69" s="3390"/>
      <c r="K69" s="2330" t="s">
        <v>840</v>
      </c>
      <c r="L69" s="2330"/>
      <c r="M69" s="1787" t="e">
        <f ca="1">ROUND(SUM(M63:M68),0)</f>
        <v>#N/A</v>
      </c>
      <c r="N69" s="2410" t="e">
        <f ca="1">M69/M49</f>
        <v>#N/A</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hidden="1">
      <c r="A70" s="3359" t="s">
        <v>841</v>
      </c>
      <c r="B70" s="3360"/>
      <c r="C70" s="3360"/>
      <c r="D70" s="3360"/>
      <c r="E70" s="3360"/>
      <c r="F70" s="3360"/>
      <c r="G70" s="3360"/>
      <c r="H70" s="3360"/>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hidden="1">
      <c r="A71" s="3361" t="s">
        <v>816</v>
      </c>
      <c r="B71" s="3362"/>
      <c r="C71" s="614"/>
      <c r="D71" s="614" t="s">
        <v>817</v>
      </c>
      <c r="E71" s="2347" t="s">
        <v>767</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hidden="1">
      <c r="A72" s="2290" t="s">
        <v>818</v>
      </c>
      <c r="B72" s="2334" t="s">
        <v>842</v>
      </c>
      <c r="C72" s="2337" t="e">
        <f ca="1">ROUND(D45/(1+'数据-取费表'!C42),0)</f>
        <v>#N/A</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hidden="1">
      <c r="A73" s="2290" t="s">
        <v>829</v>
      </c>
      <c r="B73" s="2259" t="s">
        <v>843</v>
      </c>
      <c r="C73" s="2337" t="e">
        <f ca="1">C74+C78</f>
        <v>#N/A</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hidden="1">
      <c r="A74" s="2294" t="s">
        <v>822</v>
      </c>
      <c r="B74" s="601" t="s">
        <v>844</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hidden="1">
      <c r="A75" s="2294" t="s">
        <v>845</v>
      </c>
      <c r="B75" s="601" t="s">
        <v>846</v>
      </c>
      <c r="C75" s="2351"/>
      <c r="D75" s="601" t="s">
        <v>124</v>
      </c>
      <c r="E75" s="2352" t="s">
        <v>847</v>
      </c>
      <c r="F75" s="2353"/>
      <c r="G75" s="2352" t="s">
        <v>848</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hidden="1" customHeight="1">
      <c r="A76" s="2294" t="s">
        <v>849</v>
      </c>
      <c r="B76" s="2355" t="s">
        <v>850</v>
      </c>
      <c r="C76" s="601">
        <f>IF(F75="购房发票",ROUND(C75*H75*D76,0),0)</f>
        <v>0</v>
      </c>
      <c r="D76" s="2356">
        <v>0.05</v>
      </c>
      <c r="E76" s="3363" t="s">
        <v>851</v>
      </c>
      <c r="F76" s="3364"/>
      <c r="G76" s="3364"/>
      <c r="H76" s="3365"/>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hidden="1" customHeight="1">
      <c r="A77" s="2294" t="s">
        <v>852</v>
      </c>
      <c r="B77" s="601" t="s">
        <v>853</v>
      </c>
      <c r="C77" s="601">
        <f>ROUND(IF(G77="个人住宅",0,IF(G77="2016年5月1日前购买",C75*D77,C75*D77/(1+'数据-取费表'!C42))),0)</f>
        <v>0</v>
      </c>
      <c r="D77" s="2358">
        <f>'数据-取费表'!B48+'数据-取费表'!B49</f>
        <v>3.0499999999999999E-2</v>
      </c>
      <c r="E77" s="1940" t="s">
        <v>854</v>
      </c>
      <c r="F77" s="2359"/>
      <c r="G77" s="2360"/>
      <c r="H77" s="2357" t="str">
        <f>IF(G77="个人买卖住房","免征印花税"," ")</f>
        <v xml:space="preserve">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hidden="1" customHeight="1">
      <c r="A78" s="2294" t="s">
        <v>826</v>
      </c>
      <c r="B78" s="601" t="s">
        <v>855</v>
      </c>
      <c r="C78" s="2361" t="e">
        <f ca="1">ROUND(D45*D78/(1+'数据-取费表'!C42),0)</f>
        <v>#N/A</v>
      </c>
      <c r="D78" s="2362">
        <f>'数据-取费表'!B43</f>
        <v>5.000000000000001E-3</v>
      </c>
      <c r="E78" s="3341" t="s">
        <v>856</v>
      </c>
      <c r="F78" s="3342"/>
      <c r="G78" s="3342"/>
      <c r="H78" s="3343"/>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hidden="1">
      <c r="A79" s="2290" t="s">
        <v>834</v>
      </c>
      <c r="B79" s="2334" t="s">
        <v>857</v>
      </c>
      <c r="C79" s="2337" t="e">
        <f ca="1">C72-C73</f>
        <v>#N/A</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hidden="1">
      <c r="A80" s="2290" t="s">
        <v>837</v>
      </c>
      <c r="B80" s="2334" t="s">
        <v>858</v>
      </c>
      <c r="C80" s="2366" t="e">
        <f ca="1">IF(C79&lt;=0,0,C79/C73)</f>
        <v>#N/A</v>
      </c>
      <c r="D80" s="601" t="s">
        <v>124</v>
      </c>
      <c r="E80" s="1940" t="e">
        <f ca="1">IF(C80&gt;=200%,"增值额超过扣除项目金额200%",IF(C80&gt;=100%,"增值额超过扣除项目金额100%，未超过200%",IF(C80&gt;=50%,"增值额超过扣除项目金额50%，未超过100%",IF(C80&lt;50%,"增值额未超过扣除项目金额50%"))))</f>
        <v>#N/A</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hidden="1">
      <c r="A81" s="2338" t="s">
        <v>859</v>
      </c>
      <c r="B81" s="2339" t="s">
        <v>860</v>
      </c>
      <c r="C81" s="2367" t="e">
        <f ca="1">ROUND(IF(C79&lt;=0,0,IF(C80&gt;=200%,C79*60%-C73*35%,IF(C80&gt;=100%,C79*50%-C73*15%,IF(C80&gt;=50%,C79*40%-C73*5%,IF(C80&lt;50%,C79*30%,0))))),0)</f>
        <v>#N/A</v>
      </c>
      <c r="D81" s="2368" t="s">
        <v>124</v>
      </c>
      <c r="E81" s="23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59" t="s">
        <v>861</v>
      </c>
      <c r="B83" s="3360"/>
      <c r="C83" s="3360"/>
      <c r="D83" s="3360"/>
      <c r="E83" s="3360"/>
      <c r="F83" s="3360"/>
      <c r="G83" s="3360"/>
      <c r="H83" s="3360"/>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61" t="s">
        <v>816</v>
      </c>
      <c r="B84" s="3362"/>
      <c r="C84" s="614"/>
      <c r="D84" s="614" t="s">
        <v>817</v>
      </c>
      <c r="E84" s="2347" t="s">
        <v>767</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818</v>
      </c>
      <c r="B85" s="2334" t="s">
        <v>842</v>
      </c>
      <c r="C85" s="2337" t="e">
        <f ca="1">ROUND(D45/(1+'数据-取费表'!C42),0)</f>
        <v>#N/A</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829</v>
      </c>
      <c r="B86" s="2259" t="s">
        <v>843</v>
      </c>
      <c r="C86" s="2337" t="e">
        <f ca="1">IF(H88="仅含出让金",C87+C90+C91+C92+C93+C94,C87+C91+C92+C93+C94)</f>
        <v>#N/A</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822</v>
      </c>
      <c r="B87" s="601" t="s">
        <v>862</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845</v>
      </c>
      <c r="B88" s="601" t="s">
        <v>863</v>
      </c>
      <c r="C88" s="2378">
        <v>1990.518</v>
      </c>
      <c r="D88" s="2362"/>
      <c r="E88" s="2379" t="s">
        <v>864</v>
      </c>
      <c r="F88" s="2364"/>
      <c r="G88" s="2380" t="s">
        <v>865</v>
      </c>
      <c r="H88" s="2381" t="s">
        <v>866</v>
      </c>
      <c r="I88" s="839"/>
      <c r="J88" s="2416" t="s">
        <v>867</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849</v>
      </c>
      <c r="B89" s="601" t="s">
        <v>853</v>
      </c>
      <c r="C89" s="2361">
        <f>ROUND(C88*D89,0)</f>
        <v>61</v>
      </c>
      <c r="D89" s="2362">
        <f>'数据-取费表'!B48+'数据-取费表'!B49</f>
        <v>3.0499999999999999E-2</v>
      </c>
      <c r="E89" s="2379" t="s">
        <v>868</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826</v>
      </c>
      <c r="B90" s="601" t="s">
        <v>869</v>
      </c>
      <c r="C90" s="2382"/>
      <c r="D90" s="2362"/>
      <c r="E90" s="2379" t="str">
        <f>IF(H88="-","土地取得成本中已包含该笔费用"," ")</f>
        <v xml:space="preserve"> </v>
      </c>
      <c r="F90" s="2364"/>
      <c r="G90" s="3373" t="s">
        <v>870</v>
      </c>
      <c r="H90" s="3374"/>
      <c r="I90" s="839"/>
      <c r="J90" s="2416" t="s">
        <v>871</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872</v>
      </c>
      <c r="B91" s="601" t="s">
        <v>873</v>
      </c>
      <c r="C91" s="2361">
        <f ca="1">IF(H91="——",成本法!C33,I91)</f>
        <v>325</v>
      </c>
      <c r="D91" s="2362"/>
      <c r="E91" s="3341" t="s">
        <v>874</v>
      </c>
      <c r="F91" s="3342"/>
      <c r="G91" s="3342"/>
      <c r="H91" s="2383" t="s">
        <v>124</v>
      </c>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875</v>
      </c>
      <c r="B92" s="601" t="s">
        <v>876</v>
      </c>
      <c r="C92" s="2361">
        <f ca="1">ROUND((C87+C90+C91)*D92,0)</f>
        <v>238</v>
      </c>
      <c r="D92" s="2384">
        <v>0.1</v>
      </c>
      <c r="E92" s="3341" t="s">
        <v>877</v>
      </c>
      <c r="F92" s="3342"/>
      <c r="G92" s="3342"/>
      <c r="H92" s="3343"/>
      <c r="I92" s="839"/>
      <c r="J92" s="2418" t="s">
        <v>878</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879</v>
      </c>
      <c r="B93" s="601" t="s">
        <v>855</v>
      </c>
      <c r="C93" s="2361" t="e">
        <f ca="1">ROUND(D45*D93/(1+'数据-取费表'!C42),0)</f>
        <v>#N/A</v>
      </c>
      <c r="D93" s="2362">
        <f>'数据-取费表'!B43</f>
        <v>5.000000000000001E-3</v>
      </c>
      <c r="E93" s="3341" t="s">
        <v>856</v>
      </c>
      <c r="F93" s="3342"/>
      <c r="G93" s="3342"/>
      <c r="H93" s="3343"/>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880</v>
      </c>
      <c r="B94" s="601" t="s">
        <v>881</v>
      </c>
      <c r="C94" s="2382">
        <v>0</v>
      </c>
      <c r="D94" s="2362">
        <v>0.2</v>
      </c>
      <c r="E94" s="3344" t="s">
        <v>882</v>
      </c>
      <c r="F94" s="3345"/>
      <c r="G94" s="3345"/>
      <c r="H94" s="3346"/>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834</v>
      </c>
      <c r="B95" s="2334" t="s">
        <v>857</v>
      </c>
      <c r="C95" s="2337" t="e">
        <f ca="1">ROUND(C85-C86,0)</f>
        <v>#N/A</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837</v>
      </c>
      <c r="B96" s="2334" t="s">
        <v>858</v>
      </c>
      <c r="C96" s="2366" t="e">
        <f ca="1">IF(C95&lt;=0,0,C95/C86)</f>
        <v>#N/A</v>
      </c>
      <c r="D96" s="601" t="s">
        <v>124</v>
      </c>
      <c r="E96" s="1940" t="e">
        <f ca="1">IF(C96&gt;=200%,"增值额超过扣除项目金额200%",IF(C96&gt;=100%,"增值额超过扣除项目金额100%，未超过200%",IF(C96&gt;=50%,"增值额超过扣除项目金额50%，未超过100%",IF(C96&lt;50%,"增值额未超过扣除项目金额50%"))))</f>
        <v>#N/A</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859</v>
      </c>
      <c r="B97" s="2339" t="s">
        <v>860</v>
      </c>
      <c r="C97" s="2367" t="e">
        <f ca="1">ROUND(IF(C95&lt;=0,0,IF(C96&gt;=200%,C95*60%-C86*35%,IF(C96&gt;=100%,C95*50%-C86*15%,IF(C96&gt;=50%,C95*40%-C86*5%,IF(C96&lt;50%,C95*30%,0))))),0)</f>
        <v>#N/A</v>
      </c>
      <c r="D97" s="2368" t="s">
        <v>124</v>
      </c>
      <c r="E97" s="23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883</v>
      </c>
      <c r="B99" s="2160"/>
      <c r="C99" s="2160"/>
      <c r="D99" s="2160"/>
      <c r="E99" s="2286"/>
      <c r="F99" s="2286"/>
      <c r="G99" s="2286"/>
      <c r="H99" s="2246"/>
      <c r="I99" s="282"/>
    </row>
    <row r="100" spans="1:35" ht="18.75" customHeight="1">
      <c r="A100" s="3319" t="s">
        <v>884</v>
      </c>
      <c r="B100" s="3320"/>
      <c r="C100" s="3320"/>
      <c r="D100" s="3347"/>
      <c r="E100" s="3320" t="s">
        <v>885</v>
      </c>
      <c r="F100" s="3320"/>
      <c r="G100" s="3320"/>
      <c r="H100" s="3347"/>
      <c r="I100" s="282"/>
    </row>
    <row r="101" spans="1:35" ht="18.75" customHeight="1">
      <c r="A101" s="3348" t="s">
        <v>886</v>
      </c>
      <c r="B101" s="3349"/>
      <c r="C101" s="2387" t="str">
        <f>C4</f>
        <v>比较法-工业</v>
      </c>
      <c r="D101" s="2388" t="str">
        <f>D4</f>
        <v>收益法</v>
      </c>
      <c r="E101" s="3372" t="s">
        <v>887</v>
      </c>
      <c r="F101" s="3367"/>
      <c r="G101" s="2390" t="s">
        <v>888</v>
      </c>
      <c r="H101" s="2391">
        <f ca="1">H118</f>
        <v>1684</v>
      </c>
      <c r="I101" s="282"/>
    </row>
    <row r="102" spans="1:35" ht="18.75" customHeight="1">
      <c r="A102" s="3332" t="s">
        <v>889</v>
      </c>
      <c r="B102" s="2392" t="s">
        <v>888</v>
      </c>
      <c r="C102" s="2387">
        <f ca="1">C19</f>
        <v>2015</v>
      </c>
      <c r="D102" s="2388">
        <f ca="1">D19</f>
        <v>913</v>
      </c>
      <c r="E102" s="3372"/>
      <c r="F102" s="3367"/>
      <c r="G102" s="2390" t="s">
        <v>99</v>
      </c>
      <c r="H102" s="2275">
        <f ca="1">I118</f>
        <v>19981</v>
      </c>
      <c r="I102" s="282"/>
    </row>
    <row r="103" spans="1:35" ht="42.75" customHeight="1">
      <c r="A103" s="3332"/>
      <c r="B103" s="2392" t="s">
        <v>99</v>
      </c>
      <c r="C103" s="2393">
        <f ca="1">C20</f>
        <v>23912</v>
      </c>
      <c r="D103" s="2394">
        <f ca="1">D20</f>
        <v>10833</v>
      </c>
      <c r="E103" s="3350" t="s">
        <v>890</v>
      </c>
      <c r="F103" s="3351"/>
      <c r="G103" s="2395" t="s">
        <v>102</v>
      </c>
      <c r="H103" s="2391">
        <f>IF(D36="正常操作",H104+H105+H106,H105+H106)</f>
        <v>0</v>
      </c>
      <c r="I103" s="282"/>
    </row>
    <row r="104" spans="1:35" ht="18.75" customHeight="1">
      <c r="A104" s="3332" t="s">
        <v>891</v>
      </c>
      <c r="B104" s="2396" t="s">
        <v>888</v>
      </c>
      <c r="C104" s="2397">
        <f ca="1">H118</f>
        <v>1684</v>
      </c>
      <c r="D104" s="2398"/>
      <c r="E104" s="2231" t="s">
        <v>892</v>
      </c>
      <c r="F104" s="2399"/>
      <c r="G104" s="2395" t="s">
        <v>102</v>
      </c>
      <c r="H104" s="2400">
        <f>IF(D36="同一抵押权人同一抵押物续贷",C36&amp;"（续贷，未扣减，详见特别提示）",C36)</f>
        <v>0</v>
      </c>
      <c r="I104" s="282"/>
    </row>
    <row r="105" spans="1:35" ht="18.75" customHeight="1">
      <c r="A105" s="3333"/>
      <c r="B105" s="2401" t="s">
        <v>99</v>
      </c>
      <c r="C105" s="2402">
        <f ca="1">I118</f>
        <v>19981</v>
      </c>
      <c r="D105" s="2403"/>
      <c r="E105" s="2231" t="s">
        <v>893</v>
      </c>
      <c r="F105" s="2399"/>
      <c r="G105" s="2395" t="s">
        <v>102</v>
      </c>
      <c r="H105" s="2404">
        <f>C37</f>
        <v>0</v>
      </c>
      <c r="I105" s="282"/>
    </row>
    <row r="106" spans="1:35" ht="18.75" customHeight="1">
      <c r="A106" s="2160" t="s">
        <v>894</v>
      </c>
      <c r="B106" s="2160"/>
      <c r="C106" s="2160"/>
      <c r="D106" s="2160"/>
      <c r="E106" s="2405" t="s">
        <v>895</v>
      </c>
      <c r="F106" s="2399"/>
      <c r="G106" s="2395" t="s">
        <v>102</v>
      </c>
      <c r="H106" s="2404">
        <f>C38</f>
        <v>0</v>
      </c>
      <c r="I106" s="282"/>
    </row>
    <row r="107" spans="1:35" ht="18.75" customHeight="1">
      <c r="A107" s="282"/>
      <c r="B107" s="282"/>
      <c r="C107" s="282"/>
      <c r="D107" s="282"/>
      <c r="E107" s="3366" t="str">
        <f>IF(项目基本情况!E8="已注销","——","3.房地产抵押价值")</f>
        <v>3.房地产抵押价值</v>
      </c>
      <c r="F107" s="3367"/>
      <c r="G107" s="2390" t="s">
        <v>888</v>
      </c>
      <c r="H107" s="2391">
        <f ca="1">IF(E107="——","——",H101-H103)</f>
        <v>1684</v>
      </c>
      <c r="I107" s="282"/>
    </row>
    <row r="108" spans="1:35" ht="18.75" customHeight="1">
      <c r="A108" s="282"/>
      <c r="B108" s="282"/>
      <c r="C108" s="282"/>
      <c r="D108" s="282"/>
      <c r="E108" s="3366"/>
      <c r="F108" s="3367"/>
      <c r="G108" s="2390" t="s">
        <v>99</v>
      </c>
      <c r="H108" s="2275">
        <f ca="1">ROUND(H107*10000/'数据-汇总表'!E3,0)</f>
        <v>19981</v>
      </c>
      <c r="I108" s="282"/>
    </row>
    <row r="109" spans="1:35" ht="18.75" customHeight="1">
      <c r="A109" s="282"/>
      <c r="B109" s="282"/>
      <c r="C109" s="282"/>
      <c r="D109" s="282"/>
      <c r="E109" s="3366" t="str">
        <f>IF(项目基本情况!E8="已注销及未注销","4.抵押担保权已注销时的房地产抵押价值",IF(项目基本情况!E8="已注销","3.抵押担保权已注销时的房地产抵押价值","——"))</f>
        <v>——</v>
      </c>
      <c r="F109" s="3367"/>
      <c r="G109" s="2390" t="s">
        <v>888</v>
      </c>
      <c r="H109" s="2406" t="str">
        <f>IF(E109="——","——",H101-H105-H106)</f>
        <v>——</v>
      </c>
      <c r="I109" s="282"/>
    </row>
    <row r="110" spans="1:35" ht="18.75" customHeight="1">
      <c r="A110" s="282"/>
      <c r="B110" s="282"/>
      <c r="C110" s="282"/>
      <c r="D110" s="282"/>
      <c r="E110" s="3366"/>
      <c r="F110" s="3367"/>
      <c r="G110" s="2390" t="s">
        <v>99</v>
      </c>
      <c r="H110" s="2275" t="str">
        <f>IF(H109="——","——",ROUND(H109*10000/'数据-汇总表'!E3,0))</f>
        <v>——</v>
      </c>
      <c r="I110" s="282"/>
    </row>
    <row r="111" spans="1:35" ht="18.75" customHeight="1">
      <c r="A111" s="282"/>
      <c r="B111" s="282"/>
      <c r="C111" s="282"/>
      <c r="D111" s="282"/>
      <c r="E111" s="3368" t="str">
        <f>IF(项目基本情况!E9="抵押净值",IF(OR(项目基本情况!E8="已注销",项目基本情况!E8="房地产抵押价值"),"4.抵押净值","5.抵押净值"),"——")</f>
        <v>4.抵押净值</v>
      </c>
      <c r="F111" s="3369"/>
      <c r="G111" s="2390" t="s">
        <v>888</v>
      </c>
      <c r="H111" s="2391" t="e">
        <f ca="1">IF(E111="——","——",N59)</f>
        <v>#N/A</v>
      </c>
      <c r="I111" s="282"/>
    </row>
    <row r="112" spans="1:35" ht="18.75" customHeight="1">
      <c r="A112" s="282"/>
      <c r="B112" s="282"/>
      <c r="C112" s="282"/>
      <c r="D112" s="282"/>
      <c r="E112" s="3370"/>
      <c r="F112" s="3371"/>
      <c r="G112" s="2407" t="s">
        <v>99</v>
      </c>
      <c r="H112" s="2408" t="e">
        <f ca="1">IF(E111="——","——",N61)</f>
        <v>#N/A</v>
      </c>
      <c r="I112" s="282"/>
    </row>
    <row r="113" spans="1:27" ht="18.75" customHeight="1">
      <c r="A113" s="282"/>
      <c r="B113" s="282"/>
      <c r="C113" s="282"/>
      <c r="D113" s="282"/>
      <c r="E113" s="3352" t="s">
        <v>894</v>
      </c>
      <c r="F113" s="3352"/>
      <c r="G113" s="3352"/>
      <c r="H113" s="3352"/>
      <c r="I113" s="282"/>
    </row>
    <row r="114" spans="1:27" ht="3.75" customHeight="1">
      <c r="A114" s="2160"/>
      <c r="B114" s="2160"/>
      <c r="C114" s="2160"/>
      <c r="D114" s="2160"/>
      <c r="E114" s="2285"/>
      <c r="F114" s="2285"/>
      <c r="G114" s="2285"/>
      <c r="H114" s="2285"/>
      <c r="I114" s="2160"/>
    </row>
    <row r="115" spans="1:27" ht="18.75" customHeight="1">
      <c r="A115" s="3353" t="s">
        <v>896</v>
      </c>
      <c r="B115" s="3354"/>
      <c r="C115" s="3354"/>
      <c r="D115" s="3354"/>
      <c r="E115" s="3354"/>
      <c r="F115" s="3354"/>
      <c r="G115" s="3354"/>
      <c r="H115" s="3354"/>
      <c r="I115" s="3355"/>
    </row>
    <row r="116" spans="1:27" ht="27" customHeight="1">
      <c r="A116" s="3326" t="s">
        <v>897</v>
      </c>
      <c r="B116" s="3335" t="s">
        <v>898</v>
      </c>
      <c r="C116" s="3335" t="s">
        <v>899</v>
      </c>
      <c r="D116" s="3356" t="s">
        <v>900</v>
      </c>
      <c r="E116" s="3357"/>
      <c r="F116" s="3358" t="s">
        <v>901</v>
      </c>
      <c r="G116" s="3358"/>
      <c r="H116" s="3326" t="s">
        <v>902</v>
      </c>
      <c r="I116" s="3326"/>
    </row>
    <row r="117" spans="1:27" ht="18.75" customHeight="1">
      <c r="A117" s="3326"/>
      <c r="B117" s="3336"/>
      <c r="C117" s="3336"/>
      <c r="D117" s="2170" t="s">
        <v>903</v>
      </c>
      <c r="E117" s="2170" t="s">
        <v>724</v>
      </c>
      <c r="F117" s="2170" t="s">
        <v>903</v>
      </c>
      <c r="G117" s="2170" t="s">
        <v>724</v>
      </c>
      <c r="H117" s="2170" t="s">
        <v>903</v>
      </c>
      <c r="I117" s="2170" t="s">
        <v>724</v>
      </c>
    </row>
    <row r="118" spans="1:27" ht="24.75" customHeight="1">
      <c r="A118" s="2409" t="str">
        <f>项目基本情况!S2</f>
        <v>北京市通州区口子村东1号院72号楼-1至3层101房地产</v>
      </c>
      <c r="B118" s="2170">
        <f>M18</f>
        <v>842.81</v>
      </c>
      <c r="C118" s="2170">
        <f>M19</f>
        <v>0</v>
      </c>
      <c r="D118" s="2170">
        <f ca="1">ROUND(IF(D32="总价",C34,E118*B118/10000),0)</f>
        <v>99</v>
      </c>
      <c r="E118" s="2170">
        <f ca="1">ROUND(IF(C33="自定义",IF(D32="楼面单价",C34,D118*10000/B118),I118-G118),0)</f>
        <v>1175</v>
      </c>
      <c r="F118" s="2170">
        <f ca="1">ROUND(IF(D32="总价",C35,G118*B118/10000),0)</f>
        <v>1585</v>
      </c>
      <c r="G118" s="2170">
        <f ca="1">ROUND(IF(D32="楼面单价",C35,F118*10000/B118),0)</f>
        <v>18806</v>
      </c>
      <c r="H118" s="2170">
        <f ca="1">ROUND(IF(D32="总价",C32,I118*B118/10000),0)</f>
        <v>1684</v>
      </c>
      <c r="I118" s="2170">
        <f ca="1">ROUND(IF(D32="楼面单价",C32,H118*10000/B118),0)</f>
        <v>19981</v>
      </c>
    </row>
    <row r="119" spans="1:27" ht="18.75" customHeight="1">
      <c r="A119" s="3326" t="s">
        <v>904</v>
      </c>
      <c r="B119" s="3326"/>
      <c r="C119" s="3326"/>
      <c r="D119" s="3338" t="str">
        <f ca="1">NUMBERSTRING(INT(D118*10000),2)&amp;"元整"</f>
        <v>玖拾玖万元整</v>
      </c>
      <c r="E119" s="3340"/>
      <c r="F119" s="3338" t="str">
        <f ca="1">NUMBERSTRING(INT(F118*10000),2)&amp;"元整"</f>
        <v>壹仟伍佰捌拾伍万元整</v>
      </c>
      <c r="G119" s="3340"/>
      <c r="H119" s="3338" t="str">
        <f ca="1">NUMBERSTRING(INT(H118*10000),2)&amp;"元整"</f>
        <v>壹仟陆佰捌拾肆万元整</v>
      </c>
      <c r="I119" s="3340"/>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78" t="s">
        <v>904</v>
      </c>
      <c r="B121" s="3379"/>
      <c r="C121" s="3380"/>
      <c r="D121" s="3338" t="str">
        <f>IF(D120=0,"零元整",NUMBERSTRING(INT(D120*10000),2)&amp;"元整")</f>
        <v>零元整</v>
      </c>
      <c r="E121" s="3339"/>
      <c r="F121" s="3339"/>
      <c r="G121" s="3339"/>
      <c r="H121" s="3339"/>
      <c r="I121" s="3340"/>
      <c r="AA121" s="239"/>
    </row>
    <row r="122" spans="1:27" ht="18.75" customHeight="1">
      <c r="A122" s="3369" t="str">
        <f>IF(项目基本情况!B9="房地产市场价值","",MID(E107,3,LEN(E107)-2))</f>
        <v>房地产抵押价值</v>
      </c>
      <c r="B122" s="3369"/>
      <c r="C122" s="3369"/>
      <c r="D122" s="3375">
        <f ca="1">H107</f>
        <v>1684</v>
      </c>
      <c r="E122" s="3376"/>
      <c r="F122" s="3376"/>
      <c r="G122" s="3376"/>
      <c r="H122" s="3376"/>
      <c r="I122" s="3377"/>
      <c r="AA122" s="239"/>
    </row>
    <row r="123" spans="1:27" ht="18.75" customHeight="1">
      <c r="A123" s="3326" t="s">
        <v>904</v>
      </c>
      <c r="B123" s="3326"/>
      <c r="C123" s="3326"/>
      <c r="D123" s="3338" t="str">
        <f ca="1">NUMBERSTRING(INT(D122*10000),2)&amp;"元整"</f>
        <v>壹仟陆佰捌拾肆万元整</v>
      </c>
      <c r="E123" s="3339"/>
      <c r="F123" s="3339"/>
      <c r="G123" s="3339"/>
      <c r="H123" s="3339"/>
      <c r="I123" s="3340"/>
      <c r="AA123" s="239"/>
    </row>
    <row r="124" spans="1:27" ht="18.75" customHeight="1">
      <c r="A124" s="3369" t="str">
        <f>IF(项目基本情况!B9="房地产市场价值","",MID(E109,3,LEN(E109)-2))</f>
        <v/>
      </c>
      <c r="B124" s="3369"/>
      <c r="C124" s="3369"/>
      <c r="D124" s="3375" t="str">
        <f>H109</f>
        <v>——</v>
      </c>
      <c r="E124" s="3376"/>
      <c r="F124" s="3376"/>
      <c r="G124" s="3376"/>
      <c r="H124" s="3376"/>
      <c r="I124" s="3377"/>
      <c r="AA124" s="239"/>
    </row>
    <row r="125" spans="1:27" ht="18.75" customHeight="1">
      <c r="A125" s="3326" t="s">
        <v>904</v>
      </c>
      <c r="B125" s="3326"/>
      <c r="C125" s="3326"/>
      <c r="D125" s="3338" t="e">
        <f>NUMBERSTRING(INT(D124*10000),2)&amp;"元整"</f>
        <v>#VALUE!</v>
      </c>
      <c r="E125" s="3339"/>
      <c r="F125" s="3339"/>
      <c r="G125" s="3339"/>
      <c r="H125" s="3339"/>
      <c r="I125" s="3340"/>
      <c r="AA125" s="239"/>
    </row>
    <row r="126" spans="1:27" ht="18.75" customHeight="1">
      <c r="A126" s="3369" t="str">
        <f>IF(项目基本情况!B9="房地产市场价值","",MID(E111,3,LEN(E111)-2))</f>
        <v>抵押净值</v>
      </c>
      <c r="B126" s="3369"/>
      <c r="C126" s="3369"/>
      <c r="D126" s="3375" t="e">
        <f ca="1">H111</f>
        <v>#N/A</v>
      </c>
      <c r="E126" s="3376"/>
      <c r="F126" s="3376"/>
      <c r="G126" s="3376"/>
      <c r="H126" s="3376"/>
      <c r="I126" s="3377"/>
      <c r="AA126" s="239"/>
    </row>
    <row r="127" spans="1:27" ht="18.75" customHeight="1">
      <c r="A127" s="3326" t="s">
        <v>904</v>
      </c>
      <c r="B127" s="3326"/>
      <c r="C127" s="3326"/>
      <c r="D127" s="3338" t="e">
        <f ca="1">NUMBERSTRING(INT(D126*10000),2)&amp;"元整"</f>
        <v>#N/A</v>
      </c>
      <c r="E127" s="3339"/>
      <c r="F127" s="3339"/>
      <c r="G127" s="3339"/>
      <c r="H127" s="3339"/>
      <c r="I127" s="3340"/>
      <c r="AA127" s="239"/>
    </row>
    <row r="128" spans="1:27" ht="21.75" customHeight="1">
      <c r="A128" s="3325" t="s">
        <v>113</v>
      </c>
      <c r="B128" s="3325"/>
      <c r="C128" s="3325"/>
      <c r="D128" s="3325"/>
      <c r="E128" s="3325"/>
      <c r="F128" s="3325"/>
      <c r="G128" s="3325"/>
      <c r="H128" s="3325"/>
      <c r="I128" s="3325"/>
      <c r="AA128" s="239"/>
    </row>
    <row r="129" spans="1:35" ht="21.75" customHeight="1">
      <c r="A129" s="2420" t="s">
        <v>905</v>
      </c>
      <c r="B129" s="2421"/>
      <c r="C129" s="2422" t="s">
        <v>906</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907</v>
      </c>
      <c r="G135" s="2434"/>
      <c r="H135" s="2434"/>
      <c r="I135" s="2442" t="s">
        <v>908</v>
      </c>
    </row>
    <row r="136" spans="1:35" ht="21.75" customHeight="1">
      <c r="A136" s="239"/>
      <c r="B136" s="2435" t="s">
        <v>909</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910</v>
      </c>
    </row>
    <row r="139" spans="1:35" ht="21.75" customHeight="1">
      <c r="A139" s="239"/>
      <c r="B139" s="2435" t="s">
        <v>911</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910</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0"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0" zoomScaleNormal="70" workbookViewId="0">
      <selection activeCell="C34" sqref="C3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912</v>
      </c>
      <c r="B1" s="2130"/>
      <c r="C1" s="148"/>
      <c r="D1" s="148"/>
      <c r="E1" s="148"/>
      <c r="F1" s="148"/>
      <c r="G1" s="2132">
        <f>MATCH(B1,'数据-取费表'!A6:A16,0)+5</f>
        <v>7</v>
      </c>
    </row>
    <row r="2" spans="1:9" s="138" customFormat="1" ht="18" customHeight="1">
      <c r="A2" s="150" t="s">
        <v>913</v>
      </c>
      <c r="B2" s="151">
        <f ca="1">IF(D2="——",C52,C52-E2)</f>
        <v>376</v>
      </c>
      <c r="C2" s="149" t="s">
        <v>914</v>
      </c>
      <c r="D2" s="2133" t="s">
        <v>124</v>
      </c>
      <c r="E2" s="2134" t="e">
        <f ca="1">SUMIF(INDIRECT("'"&amp;G2&amp;"'"&amp;"!A:A"),"承租人权益价值",INDIRECT("'"&amp;G2&amp;"'"&amp;"!c:c"))</f>
        <v>#REF!</v>
      </c>
      <c r="F2" s="2135" t="s">
        <v>914</v>
      </c>
      <c r="G2" s="2136"/>
    </row>
    <row r="3" spans="1:9" s="138" customFormat="1" ht="18" customHeight="1">
      <c r="A3" s="153" t="s">
        <v>915</v>
      </c>
      <c r="B3" s="154">
        <f ca="1">ROUND(B2*10000/(IF(B1="",'数据-汇总表'!E3,INDIRECT("'数据-取费表'!k"&amp;$G$1))),0)</f>
        <v>4461</v>
      </c>
      <c r="C3" s="149" t="s">
        <v>916</v>
      </c>
      <c r="D3" s="149"/>
      <c r="E3" s="149"/>
      <c r="F3" s="149"/>
      <c r="G3" s="149"/>
    </row>
    <row r="4" spans="1:9" s="139" customFormat="1" ht="15.75">
      <c r="A4" s="155" t="s">
        <v>917</v>
      </c>
      <c r="B4" s="156"/>
      <c r="C4" s="156"/>
      <c r="D4" s="156"/>
      <c r="E4" s="156"/>
      <c r="F4" s="156"/>
      <c r="G4" s="157"/>
    </row>
    <row r="5" spans="1:9" s="140" customFormat="1" ht="13.5" customHeight="1">
      <c r="A5" s="158" t="s">
        <v>918</v>
      </c>
      <c r="B5" s="159" t="s">
        <v>919</v>
      </c>
      <c r="C5" s="160">
        <f>C6+C7+C8</f>
        <v>17</v>
      </c>
      <c r="D5" s="160" t="s">
        <v>920</v>
      </c>
      <c r="E5" s="161" t="s">
        <v>921</v>
      </c>
      <c r="F5" s="161" t="s">
        <v>817</v>
      </c>
      <c r="G5" s="162"/>
    </row>
    <row r="6" spans="1:9" s="140" customFormat="1" ht="13.5" customHeight="1">
      <c r="A6" s="163" t="s">
        <v>922</v>
      </c>
      <c r="B6" s="164" t="s">
        <v>923</v>
      </c>
      <c r="C6" s="165"/>
      <c r="D6" s="166"/>
      <c r="E6" s="167"/>
      <c r="F6" s="167"/>
      <c r="G6" s="168"/>
    </row>
    <row r="7" spans="1:9" s="140" customFormat="1" ht="13.5" customHeight="1">
      <c r="A7" s="163" t="s">
        <v>924</v>
      </c>
      <c r="B7" s="164" t="s">
        <v>925</v>
      </c>
      <c r="C7" s="169">
        <f>ROUND(C6*F7,0)</f>
        <v>0</v>
      </c>
      <c r="D7" s="169"/>
      <c r="E7" s="167"/>
      <c r="F7" s="170">
        <f>IF(项目基本情况!B8="出让",0,'数据-取费表'!B48+'数据-取费表'!B49)</f>
        <v>3.0499999999999999E-2</v>
      </c>
      <c r="G7" s="168"/>
    </row>
    <row r="8" spans="1:9" s="141" customFormat="1">
      <c r="A8" s="163" t="s">
        <v>926</v>
      </c>
      <c r="B8" s="164" t="s">
        <v>927</v>
      </c>
      <c r="C8" s="169">
        <f>IF(G8="已包含在土地购买价格中","0",IF(B1="",'数据-取费表'!B29,IF(G9="全部缴纳",C9+C10,H9)))</f>
        <v>17</v>
      </c>
      <c r="D8" s="171"/>
      <c r="E8" s="169"/>
      <c r="F8" s="170"/>
      <c r="G8" s="2137"/>
    </row>
    <row r="9" spans="1:9" s="140" customFormat="1" ht="13.5" customHeight="1">
      <c r="A9" s="173" t="s">
        <v>928</v>
      </c>
      <c r="B9" s="174" t="s">
        <v>929</v>
      </c>
      <c r="C9" s="175">
        <f ca="1">ROUND(D9*E9/10000,0)</f>
        <v>0</v>
      </c>
      <c r="D9" s="176">
        <f ca="1">IF(B1="",'数据-汇总表'!E5,IF(INDIRECT("'数据-取费表'!c"&amp;$G$1)="住宅",INDIRECT("'数据-取费表'!k"&amp;$G$1),0))</f>
        <v>0</v>
      </c>
      <c r="E9" s="175">
        <f>'数据-取费表'!B27</f>
        <v>160</v>
      </c>
      <c r="F9" s="170"/>
      <c r="G9" s="2151" t="s">
        <v>930</v>
      </c>
      <c r="H9" s="2152"/>
      <c r="I9" s="2153" t="s">
        <v>931</v>
      </c>
    </row>
    <row r="10" spans="1:9" s="140" customFormat="1" ht="13.5" customHeight="1">
      <c r="A10" s="173" t="s">
        <v>932</v>
      </c>
      <c r="B10" s="174" t="s">
        <v>933</v>
      </c>
      <c r="C10" s="175">
        <f ca="1">ROUND(D10*E10/10000,0)</f>
        <v>17</v>
      </c>
      <c r="D10" s="176">
        <f ca="1">IF(B1="",'数据-汇总表'!E6,IF(INDIRECT("'数据-取费表'!c"&amp;$G$1)="住宅",INDIRECT("'数据-取费表'!s"&amp;$G$1),INDIRECT("'数据-取费表'!k"&amp;$G$1)+INDIRECT("'数据-取费表'!s"&amp;$G$1)))</f>
        <v>842.81</v>
      </c>
      <c r="E10" s="175">
        <f>'数据-取费表'!B28</f>
        <v>200</v>
      </c>
      <c r="F10" s="170"/>
      <c r="G10" s="177"/>
    </row>
    <row r="11" spans="1:9" s="140" customFormat="1" ht="13.5" hidden="1" customHeight="1">
      <c r="A11" s="178" t="s">
        <v>934</v>
      </c>
      <c r="B11" s="164" t="s">
        <v>935</v>
      </c>
      <c r="C11" s="160"/>
      <c r="D11" s="179"/>
      <c r="E11" s="167"/>
      <c r="F11" s="167"/>
      <c r="G11" s="168"/>
    </row>
    <row r="12" spans="1:9" s="140" customFormat="1" ht="13.5" hidden="1" customHeight="1">
      <c r="A12" s="178" t="s">
        <v>936</v>
      </c>
      <c r="B12" s="164" t="s">
        <v>853</v>
      </c>
      <c r="C12" s="160">
        <v>0</v>
      </c>
      <c r="D12" s="179"/>
      <c r="E12" s="180"/>
      <c r="F12" s="170">
        <v>3.0499999999999999E-2</v>
      </c>
      <c r="G12" s="168"/>
    </row>
    <row r="13" spans="1:9" s="140" customFormat="1" ht="13.5" hidden="1" customHeight="1">
      <c r="A13" s="178" t="s">
        <v>937</v>
      </c>
      <c r="B13" s="164" t="s">
        <v>938</v>
      </c>
      <c r="C13" s="160"/>
      <c r="D13" s="179"/>
      <c r="E13" s="167"/>
      <c r="F13" s="167"/>
      <c r="G13" s="168"/>
    </row>
    <row r="14" spans="1:9" s="140" customFormat="1" ht="13.5" hidden="1" customHeight="1">
      <c r="A14" s="178" t="s">
        <v>939</v>
      </c>
      <c r="B14" s="164" t="s">
        <v>927</v>
      </c>
      <c r="C14" s="160"/>
      <c r="D14" s="179"/>
      <c r="E14" s="167"/>
      <c r="F14" s="167"/>
      <c r="G14" s="168" t="s">
        <v>940</v>
      </c>
    </row>
    <row r="15" spans="1:9" s="140" customFormat="1" ht="13.5" hidden="1" customHeight="1">
      <c r="A15" s="178" t="s">
        <v>941</v>
      </c>
      <c r="B15" s="164" t="s">
        <v>942</v>
      </c>
      <c r="C15" s="169"/>
      <c r="D15" s="179"/>
      <c r="E15" s="167"/>
      <c r="F15" s="167"/>
      <c r="G15" s="168" t="s">
        <v>943</v>
      </c>
    </row>
    <row r="16" spans="1:9" s="140" customFormat="1" ht="13.5" hidden="1" customHeight="1">
      <c r="A16" s="178" t="s">
        <v>944</v>
      </c>
      <c r="B16" s="164" t="s">
        <v>927</v>
      </c>
      <c r="C16" s="169"/>
      <c r="D16" s="179"/>
      <c r="E16" s="167"/>
      <c r="F16" s="167"/>
      <c r="G16" s="168"/>
    </row>
    <row r="17" spans="1:7" s="140" customFormat="1" ht="13.5" hidden="1" customHeight="1">
      <c r="A17" s="178" t="s">
        <v>945</v>
      </c>
      <c r="B17" s="164" t="s">
        <v>946</v>
      </c>
      <c r="C17" s="181"/>
      <c r="D17" s="182"/>
      <c r="E17" s="181"/>
      <c r="F17" s="181"/>
      <c r="G17" s="168" t="s">
        <v>943</v>
      </c>
    </row>
    <row r="18" spans="1:7" s="140" customFormat="1" ht="13.5" hidden="1" customHeight="1">
      <c r="A18" s="178" t="s">
        <v>947</v>
      </c>
      <c r="B18" s="164" t="s">
        <v>948</v>
      </c>
      <c r="C18" s="169">
        <v>0</v>
      </c>
      <c r="D18" s="179"/>
      <c r="E18" s="167"/>
      <c r="F18" s="170">
        <v>3.0499999999999999E-2</v>
      </c>
      <c r="G18" s="168" t="s">
        <v>949</v>
      </c>
    </row>
    <row r="19" spans="1:7" s="141" customFormat="1" ht="13.5" customHeight="1">
      <c r="A19" s="158" t="s">
        <v>950</v>
      </c>
      <c r="B19" s="159" t="s">
        <v>951</v>
      </c>
      <c r="C19" s="160" t="str">
        <f>IF(G19="已包含在土地取得成本中","0",ROUND(D19*E19/10000,0))</f>
        <v>0</v>
      </c>
      <c r="D19" s="184">
        <f ca="1">D9+D10</f>
        <v>842.81</v>
      </c>
      <c r="E19" s="160">
        <f>'数据-取费表'!B31</f>
        <v>200</v>
      </c>
      <c r="F19" s="185"/>
      <c r="G19" s="2137" t="s">
        <v>952</v>
      </c>
    </row>
    <row r="20" spans="1:7" s="140" customFormat="1" ht="13.5" customHeight="1">
      <c r="A20" s="158" t="s">
        <v>953</v>
      </c>
      <c r="B20" s="159" t="s">
        <v>954</v>
      </c>
      <c r="C20" s="186">
        <f>ROUND((C5+C19)*F20,0)</f>
        <v>0</v>
      </c>
      <c r="D20" s="186"/>
      <c r="E20" s="186"/>
      <c r="F20" s="187">
        <f>'数据-取费表'!B37</f>
        <v>0.02</v>
      </c>
      <c r="G20" s="191" t="s">
        <v>955</v>
      </c>
    </row>
    <row r="21" spans="1:7" s="140" customFormat="1" ht="13.5" customHeight="1">
      <c r="A21" s="158" t="s">
        <v>956</v>
      </c>
      <c r="B21" s="159" t="s">
        <v>957</v>
      </c>
      <c r="C21" s="189">
        <f>F21</f>
        <v>0.02</v>
      </c>
      <c r="D21" s="190" t="s">
        <v>958</v>
      </c>
      <c r="E21" s="186"/>
      <c r="F21" s="187">
        <f>'数据-取费表'!B38</f>
        <v>0.02</v>
      </c>
      <c r="G21" s="191" t="s">
        <v>959</v>
      </c>
    </row>
    <row r="22" spans="1:7" s="140" customFormat="1" ht="13.5" customHeight="1">
      <c r="A22" s="158" t="s">
        <v>960</v>
      </c>
      <c r="B22" s="159" t="s">
        <v>961</v>
      </c>
      <c r="C22" s="192">
        <f ca="1">ROUND(SUM(C23:C25),0)</f>
        <v>1</v>
      </c>
      <c r="D22" s="189">
        <f ca="1">C26</f>
        <v>4.0000000000000002E-4</v>
      </c>
      <c r="E22" s="190" t="s">
        <v>958</v>
      </c>
      <c r="F22" s="193">
        <f ca="1">'数据-取费表'!B40</f>
        <v>4.2000000000000003E-2</v>
      </c>
      <c r="G22" s="191" t="str">
        <f>IF('数据-取费表'!B22&lt;=1,"单利计息","复利计息")</f>
        <v>单利计息</v>
      </c>
    </row>
    <row r="23" spans="1:7" s="140" customFormat="1" ht="13.5" customHeight="1">
      <c r="A23" s="194" t="s">
        <v>922</v>
      </c>
      <c r="B23" s="164" t="s">
        <v>962</v>
      </c>
      <c r="C23" s="195">
        <f ca="1">ROUND(IF('数据-取费表'!B22&lt;=1,C5*F22*'数据-取费表'!B23,C5*(POWER((1+F22),'数据-取费表'!B23)-1)),0)</f>
        <v>1</v>
      </c>
      <c r="D23" s="196"/>
      <c r="E23" s="196"/>
      <c r="F23" s="197"/>
      <c r="G23" s="198" t="s">
        <v>963</v>
      </c>
    </row>
    <row r="24" spans="1:7" s="140" customFormat="1" ht="13.5" customHeight="1">
      <c r="A24" s="194" t="s">
        <v>924</v>
      </c>
      <c r="B24" s="164" t="s">
        <v>964</v>
      </c>
      <c r="C24" s="195">
        <f ca="1">ROUND(IF('数据-取费表'!B22&lt;=1,C19*F22*('数据-取费表'!B19/2+'数据-取费表'!B21),C19*(POWER((1+F22),('数据-取费表'!B19/2+'数据-取费表'!B21))-1)),0)</f>
        <v>0</v>
      </c>
      <c r="D24" s="196"/>
      <c r="E24" s="196"/>
      <c r="F24" s="197"/>
      <c r="G24" s="198" t="s">
        <v>965</v>
      </c>
    </row>
    <row r="25" spans="1:7" s="140" customFormat="1" ht="24">
      <c r="A25" s="194" t="s">
        <v>926</v>
      </c>
      <c r="B25" s="164" t="s">
        <v>966</v>
      </c>
      <c r="C25" s="195">
        <f ca="1">ROUND(IF('数据-取费表'!B22&lt;=1,C20*F22*'数据-取费表'!B23/2,C20*(POWER((1+F22),'数据-取费表'!B23/2)-1)),0)</f>
        <v>0</v>
      </c>
      <c r="D25" s="196"/>
      <c r="E25" s="199"/>
      <c r="F25" s="197"/>
      <c r="G25" s="200" t="s">
        <v>967</v>
      </c>
    </row>
    <row r="26" spans="1:7" s="140" customFormat="1">
      <c r="A26" s="194" t="s">
        <v>968</v>
      </c>
      <c r="B26" s="164" t="s">
        <v>969</v>
      </c>
      <c r="C26" s="196">
        <f ca="1">ROUND(IF('数据-取费表'!B22&lt;=1,F21*F22*'数据-取费表'!B23/2,F21*(POWER((1+F22),'数据-取费表'!B23/2)-1)),4)</f>
        <v>4.0000000000000002E-4</v>
      </c>
      <c r="D26" s="196"/>
      <c r="E26" s="199"/>
      <c r="F26" s="197"/>
      <c r="G26" s="201"/>
    </row>
    <row r="27" spans="1:7" s="140" customFormat="1" ht="24.75">
      <c r="A27" s="158" t="s">
        <v>970</v>
      </c>
      <c r="B27" s="202" t="s">
        <v>971</v>
      </c>
      <c r="C27" s="203">
        <f ca="1">C28</f>
        <v>2</v>
      </c>
      <c r="D27" s="189">
        <f ca="1">C29</f>
        <v>2E-3</v>
      </c>
      <c r="E27" s="190" t="s">
        <v>958</v>
      </c>
      <c r="F27" s="204">
        <f ca="1">IF(B1="",'数据-取费表'!Q16,INDIRECT("'数据-取费表'!q"&amp;$G$1))</f>
        <v>0.1</v>
      </c>
      <c r="G27" s="205" t="s">
        <v>972</v>
      </c>
    </row>
    <row r="28" spans="1:7" s="140" customFormat="1" ht="13.5" customHeight="1">
      <c r="A28" s="194" t="s">
        <v>922</v>
      </c>
      <c r="B28" s="206" t="s">
        <v>973</v>
      </c>
      <c r="C28" s="207">
        <f ca="1">ROUND((C5+C19+C20)*F27*'数据-取费表'!B21/'数据-取费表'!B20,0)</f>
        <v>2</v>
      </c>
      <c r="D28" s="189"/>
      <c r="E28" s="190"/>
      <c r="F28" s="204"/>
      <c r="G28" s="205"/>
    </row>
    <row r="29" spans="1:7" s="140" customFormat="1" ht="13.5" customHeight="1">
      <c r="A29" s="194" t="s">
        <v>924</v>
      </c>
      <c r="B29" s="206" t="s">
        <v>974</v>
      </c>
      <c r="C29" s="196">
        <f ca="1">ROUND(C21*F27*'数据-取费表'!B21/'数据-取费表'!B20,4)</f>
        <v>2E-3</v>
      </c>
      <c r="D29" s="189"/>
      <c r="E29" s="190"/>
      <c r="F29" s="204"/>
      <c r="G29" s="205"/>
    </row>
    <row r="30" spans="1:7" s="140" customFormat="1" ht="13.5" customHeight="1">
      <c r="A30" s="158" t="s">
        <v>975</v>
      </c>
      <c r="B30" s="159" t="s">
        <v>976</v>
      </c>
      <c r="C30" s="189">
        <f>ROUND(F30/(1+'数据-取费表'!C42),4)</f>
        <v>5.2400000000000002E-2</v>
      </c>
      <c r="D30" s="190" t="s">
        <v>958</v>
      </c>
      <c r="E30" s="199"/>
      <c r="F30" s="193">
        <f>'数据-取费表'!B41</f>
        <v>5.5000000000000007E-2</v>
      </c>
      <c r="G30" s="191" t="s">
        <v>977</v>
      </c>
    </row>
    <row r="31" spans="1:7" ht="16.5" customHeight="1">
      <c r="A31" s="208">
        <v>1</v>
      </c>
      <c r="B31" s="159" t="s">
        <v>978</v>
      </c>
      <c r="C31" s="160">
        <f ca="1">ROUND((C5+C19+C20+C22+C27)/(1-C21-D22-D27-C30),0)</f>
        <v>22</v>
      </c>
      <c r="D31" s="209"/>
      <c r="E31" s="160"/>
      <c r="F31" s="210"/>
      <c r="G31" s="191" t="s">
        <v>979</v>
      </c>
    </row>
    <row r="32" spans="1:7" s="139" customFormat="1" ht="15.75">
      <c r="A32" s="211" t="s">
        <v>980</v>
      </c>
      <c r="B32" s="212"/>
      <c r="C32" s="212"/>
      <c r="D32" s="212"/>
      <c r="E32" s="212"/>
      <c r="F32" s="212"/>
      <c r="G32" s="213"/>
    </row>
    <row r="33" spans="1:7" s="140" customFormat="1" ht="13.5" customHeight="1">
      <c r="A33" s="158" t="s">
        <v>918</v>
      </c>
      <c r="B33" s="159" t="s">
        <v>981</v>
      </c>
      <c r="C33" s="214">
        <f ca="1">SUM(C34:C38)</f>
        <v>325</v>
      </c>
      <c r="D33" s="186"/>
      <c r="E33" s="161"/>
      <c r="F33" s="199"/>
      <c r="G33" s="191"/>
    </row>
    <row r="34" spans="1:7" s="142" customFormat="1" ht="13.5" customHeight="1">
      <c r="A34" s="194" t="s">
        <v>922</v>
      </c>
      <c r="B34" s="164" t="s">
        <v>982</v>
      </c>
      <c r="C34" s="169">
        <f ca="1">IF(B1="",IF(F34=100%,'数据-取费表'!M16,'数据-取费表'!O16),IF(F34=100%,INDIRECT("'数据-取费表'!m"&amp;$G$1)+INDIRECT("'数据-取费表'!t"&amp;$G$1),INDIRECT("'数据-取费表'!o"&amp;$G$1)+INDIRECT("'数据-取费表'!aq"&amp;$G$1)))</f>
        <v>295</v>
      </c>
      <c r="D34" s="166"/>
      <c r="E34" s="169"/>
      <c r="F34" s="215">
        <f ca="1">IF('数据-取费表'!B24=0,1,IF(B1="",'数据-取费表'!N16,INDIRECT("'数据-取费表'!n"&amp;$G$1)))</f>
        <v>1</v>
      </c>
      <c r="G34" s="168" t="s">
        <v>983</v>
      </c>
    </row>
    <row r="35" spans="1:7" ht="13.5" customHeight="1">
      <c r="A35" s="194" t="s">
        <v>924</v>
      </c>
      <c r="B35" s="164" t="s">
        <v>984</v>
      </c>
      <c r="C35" s="169">
        <f ca="1">ROUND(C34*F35,0)</f>
        <v>9</v>
      </c>
      <c r="D35" s="169"/>
      <c r="E35" s="169"/>
      <c r="F35" s="216">
        <f>'数据-取费表'!B33</f>
        <v>0.03</v>
      </c>
      <c r="G35" s="168" t="s">
        <v>985</v>
      </c>
    </row>
    <row r="36" spans="1:7" ht="24">
      <c r="A36" s="194" t="s">
        <v>926</v>
      </c>
      <c r="B36" s="164" t="s">
        <v>986</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987</v>
      </c>
    </row>
    <row r="37" spans="1:7" s="142" customFormat="1" ht="13.5" customHeight="1">
      <c r="A37" s="194" t="s">
        <v>968</v>
      </c>
      <c r="B37" s="164" t="s">
        <v>988</v>
      </c>
      <c r="C37" s="207">
        <f ca="1">ROUND(E37*D37*F34/10000,0)</f>
        <v>17</v>
      </c>
      <c r="D37" s="166">
        <f ca="1">D19</f>
        <v>842.81</v>
      </c>
      <c r="E37" s="207">
        <f>'数据-取费表'!B35</f>
        <v>200</v>
      </c>
      <c r="F37" s="216"/>
      <c r="G37" s="218" t="s">
        <v>989</v>
      </c>
    </row>
    <row r="38" spans="1:7" ht="13.5" customHeight="1">
      <c r="A38" s="194" t="s">
        <v>990</v>
      </c>
      <c r="B38" s="164" t="s">
        <v>853</v>
      </c>
      <c r="C38" s="169">
        <f ca="1">ROUND(C34*F38,0)</f>
        <v>4</v>
      </c>
      <c r="D38" s="169"/>
      <c r="E38" s="169"/>
      <c r="F38" s="216">
        <f>'数据-取费表'!B36</f>
        <v>1.4999999999999999E-2</v>
      </c>
      <c r="G38" s="168" t="s">
        <v>985</v>
      </c>
    </row>
    <row r="39" spans="1:7" s="140" customFormat="1" ht="13.5" customHeight="1">
      <c r="A39" s="158" t="s">
        <v>950</v>
      </c>
      <c r="B39" s="159" t="s">
        <v>954</v>
      </c>
      <c r="C39" s="186">
        <f ca="1">ROUND(C33*F20,0)</f>
        <v>7</v>
      </c>
      <c r="D39" s="186"/>
      <c r="E39" s="186"/>
      <c r="F39" s="2140">
        <f>F20</f>
        <v>0.02</v>
      </c>
      <c r="G39" s="191" t="s">
        <v>991</v>
      </c>
    </row>
    <row r="40" spans="1:7" s="140" customFormat="1" ht="13.5" customHeight="1">
      <c r="A40" s="158" t="s">
        <v>953</v>
      </c>
      <c r="B40" s="159" t="s">
        <v>957</v>
      </c>
      <c r="C40" s="2141">
        <f>F21</f>
        <v>0.02</v>
      </c>
      <c r="D40" s="190" t="s">
        <v>992</v>
      </c>
      <c r="E40" s="186"/>
      <c r="F40" s="2140">
        <f>F21</f>
        <v>0.02</v>
      </c>
      <c r="G40" s="191" t="s">
        <v>993</v>
      </c>
    </row>
    <row r="41" spans="1:7" s="140" customFormat="1" ht="13.5" customHeight="1">
      <c r="A41" s="158" t="s">
        <v>956</v>
      </c>
      <c r="B41" s="159" t="s">
        <v>961</v>
      </c>
      <c r="C41" s="186">
        <f ca="1">ROUND(SUM(C42:C43),0)</f>
        <v>7</v>
      </c>
      <c r="D41" s="189">
        <f ca="1">C44</f>
        <v>4.0000000000000002E-4</v>
      </c>
      <c r="E41" s="190" t="s">
        <v>992</v>
      </c>
      <c r="F41" s="2142">
        <f ca="1">F22</f>
        <v>4.2000000000000003E-2</v>
      </c>
      <c r="G41" s="191" t="str">
        <f>IF('数据-取费表'!B22&lt;=1,"单利计息","复利计息")</f>
        <v>单利计息</v>
      </c>
    </row>
    <row r="42" spans="1:7" ht="13.5" customHeight="1">
      <c r="A42" s="194" t="s">
        <v>922</v>
      </c>
      <c r="B42" s="164" t="s">
        <v>962</v>
      </c>
      <c r="C42" s="196">
        <f ca="1">ROUND(IF('数据-取费表'!B22&lt;=1,C33*F22*'数据-取费表'!B21/2,C33*(POWER((1+F22),'数据-取费表'!B21/2)-1)),0)</f>
        <v>7</v>
      </c>
      <c r="D42" s="196"/>
      <c r="E42" s="196"/>
      <c r="F42" s="197"/>
      <c r="G42" s="3422" t="s">
        <v>994</v>
      </c>
    </row>
    <row r="43" spans="1:7" ht="13.5" customHeight="1">
      <c r="A43" s="194" t="s">
        <v>924</v>
      </c>
      <c r="B43" s="164" t="s">
        <v>964</v>
      </c>
      <c r="C43" s="196">
        <f ca="1">ROUND(IF('数据-取费表'!B22&lt;=1,C39*F22*'数据-取费表'!B21/2,C39*(POWER((1+F22),'数据-取费表'!B21/2)-1)),0)</f>
        <v>0</v>
      </c>
      <c r="D43" s="196"/>
      <c r="E43" s="196"/>
      <c r="F43" s="197"/>
      <c r="G43" s="3423"/>
    </row>
    <row r="44" spans="1:7" ht="13.5" customHeight="1">
      <c r="A44" s="194" t="s">
        <v>926</v>
      </c>
      <c r="B44" s="164" t="s">
        <v>966</v>
      </c>
      <c r="C44" s="196">
        <f ca="1">ROUND(IF('数据-取费表'!B22&lt;=1,C40*F22*'数据-取费表'!B21/2,C40*(POWER((1+F22),'数据-取费表'!B21/2)-1)),4)</f>
        <v>4.0000000000000002E-4</v>
      </c>
      <c r="D44" s="196"/>
      <c r="E44" s="196"/>
      <c r="F44" s="197"/>
      <c r="G44" s="3424"/>
    </row>
    <row r="45" spans="1:7" s="140" customFormat="1" ht="13.5" customHeight="1">
      <c r="A45" s="158" t="s">
        <v>960</v>
      </c>
      <c r="B45" s="202" t="s">
        <v>971</v>
      </c>
      <c r="C45" s="203">
        <f ca="1">C46</f>
        <v>33</v>
      </c>
      <c r="D45" s="189">
        <f ca="1">C47</f>
        <v>2E-3</v>
      </c>
      <c r="E45" s="190" t="s">
        <v>992</v>
      </c>
      <c r="F45" s="2143">
        <f ca="1">F27</f>
        <v>0.1</v>
      </c>
      <c r="G45" s="205" t="s">
        <v>995</v>
      </c>
    </row>
    <row r="46" spans="1:7" s="140" customFormat="1" ht="13.5" customHeight="1">
      <c r="A46" s="194" t="s">
        <v>922</v>
      </c>
      <c r="B46" s="206" t="s">
        <v>996</v>
      </c>
      <c r="C46" s="207">
        <f ca="1">ROUND((C33+C39)*F27,0)</f>
        <v>33</v>
      </c>
      <c r="D46" s="220"/>
      <c r="E46" s="190"/>
      <c r="F46" s="204"/>
      <c r="G46" s="205"/>
    </row>
    <row r="47" spans="1:7" s="140" customFormat="1" ht="13.5" customHeight="1">
      <c r="A47" s="194" t="s">
        <v>924</v>
      </c>
      <c r="B47" s="206" t="s">
        <v>997</v>
      </c>
      <c r="C47" s="196">
        <f ca="1">ROUND(C40*F27,4)</f>
        <v>2E-3</v>
      </c>
      <c r="D47" s="220"/>
      <c r="E47" s="190"/>
      <c r="F47" s="204"/>
      <c r="G47" s="205"/>
    </row>
    <row r="48" spans="1:7" s="140" customFormat="1" ht="13.5" customHeight="1">
      <c r="A48" s="158" t="s">
        <v>970</v>
      </c>
      <c r="B48" s="159" t="s">
        <v>976</v>
      </c>
      <c r="C48" s="2141">
        <f>ROUND(F30/(1+'数据-取费表'!C42),4)</f>
        <v>5.2400000000000002E-2</v>
      </c>
      <c r="D48" s="190" t="s">
        <v>992</v>
      </c>
      <c r="E48" s="186"/>
      <c r="F48" s="2142">
        <f>F30</f>
        <v>5.5000000000000007E-2</v>
      </c>
      <c r="G48" s="191" t="s">
        <v>998</v>
      </c>
    </row>
    <row r="49" spans="1:7" ht="16.5" customHeight="1">
      <c r="A49" s="158" t="s">
        <v>975</v>
      </c>
      <c r="B49" s="159" t="s">
        <v>999</v>
      </c>
      <c r="C49" s="186">
        <f ca="1">ROUND((C33+C39+C41+C45)/(1-C40-D41-D45-C48),0)</f>
        <v>402</v>
      </c>
      <c r="D49" s="186"/>
      <c r="E49" s="186"/>
      <c r="F49" s="221"/>
      <c r="G49" s="191" t="s">
        <v>1000</v>
      </c>
    </row>
    <row r="50" spans="1:7" s="142" customFormat="1" ht="24">
      <c r="A50" s="158" t="s">
        <v>1001</v>
      </c>
      <c r="B50" s="159" t="s">
        <v>1002</v>
      </c>
      <c r="C50" s="186"/>
      <c r="D50" s="186"/>
      <c r="E50" s="186"/>
      <c r="F50" s="221">
        <f>IF('数据-取费表'!B24=0,'数据-取费表'!N16,1)</f>
        <v>0.88</v>
      </c>
      <c r="G50" s="205" t="s">
        <v>1003</v>
      </c>
    </row>
    <row r="51" spans="1:7" ht="16.5" customHeight="1">
      <c r="A51" s="158" t="s">
        <v>1004</v>
      </c>
      <c r="B51" s="159" t="s">
        <v>1005</v>
      </c>
      <c r="C51" s="186">
        <f ca="1">ROUND(C49*F50,0)</f>
        <v>354</v>
      </c>
      <c r="D51" s="186"/>
      <c r="E51" s="186"/>
      <c r="F51" s="221"/>
      <c r="G51" s="191" t="s">
        <v>1006</v>
      </c>
    </row>
    <row r="52" spans="1:7" s="139" customFormat="1" ht="15.75">
      <c r="A52" s="222" t="s">
        <v>1007</v>
      </c>
      <c r="B52" s="223"/>
      <c r="C52" s="224">
        <f ca="1">C31+C51</f>
        <v>376</v>
      </c>
      <c r="D52" s="223"/>
      <c r="E52" s="223"/>
      <c r="F52" s="223"/>
      <c r="G52" s="225"/>
    </row>
    <row r="55" spans="1:7" ht="15">
      <c r="B55" s="226" t="s">
        <v>1008</v>
      </c>
      <c r="C55" s="227"/>
    </row>
    <row r="56" spans="1:7">
      <c r="B56" s="228" t="s">
        <v>1009</v>
      </c>
      <c r="C56" s="230">
        <f ca="1">1-C57</f>
        <v>5.9000000000000052E-2</v>
      </c>
    </row>
    <row r="57" spans="1:7">
      <c r="B57" s="228" t="s">
        <v>1010</v>
      </c>
      <c r="C57" s="229">
        <f ca="1">ROUND(C51/C52,3)</f>
        <v>0.94099999999999995</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5" customWidth="1"/>
    <col min="2" max="9" width="10" style="3205" customWidth="1"/>
    <col min="10" max="16384" width="9" style="3205"/>
  </cols>
  <sheetData>
    <row r="36" spans="1:9">
      <c r="A36" s="3204" t="s">
        <v>75</v>
      </c>
      <c r="B36" s="3204" t="s">
        <v>76</v>
      </c>
    </row>
    <row r="37" spans="1:9" ht="27.75" customHeight="1">
      <c r="A37" s="3204"/>
      <c r="B37" s="3233" t="str">
        <f>项目基本情况!B1</f>
        <v>北京市通州区口子村东1号院72号楼-1至3层101房地产抵押价值预评估</v>
      </c>
      <c r="C37" s="3233"/>
      <c r="D37" s="3233"/>
      <c r="E37" s="3233"/>
      <c r="F37" s="3233"/>
      <c r="G37" s="3233"/>
      <c r="H37" s="3233"/>
      <c r="I37" s="3233"/>
    </row>
    <row r="38" spans="1:9">
      <c r="A38" s="3206"/>
      <c r="B38" s="3206"/>
    </row>
    <row r="39" spans="1:9">
      <c r="A39" s="3204" t="s">
        <v>75</v>
      </c>
      <c r="B39" s="3204" t="s">
        <v>77</v>
      </c>
    </row>
    <row r="40" spans="1:9">
      <c r="A40" s="3204"/>
      <c r="B40" s="3207">
        <f>项目基本情况!B5</f>
        <v>0</v>
      </c>
    </row>
    <row r="41" spans="1:9">
      <c r="A41" s="3204"/>
      <c r="B41" s="3204"/>
    </row>
    <row r="42" spans="1:9">
      <c r="A42" s="3204" t="s">
        <v>75</v>
      </c>
      <c r="B42" s="3204" t="s">
        <v>78</v>
      </c>
    </row>
    <row r="43" spans="1:9">
      <c r="A43" s="3204"/>
      <c r="B43" s="3207" t="s">
        <v>79</v>
      </c>
    </row>
    <row r="44" spans="1:9">
      <c r="A44" s="3204"/>
      <c r="B44" s="3204"/>
    </row>
    <row r="45" spans="1:9">
      <c r="A45" s="3204" t="s">
        <v>75</v>
      </c>
      <c r="B45" s="3204" t="s">
        <v>80</v>
      </c>
    </row>
    <row r="46" spans="1:9" s="3204" customFormat="1" ht="12.75">
      <c r="B46" s="3207" t="str">
        <f>项目基本情况!K4</f>
        <v>（注册号：0)、（注册号：0)</v>
      </c>
    </row>
    <row r="47" spans="1:9">
      <c r="A47" s="3204"/>
      <c r="B47" s="3204" t="str">
        <f>项目基本情况!K5</f>
        <v>（注册号：0)、（注册号：0)</v>
      </c>
    </row>
    <row r="48" spans="1:9">
      <c r="A48" s="3204" t="s">
        <v>75</v>
      </c>
      <c r="B48" s="3204" t="s">
        <v>81</v>
      </c>
    </row>
    <row r="49" spans="2:2">
      <c r="B49" s="3207"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O29" zoomScale="85" zoomScaleNormal="60" zoomScaleSheetLayoutView="85" workbookViewId="0">
      <selection activeCell="R42" sqref="R42:W42"/>
    </sheetView>
  </sheetViews>
  <sheetFormatPr defaultColWidth="9" defaultRowHeight="14.25"/>
  <cols>
    <col min="1" max="1" width="10.5" style="911" customWidth="1"/>
    <col min="2" max="2" width="15.75" style="911" customWidth="1"/>
    <col min="3" max="3" width="20.5" style="911" customWidth="1"/>
    <col min="4" max="4" width="11.875" style="911" bestFit="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1011</v>
      </c>
      <c r="B1" s="1419" t="s">
        <v>1012</v>
      </c>
      <c r="C1" s="1286" t="s">
        <v>1013</v>
      </c>
      <c r="D1" s="1287" t="s">
        <v>462</v>
      </c>
      <c r="E1" s="1288"/>
      <c r="F1" s="1289" t="s">
        <v>1014</v>
      </c>
      <c r="G1" s="1290" t="s">
        <v>1015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913</v>
      </c>
      <c r="B2" s="1292">
        <f>IF(C2="——",ROUND(C43*D3/10000,0),ROUND(C43*D3/10000,0)-D2)</f>
        <v>2015</v>
      </c>
      <c r="C2" s="1293" t="s">
        <v>124</v>
      </c>
      <c r="D2" s="1250" t="e">
        <f ca="1">SUMIF(INDIRECT("'"&amp;F2&amp;"'"&amp;"!A:A"),"承租人权益价值",INDIRECT("'"&amp;F2&amp;"'"&amp;"!c:c"))</f>
        <v>#REF!</v>
      </c>
      <c r="E2" s="1294" t="s">
        <v>914</v>
      </c>
      <c r="F2" s="1295"/>
      <c r="G2" s="920"/>
      <c r="H2" s="920"/>
      <c r="I2" s="920"/>
      <c r="J2" s="920"/>
      <c r="K2" s="920"/>
      <c r="L2" s="2454"/>
      <c r="M2" s="1460"/>
      <c r="N2" s="1460"/>
      <c r="O2" s="1460"/>
      <c r="P2" s="1067"/>
      <c r="Q2" s="1067"/>
      <c r="R2" s="1067"/>
      <c r="S2" s="1067"/>
      <c r="T2" s="1067"/>
      <c r="U2" s="1067"/>
      <c r="V2" s="1067"/>
      <c r="W2" s="1067"/>
      <c r="X2" s="1067"/>
      <c r="Y2" s="1067"/>
      <c r="Z2" s="1067"/>
      <c r="AA2" s="1067"/>
      <c r="AB2" s="1067"/>
      <c r="AC2" s="1129"/>
    </row>
    <row r="3" spans="1:29" s="904" customFormat="1" ht="28.5" customHeight="1">
      <c r="A3" s="153" t="s">
        <v>915</v>
      </c>
      <c r="B3" s="922">
        <f>IF(C2="——",C43,ROUND(B2*10000/D3,0))</f>
        <v>23912</v>
      </c>
      <c r="C3" s="1296" t="s">
        <v>1016</v>
      </c>
      <c r="D3" s="1297">
        <f>IF(D1="",'数据-汇总表'!E3,SUMIF('数据-汇总表'!$C19:$C33,D1,'数据-汇总表'!$E19:$E33))</f>
        <v>842.81</v>
      </c>
      <c r="E3" s="920"/>
      <c r="F3" s="921"/>
      <c r="G3" s="920"/>
      <c r="H3" s="920"/>
      <c r="I3" s="920"/>
      <c r="J3" s="920"/>
      <c r="K3" s="1068"/>
      <c r="L3" s="2454"/>
      <c r="M3" s="1460"/>
      <c r="N3" s="1460"/>
      <c r="O3" s="1460"/>
      <c r="P3" s="1067"/>
      <c r="Q3" s="1067"/>
      <c r="R3" s="1067"/>
      <c r="S3" s="1067"/>
      <c r="T3" s="1067"/>
      <c r="U3" s="1067"/>
      <c r="V3" s="1067"/>
      <c r="W3" s="1067"/>
      <c r="X3" s="1067"/>
      <c r="Y3" s="1067"/>
      <c r="Z3" s="1067"/>
      <c r="AA3" s="1067"/>
      <c r="AB3" s="1128"/>
      <c r="AC3" s="1129"/>
    </row>
    <row r="4" spans="1:29" ht="15">
      <c r="A4" s="924" t="s">
        <v>1017</v>
      </c>
      <c r="B4" s="925"/>
      <c r="C4" s="3458" t="s">
        <v>1018</v>
      </c>
      <c r="D4" s="3459"/>
      <c r="E4" s="3460" t="s">
        <v>1019</v>
      </c>
      <c r="F4" s="3461"/>
      <c r="G4" s="3458" t="s">
        <v>1020</v>
      </c>
      <c r="H4" s="3459"/>
      <c r="I4" s="3458" t="s">
        <v>1021</v>
      </c>
      <c r="J4" s="3459"/>
      <c r="K4" s="1071" t="s">
        <v>1022</v>
      </c>
      <c r="L4" s="2455"/>
      <c r="M4" s="2456"/>
      <c r="N4" s="2456"/>
      <c r="O4" s="2456"/>
      <c r="P4" s="3428" t="s">
        <v>1023</v>
      </c>
      <c r="Q4" s="3429"/>
      <c r="R4" s="3434" t="s">
        <v>1019</v>
      </c>
      <c r="S4" s="3435"/>
      <c r="T4" s="3434" t="s">
        <v>1020</v>
      </c>
      <c r="U4" s="3435"/>
      <c r="V4" s="3440" t="s">
        <v>1021</v>
      </c>
      <c r="W4" s="3440"/>
      <c r="X4" s="1115"/>
      <c r="Y4" s="3434" t="s">
        <v>1023</v>
      </c>
      <c r="Z4" s="3435"/>
      <c r="AA4" s="3425" t="s">
        <v>1019</v>
      </c>
      <c r="AB4" s="3426" t="s">
        <v>1020</v>
      </c>
      <c r="AC4" s="3425" t="s">
        <v>1021</v>
      </c>
    </row>
    <row r="5" spans="1:29" ht="15">
      <c r="A5" s="926"/>
      <c r="B5" s="927"/>
      <c r="C5" s="3462" t="s">
        <v>2661</v>
      </c>
      <c r="D5" s="3463"/>
      <c r="E5" s="3464" t="s">
        <v>2660</v>
      </c>
      <c r="F5" s="3465"/>
      <c r="G5" s="3464" t="s">
        <v>2669</v>
      </c>
      <c r="H5" s="3465"/>
      <c r="I5" s="3462" t="s">
        <v>2670</v>
      </c>
      <c r="J5" s="3463"/>
      <c r="K5" s="1071"/>
      <c r="L5" s="2455"/>
      <c r="M5" s="2456"/>
      <c r="N5" s="2456"/>
      <c r="O5" s="2456"/>
      <c r="P5" s="3430"/>
      <c r="Q5" s="3431"/>
      <c r="R5" s="3436"/>
      <c r="S5" s="3437"/>
      <c r="T5" s="3436"/>
      <c r="U5" s="3437"/>
      <c r="V5" s="3440"/>
      <c r="W5" s="3440"/>
      <c r="X5" s="1115"/>
      <c r="Y5" s="3436"/>
      <c r="Z5" s="3437"/>
      <c r="AA5" s="3426"/>
      <c r="AB5" s="3426"/>
      <c r="AC5" s="3426"/>
    </row>
    <row r="6" spans="1:29" ht="15">
      <c r="A6" s="928"/>
      <c r="B6" s="929"/>
      <c r="C6" s="3453" t="s">
        <v>1025</v>
      </c>
      <c r="D6" s="3454"/>
      <c r="E6" s="3455" t="s">
        <v>1025</v>
      </c>
      <c r="F6" s="3456"/>
      <c r="G6" s="3453" t="s">
        <v>1025</v>
      </c>
      <c r="H6" s="3454"/>
      <c r="I6" s="3453" t="s">
        <v>1025</v>
      </c>
      <c r="J6" s="3454"/>
      <c r="K6" s="1071" t="s">
        <v>1026</v>
      </c>
      <c r="L6" s="2455"/>
      <c r="M6" s="2456"/>
      <c r="N6" s="2456"/>
      <c r="O6" s="2456"/>
      <c r="P6" s="3432"/>
      <c r="Q6" s="3433"/>
      <c r="R6" s="3436"/>
      <c r="S6" s="3437"/>
      <c r="T6" s="3438"/>
      <c r="U6" s="3439"/>
      <c r="V6" s="3440"/>
      <c r="W6" s="3440"/>
      <c r="X6" s="1115"/>
      <c r="Y6" s="3438"/>
      <c r="Z6" s="3439"/>
      <c r="AA6" s="3427"/>
      <c r="AB6" s="3427"/>
      <c r="AC6" s="3427"/>
    </row>
    <row r="7" spans="1:29" s="905" customFormat="1" ht="15">
      <c r="A7" s="930" t="s">
        <v>1027</v>
      </c>
      <c r="B7" s="931"/>
      <c r="C7" s="932">
        <f>'数据-取费表'!B2</f>
        <v>44725</v>
      </c>
      <c r="D7" s="933">
        <v>100</v>
      </c>
      <c r="E7" s="934">
        <v>44713</v>
      </c>
      <c r="F7" s="935">
        <f>SUMIF(52:52,YEAR(E7)&amp;"-"&amp;MONTH(E7),53:53)</f>
        <v>100</v>
      </c>
      <c r="G7" s="934">
        <f>E7</f>
        <v>44713</v>
      </c>
      <c r="H7" s="933">
        <f>SUMIF(52:52,YEAR(G7)&amp;"-"&amp;MONTH(G7),53:53)</f>
        <v>100</v>
      </c>
      <c r="I7" s="934">
        <f>G7</f>
        <v>44713</v>
      </c>
      <c r="J7" s="933">
        <f>SUMIF(52:52,YEAR(I7)&amp;"-"&amp;MONTH(I7),53:53)</f>
        <v>100</v>
      </c>
      <c r="K7" s="1074"/>
      <c r="L7" s="2457"/>
      <c r="M7" s="2458"/>
      <c r="N7" s="2458"/>
      <c r="O7" s="2458"/>
      <c r="P7" s="3446" t="s">
        <v>1028</v>
      </c>
      <c r="Q7" s="3457"/>
      <c r="R7" s="1116" t="s">
        <v>1029</v>
      </c>
      <c r="S7" s="1117">
        <f t="shared" ref="S7:S15" si="0">F7</f>
        <v>100</v>
      </c>
      <c r="T7" s="1116" t="s">
        <v>1029</v>
      </c>
      <c r="U7" s="1117">
        <f t="shared" ref="U7:U15" si="1">H7</f>
        <v>100</v>
      </c>
      <c r="V7" s="1116" t="s">
        <v>1029</v>
      </c>
      <c r="W7" s="1117">
        <f t="shared" ref="W7:W15" si="2">J7</f>
        <v>100</v>
      </c>
      <c r="X7" s="1118"/>
      <c r="Y7" s="3446" t="s">
        <v>1028</v>
      </c>
      <c r="Z7" s="3447"/>
      <c r="AA7" s="1130">
        <f>D7/F7</f>
        <v>1</v>
      </c>
      <c r="AB7" s="1130">
        <f>D7/H7</f>
        <v>1</v>
      </c>
      <c r="AC7" s="1130">
        <f>D7/J7</f>
        <v>1</v>
      </c>
    </row>
    <row r="8" spans="1:29" s="905" customFormat="1" ht="15">
      <c r="A8" s="930" t="s">
        <v>1030</v>
      </c>
      <c r="B8" s="931"/>
      <c r="C8" s="937" t="s">
        <v>1031</v>
      </c>
      <c r="D8" s="933">
        <v>100</v>
      </c>
      <c r="E8" s="937" t="s">
        <v>800</v>
      </c>
      <c r="F8" s="935">
        <f>SUMIF(55:55,E8,56:56)-SUMIF(55:55,C8,56:56)+100</f>
        <v>100</v>
      </c>
      <c r="G8" s="937" t="s">
        <v>800</v>
      </c>
      <c r="H8" s="933">
        <f>SUMIF(55:55,G8,56:56)-SUMIF(55:55,C8,56:56)+100</f>
        <v>100</v>
      </c>
      <c r="I8" s="937" t="s">
        <v>800</v>
      </c>
      <c r="J8" s="933">
        <f>SUMIF(55:55,I8,56:56)-SUMIF(55:55,C8,56:56)+100</f>
        <v>100</v>
      </c>
      <c r="K8" s="1074"/>
      <c r="L8" s="2457"/>
      <c r="M8" s="2458"/>
      <c r="N8" s="2458"/>
      <c r="O8" s="2458"/>
      <c r="P8" s="3446" t="s">
        <v>1032</v>
      </c>
      <c r="Q8" s="3447"/>
      <c r="R8" s="1116" t="s">
        <v>1029</v>
      </c>
      <c r="S8" s="1117">
        <f t="shared" si="0"/>
        <v>100</v>
      </c>
      <c r="T8" s="1116" t="s">
        <v>1029</v>
      </c>
      <c r="U8" s="1117">
        <f t="shared" si="1"/>
        <v>100</v>
      </c>
      <c r="V8" s="1116" t="s">
        <v>1029</v>
      </c>
      <c r="W8" s="1117">
        <f t="shared" si="2"/>
        <v>100</v>
      </c>
      <c r="X8" s="1118"/>
      <c r="Y8" s="3446" t="s">
        <v>1032</v>
      </c>
      <c r="Z8" s="3447"/>
      <c r="AA8" s="1130">
        <f t="shared" ref="AA8:AA40" si="3">D8/F8</f>
        <v>1</v>
      </c>
      <c r="AB8" s="1130">
        <f t="shared" ref="AB8:AB40" si="4">D8/H8</f>
        <v>1</v>
      </c>
      <c r="AC8" s="1130">
        <f t="shared" ref="AC8:AC40" si="5">D8/J8</f>
        <v>1</v>
      </c>
    </row>
    <row r="9" spans="1:29" s="905" customFormat="1">
      <c r="A9" s="938" t="s">
        <v>1033</v>
      </c>
      <c r="B9" s="939" t="s">
        <v>1034</v>
      </c>
      <c r="C9" s="2447" t="s">
        <v>427</v>
      </c>
      <c r="D9" s="941">
        <v>100</v>
      </c>
      <c r="E9" s="1299" t="s">
        <v>427</v>
      </c>
      <c r="F9" s="941">
        <f>SUMIF(57:57,E9,58:58)-SUMIF(57:57,C9,58:58)+100</f>
        <v>100</v>
      </c>
      <c r="G9" s="1367" t="s">
        <v>427</v>
      </c>
      <c r="H9" s="941">
        <f>SUMIF(57:57,G9,58:58)-SUMIF(57:57,C9,58:58)+100</f>
        <v>100</v>
      </c>
      <c r="I9" s="1367" t="s">
        <v>427</v>
      </c>
      <c r="J9" s="941">
        <f>SUMIF(57:57,I9,58:58)-SUMIF(57:57,C9,58:58)+100</f>
        <v>100</v>
      </c>
      <c r="K9" s="1074"/>
      <c r="L9" s="2457"/>
      <c r="M9" s="2458"/>
      <c r="N9" s="2458"/>
      <c r="O9" s="2459"/>
      <c r="P9" s="3441" t="s">
        <v>1035</v>
      </c>
      <c r="Q9" s="1120" t="str">
        <f t="shared" ref="Q9:Q15" si="6">B9</f>
        <v>用途</v>
      </c>
      <c r="R9" s="1116" t="s">
        <v>1029</v>
      </c>
      <c r="S9" s="1117">
        <f t="shared" si="0"/>
        <v>100</v>
      </c>
      <c r="T9" s="1116" t="s">
        <v>1029</v>
      </c>
      <c r="U9" s="1117">
        <f t="shared" si="1"/>
        <v>100</v>
      </c>
      <c r="V9" s="1116" t="s">
        <v>1029</v>
      </c>
      <c r="W9" s="1117">
        <f t="shared" si="2"/>
        <v>100</v>
      </c>
      <c r="X9" s="1118"/>
      <c r="Y9" s="3334" t="s">
        <v>1036</v>
      </c>
      <c r="Z9" s="1131" t="str">
        <f t="shared" ref="Z9:Z15" si="7">Q9</f>
        <v>用途</v>
      </c>
      <c r="AA9" s="1130">
        <f t="shared" si="3"/>
        <v>1</v>
      </c>
      <c r="AB9" s="1130">
        <f t="shared" si="4"/>
        <v>1</v>
      </c>
      <c r="AC9" s="1130">
        <f t="shared" si="5"/>
        <v>1</v>
      </c>
    </row>
    <row r="10" spans="1:29" s="906" customFormat="1" ht="27">
      <c r="A10" s="942"/>
      <c r="B10" s="943" t="s">
        <v>1037</v>
      </c>
      <c r="C10" s="1301" t="s">
        <v>2662</v>
      </c>
      <c r="D10" s="945">
        <v>100</v>
      </c>
      <c r="E10" s="1301" t="s">
        <v>2662</v>
      </c>
      <c r="F10" s="945">
        <f>SUMIF(59:59,E10,60:60)-SUMIF(59:59,C10,60:60)+100</f>
        <v>100</v>
      </c>
      <c r="G10" s="1301" t="s">
        <v>2662</v>
      </c>
      <c r="H10" s="945">
        <f>SUMIF(59:59,G10,60:60)-SUMIF(59:59,C10,60:60)+100</f>
        <v>100</v>
      </c>
      <c r="I10" s="1301" t="s">
        <v>2662</v>
      </c>
      <c r="J10" s="945">
        <f>SUMIF(59:59,I10,60:60)-SUMIF(59:59,C10,60:60)+100</f>
        <v>100</v>
      </c>
      <c r="K10" s="1091">
        <v>2</v>
      </c>
      <c r="L10" s="2460"/>
      <c r="M10" s="2461"/>
      <c r="N10" s="2461"/>
      <c r="O10" s="2462"/>
      <c r="P10" s="3441"/>
      <c r="Q10" s="1120" t="str">
        <f t="shared" si="6"/>
        <v>土地使用年限（年）</v>
      </c>
      <c r="R10" s="1116" t="s">
        <v>1029</v>
      </c>
      <c r="S10" s="1117">
        <f t="shared" si="0"/>
        <v>100</v>
      </c>
      <c r="T10" s="1116" t="s">
        <v>1029</v>
      </c>
      <c r="U10" s="1117">
        <f t="shared" si="1"/>
        <v>100</v>
      </c>
      <c r="V10" s="1116" t="s">
        <v>1029</v>
      </c>
      <c r="W10" s="1117">
        <f t="shared" si="2"/>
        <v>100</v>
      </c>
      <c r="X10" s="1118"/>
      <c r="Y10" s="3334"/>
      <c r="Z10" s="1131" t="str">
        <f t="shared" si="7"/>
        <v>土地使用年限（年）</v>
      </c>
      <c r="AA10" s="1130">
        <f t="shared" si="3"/>
        <v>1</v>
      </c>
      <c r="AB10" s="1130">
        <f t="shared" si="4"/>
        <v>1</v>
      </c>
      <c r="AC10" s="1130">
        <f t="shared" si="5"/>
        <v>1</v>
      </c>
    </row>
    <row r="11" spans="1:29" ht="15">
      <c r="A11" s="946"/>
      <c r="B11" s="943" t="s">
        <v>1038</v>
      </c>
      <c r="C11" s="947"/>
      <c r="D11" s="945">
        <v>100</v>
      </c>
      <c r="E11" s="947"/>
      <c r="F11" s="945">
        <f>LOOKUP(E11,62:62,63:63)-LOOKUP(C11,62:62,63:63)+100</f>
        <v>100</v>
      </c>
      <c r="G11" s="948"/>
      <c r="H11" s="945">
        <f>LOOKUP(G11,62:62,63:63)-LOOKUP(C11,62:62,63:63)+100</f>
        <v>100</v>
      </c>
      <c r="I11" s="947"/>
      <c r="J11" s="945">
        <f>LOOKUP(I11,62:62,63:63)-LOOKUP(C11,62:62,63:63)+100</f>
        <v>100</v>
      </c>
      <c r="K11" s="1091"/>
      <c r="L11" s="2463"/>
      <c r="M11" s="2456"/>
      <c r="N11" s="2456"/>
      <c r="O11" s="2464"/>
      <c r="P11" s="3441"/>
      <c r="Q11" s="1120" t="str">
        <f t="shared" si="6"/>
        <v>容积率</v>
      </c>
      <c r="R11" s="1116" t="s">
        <v>1029</v>
      </c>
      <c r="S11" s="1117">
        <f t="shared" si="0"/>
        <v>100</v>
      </c>
      <c r="T11" s="1116" t="s">
        <v>1029</v>
      </c>
      <c r="U11" s="1117">
        <f t="shared" si="1"/>
        <v>100</v>
      </c>
      <c r="V11" s="1116" t="s">
        <v>1029</v>
      </c>
      <c r="W11" s="1117">
        <f t="shared" si="2"/>
        <v>100</v>
      </c>
      <c r="X11" s="1118"/>
      <c r="Y11" s="3334"/>
      <c r="Z11" s="1131" t="str">
        <f t="shared" si="7"/>
        <v>容积率</v>
      </c>
      <c r="AA11" s="1130">
        <f t="shared" si="3"/>
        <v>1</v>
      </c>
      <c r="AB11" s="1130">
        <f t="shared" si="4"/>
        <v>1</v>
      </c>
      <c r="AC11" s="1130">
        <f t="shared" si="5"/>
        <v>1</v>
      </c>
    </row>
    <row r="12" spans="1:29" s="905" customFormat="1" ht="15" hidden="1">
      <c r="A12" s="949"/>
      <c r="B12" s="950"/>
      <c r="C12" s="944"/>
      <c r="D12" s="951">
        <v>100</v>
      </c>
      <c r="E12" s="954"/>
      <c r="F12" s="945">
        <f>SUMIF(64:64,E12,65:65)-SUMIF(64:64,C12,65:65)+100</f>
        <v>100</v>
      </c>
      <c r="G12" s="2448"/>
      <c r="H12" s="945">
        <f>SUMIF(64:64,G12,65:65)-SUMIF(64:64,C12,65:65)+100</f>
        <v>100</v>
      </c>
      <c r="I12" s="1303"/>
      <c r="J12" s="945">
        <f>SUMIF(64:64,I12,65:65)-SUMIF(64:64,C12,65:65)+100</f>
        <v>100</v>
      </c>
      <c r="K12" s="1090"/>
      <c r="L12" s="2457"/>
      <c r="M12" s="2458"/>
      <c r="N12" s="2458"/>
      <c r="O12" s="2459"/>
      <c r="P12" s="3441"/>
      <c r="Q12" s="1120">
        <f t="shared" si="6"/>
        <v>0</v>
      </c>
      <c r="R12" s="1116" t="s">
        <v>1029</v>
      </c>
      <c r="S12" s="1117">
        <f t="shared" si="0"/>
        <v>100</v>
      </c>
      <c r="T12" s="1116" t="s">
        <v>1029</v>
      </c>
      <c r="U12" s="1117">
        <f t="shared" si="1"/>
        <v>100</v>
      </c>
      <c r="V12" s="1116" t="s">
        <v>1029</v>
      </c>
      <c r="W12" s="1117">
        <f t="shared" si="2"/>
        <v>100</v>
      </c>
      <c r="X12" s="1118"/>
      <c r="Y12" s="3334"/>
      <c r="Z12" s="1131">
        <f t="shared" si="7"/>
        <v>0</v>
      </c>
      <c r="AA12" s="1130">
        <f t="shared" si="3"/>
        <v>1</v>
      </c>
      <c r="AB12" s="1130">
        <f t="shared" si="4"/>
        <v>1</v>
      </c>
      <c r="AC12" s="1130">
        <f t="shared" si="5"/>
        <v>1</v>
      </c>
    </row>
    <row r="13" spans="1:29" ht="15" hidden="1">
      <c r="A13" s="946"/>
      <c r="B13" s="950"/>
      <c r="C13" s="954"/>
      <c r="D13" s="955">
        <v>100</v>
      </c>
      <c r="E13" s="954"/>
      <c r="F13" s="945">
        <f>SUMIF(66:66,E13,67:67)-SUMIF(66:66,C13,67:67)+100</f>
        <v>100</v>
      </c>
      <c r="G13" s="2448"/>
      <c r="H13" s="955">
        <f>SUMIF(66:66,G13,67:67)-SUMIF(66:66,C13,67:67)+100</f>
        <v>100</v>
      </c>
      <c r="I13" s="1303"/>
      <c r="J13" s="955">
        <f>SUMIF(66:66,I13,67:67)-SUMIF(66:66,C13,67:67)+100</f>
        <v>100</v>
      </c>
      <c r="K13" s="1090"/>
      <c r="L13" s="2465"/>
      <c r="M13" s="2456"/>
      <c r="N13" s="2456"/>
      <c r="O13" s="2464"/>
      <c r="P13" s="3441"/>
      <c r="Q13" s="1120">
        <f t="shared" si="6"/>
        <v>0</v>
      </c>
      <c r="R13" s="1116" t="s">
        <v>1029</v>
      </c>
      <c r="S13" s="1117">
        <f t="shared" si="0"/>
        <v>100</v>
      </c>
      <c r="T13" s="1116" t="s">
        <v>1029</v>
      </c>
      <c r="U13" s="1117">
        <f t="shared" si="1"/>
        <v>100</v>
      </c>
      <c r="V13" s="1116" t="s">
        <v>1029</v>
      </c>
      <c r="W13" s="1117">
        <f t="shared" si="2"/>
        <v>100</v>
      </c>
      <c r="X13" s="1118"/>
      <c r="Y13" s="3334"/>
      <c r="Z13" s="1131">
        <f t="shared" si="7"/>
        <v>0</v>
      </c>
      <c r="AA13" s="1130">
        <f t="shared" si="3"/>
        <v>1</v>
      </c>
      <c r="AB13" s="1130">
        <f t="shared" si="4"/>
        <v>1</v>
      </c>
      <c r="AC13" s="1130">
        <f t="shared" si="5"/>
        <v>1</v>
      </c>
    </row>
    <row r="14" spans="1:29" ht="15" hidden="1">
      <c r="A14" s="956"/>
      <c r="B14" s="957"/>
      <c r="C14" s="958"/>
      <c r="D14" s="959">
        <v>100</v>
      </c>
      <c r="E14" s="958"/>
      <c r="F14" s="959">
        <f>SUMIF(68:68,E14,69:69)-SUMIF(68:68,C14,69:69)+100</f>
        <v>100</v>
      </c>
      <c r="G14" s="2448"/>
      <c r="H14" s="959">
        <f>SUMIF(68:68,G14,69:69)-SUMIF(68:68,C14,69:69)+100</f>
        <v>100</v>
      </c>
      <c r="I14" s="1303"/>
      <c r="J14" s="959">
        <f>SUMIF(68:68,I14,69:69)-SUMIF(68:68,C14,69:69)+100</f>
        <v>100</v>
      </c>
      <c r="K14" s="1090"/>
      <c r="L14" s="2465"/>
      <c r="M14" s="2456"/>
      <c r="N14" s="2456"/>
      <c r="O14" s="2464"/>
      <c r="P14" s="3441"/>
      <c r="Q14" s="1120">
        <f t="shared" si="6"/>
        <v>0</v>
      </c>
      <c r="R14" s="1116" t="s">
        <v>1029</v>
      </c>
      <c r="S14" s="1117">
        <f t="shared" si="0"/>
        <v>100</v>
      </c>
      <c r="T14" s="1116" t="s">
        <v>1029</v>
      </c>
      <c r="U14" s="1117">
        <f t="shared" si="1"/>
        <v>100</v>
      </c>
      <c r="V14" s="1116" t="s">
        <v>1029</v>
      </c>
      <c r="W14" s="1117">
        <f t="shared" si="2"/>
        <v>100</v>
      </c>
      <c r="X14" s="1118"/>
      <c r="Y14" s="3334"/>
      <c r="Z14" s="1131">
        <f t="shared" si="7"/>
        <v>0</v>
      </c>
      <c r="AA14" s="1130">
        <f t="shared" si="3"/>
        <v>1</v>
      </c>
      <c r="AB14" s="1130">
        <f t="shared" si="4"/>
        <v>1</v>
      </c>
      <c r="AC14" s="1130">
        <f t="shared" si="5"/>
        <v>1</v>
      </c>
    </row>
    <row r="15" spans="1:29" ht="71.25">
      <c r="A15" s="960" t="s">
        <v>1039</v>
      </c>
      <c r="B15" s="1253" t="s">
        <v>1040</v>
      </c>
      <c r="C15" s="962" t="str">
        <f>估价对象房地状况!G3</f>
        <v>位于通州区台湖镇星湖科技园，该园区建设成熟，周边有新华联工业园、台铭企业花园等项目，产业集聚程度较好</v>
      </c>
      <c r="D15" s="963">
        <v>100</v>
      </c>
      <c r="E15" s="964"/>
      <c r="F15" s="1305">
        <f>SUMIF(70:70,E16,71:71)-SUMIF(70:70,C16,71:71)+100</f>
        <v>100</v>
      </c>
      <c r="G15" s="1086"/>
      <c r="H15" s="963">
        <f>SUMIF(70:70,G16,71:71)-SUMIF(70:70,C16,71:71)+100</f>
        <v>100</v>
      </c>
      <c r="I15" s="964"/>
      <c r="J15" s="963">
        <f>SUMIF(70:70,I16,71:71)-SUMIF(70:70,C16,71:71)+100</f>
        <v>100</v>
      </c>
      <c r="K15" s="1344">
        <v>3</v>
      </c>
      <c r="L15" s="2465"/>
      <c r="M15" s="2456"/>
      <c r="N15" s="2456"/>
      <c r="O15" s="2464"/>
      <c r="P15" s="3448" t="s">
        <v>1041</v>
      </c>
      <c r="Q15" s="681" t="str">
        <f t="shared" si="6"/>
        <v>产业集聚程度</v>
      </c>
      <c r="R15" s="1121" t="s">
        <v>1029</v>
      </c>
      <c r="S15" s="1122">
        <f t="shared" si="0"/>
        <v>100</v>
      </c>
      <c r="T15" s="1121" t="s">
        <v>1029</v>
      </c>
      <c r="U15" s="1122">
        <f t="shared" si="1"/>
        <v>100</v>
      </c>
      <c r="V15" s="1121" t="s">
        <v>1029</v>
      </c>
      <c r="W15" s="1122">
        <f t="shared" si="2"/>
        <v>100</v>
      </c>
      <c r="X15" s="1115"/>
      <c r="Y15" s="3448" t="s">
        <v>1041</v>
      </c>
      <c r="Z15" s="1105" t="str">
        <f t="shared" si="7"/>
        <v>产业集聚程度</v>
      </c>
      <c r="AA15" s="1132">
        <f t="shared" si="3"/>
        <v>1</v>
      </c>
      <c r="AB15" s="1132">
        <f t="shared" si="4"/>
        <v>1</v>
      </c>
      <c r="AC15" s="1132">
        <f t="shared" si="5"/>
        <v>1</v>
      </c>
    </row>
    <row r="16" spans="1:29" ht="15">
      <c r="A16" s="946"/>
      <c r="B16" s="1255"/>
      <c r="C16" s="2449" t="s">
        <v>655</v>
      </c>
      <c r="D16" s="967"/>
      <c r="E16" s="966" t="s">
        <v>655</v>
      </c>
      <c r="F16" s="1306"/>
      <c r="G16" s="966" t="s">
        <v>655</v>
      </c>
      <c r="H16" s="969"/>
      <c r="I16" s="966" t="s">
        <v>655</v>
      </c>
      <c r="J16" s="967"/>
      <c r="K16" s="1345"/>
      <c r="L16" s="2465"/>
      <c r="M16" s="2456"/>
      <c r="N16" s="2456"/>
      <c r="O16" s="2464"/>
      <c r="P16" s="3449"/>
      <c r="Q16" s="681"/>
      <c r="R16" s="1121"/>
      <c r="S16" s="1122"/>
      <c r="T16" s="1121"/>
      <c r="U16" s="1122"/>
      <c r="V16" s="1121"/>
      <c r="W16" s="1122"/>
      <c r="X16" s="1115"/>
      <c r="Y16" s="3449"/>
      <c r="Z16" s="1105"/>
      <c r="AA16" s="1132">
        <v>1</v>
      </c>
      <c r="AB16" s="1132">
        <v>1</v>
      </c>
      <c r="AC16" s="1132">
        <v>1</v>
      </c>
    </row>
    <row r="17" spans="1:29" ht="71.25">
      <c r="A17" s="946"/>
      <c r="B17" s="1256" t="s">
        <v>1042</v>
      </c>
      <c r="C17" s="971" t="str">
        <f>估价对象房地状况!G4</f>
        <v>周边路网密集，行车出入便捷，周边有通11、通12、通68路等公共线路及地铁7号线经过，交通状况较好；</v>
      </c>
      <c r="D17" s="969">
        <v>100</v>
      </c>
      <c r="E17" s="972"/>
      <c r="F17" s="1308">
        <f>SUMIF(72:72,E18,73:73)-SUMIF(72:72,C18,73:73)+100</f>
        <v>100</v>
      </c>
      <c r="G17" s="1087"/>
      <c r="H17" s="973">
        <f>SUMIF(72:72,G18,73:73)-SUMIF(72:72,C18,73:73)+100</f>
        <v>97</v>
      </c>
      <c r="I17" s="972"/>
      <c r="J17" s="973">
        <f>SUMIF(72:72,I18,73:73)-SUMIF(72:72,C18,73:73)+100</f>
        <v>97</v>
      </c>
      <c r="K17" s="1344">
        <v>3</v>
      </c>
      <c r="L17" s="2465"/>
      <c r="M17" s="2456"/>
      <c r="N17" s="2456"/>
      <c r="O17" s="2464"/>
      <c r="P17" s="3449"/>
      <c r="Q17" s="681" t="str">
        <f>B17</f>
        <v>交通便捷度</v>
      </c>
      <c r="R17" s="1121" t="s">
        <v>1029</v>
      </c>
      <c r="S17" s="1122">
        <f>F17</f>
        <v>100</v>
      </c>
      <c r="T17" s="1121" t="s">
        <v>1029</v>
      </c>
      <c r="U17" s="1122">
        <f>H17</f>
        <v>97</v>
      </c>
      <c r="V17" s="1121" t="s">
        <v>1029</v>
      </c>
      <c r="W17" s="1122">
        <f>J17</f>
        <v>97</v>
      </c>
      <c r="X17" s="1115"/>
      <c r="Y17" s="3449"/>
      <c r="Z17" s="1105" t="str">
        <f>Q17</f>
        <v>交通便捷度</v>
      </c>
      <c r="AA17" s="1132">
        <f t="shared" si="3"/>
        <v>1</v>
      </c>
      <c r="AB17" s="1132">
        <f t="shared" si="4"/>
        <v>1.0309278350515463</v>
      </c>
      <c r="AC17" s="1132">
        <f t="shared" si="5"/>
        <v>1.0309278350515463</v>
      </c>
    </row>
    <row r="18" spans="1:29" ht="15">
      <c r="A18" s="946"/>
      <c r="B18" s="994"/>
      <c r="C18" s="1257" t="s">
        <v>655</v>
      </c>
      <c r="D18" s="969"/>
      <c r="E18" s="1258" t="s">
        <v>655</v>
      </c>
      <c r="F18" s="1308"/>
      <c r="G18" s="1266" t="s">
        <v>659</v>
      </c>
      <c r="H18" s="967"/>
      <c r="I18" s="1258" t="s">
        <v>659</v>
      </c>
      <c r="J18" s="967"/>
      <c r="K18" s="1345"/>
      <c r="L18" s="2465"/>
      <c r="M18" s="2456"/>
      <c r="N18" s="2456"/>
      <c r="O18" s="2464"/>
      <c r="P18" s="3449"/>
      <c r="Q18" s="681"/>
      <c r="R18" s="1121"/>
      <c r="S18" s="1122"/>
      <c r="T18" s="1121"/>
      <c r="U18" s="1122"/>
      <c r="V18" s="1121"/>
      <c r="W18" s="1122"/>
      <c r="X18" s="1115"/>
      <c r="Y18" s="3449"/>
      <c r="Z18" s="1105"/>
      <c r="AA18" s="1132">
        <v>1</v>
      </c>
      <c r="AB18" s="1132">
        <v>1</v>
      </c>
      <c r="AC18" s="1132">
        <v>1</v>
      </c>
    </row>
    <row r="19" spans="1:29" ht="128.25">
      <c r="A19" s="946"/>
      <c r="B19" s="1256" t="s">
        <v>1043</v>
      </c>
      <c r="C19" s="971" t="str">
        <f>估价对象房地状况!G5</f>
        <v>周边2公里内的公共服务配套设施较齐备，有购物场所（华联超市）、医院（台湖镇口子社区卫生服务站）、银行（工商银行）、学校（台湖镇中心幼儿园）、餐饮等公共服务配套设施</v>
      </c>
      <c r="D19" s="973">
        <v>100</v>
      </c>
      <c r="E19" s="1259"/>
      <c r="F19" s="1307">
        <f>SUMIF(74:74,E20,75:75)-SUMIF(74:74,C20,75:75)+100</f>
        <v>100</v>
      </c>
      <c r="G19" s="1267"/>
      <c r="H19" s="969">
        <f>SUMIF(74:74,G20,75:75)-SUMIF(74:74,C20,75:75)+100</f>
        <v>100</v>
      </c>
      <c r="I19" s="1259"/>
      <c r="J19" s="969">
        <f>SUMIF(74:74,I20,75:75)-SUMIF(74:74,C20,75:75)+100</f>
        <v>100</v>
      </c>
      <c r="K19" s="1344">
        <v>2</v>
      </c>
      <c r="L19" s="2465"/>
      <c r="M19" s="2456"/>
      <c r="N19" s="2456"/>
      <c r="O19" s="2464"/>
      <c r="P19" s="3449"/>
      <c r="Q19" s="681" t="str">
        <f>B19</f>
        <v>公共配套设施</v>
      </c>
      <c r="R19" s="1121" t="s">
        <v>1029</v>
      </c>
      <c r="S19" s="1122">
        <f>F19</f>
        <v>100</v>
      </c>
      <c r="T19" s="1121" t="s">
        <v>1029</v>
      </c>
      <c r="U19" s="1122">
        <f>H19</f>
        <v>100</v>
      </c>
      <c r="V19" s="1121" t="s">
        <v>1029</v>
      </c>
      <c r="W19" s="1122">
        <f>J19</f>
        <v>100</v>
      </c>
      <c r="X19" s="1115"/>
      <c r="Y19" s="3449"/>
      <c r="Z19" s="1105" t="str">
        <f>Q19</f>
        <v>公共配套设施</v>
      </c>
      <c r="AA19" s="1132">
        <f t="shared" si="3"/>
        <v>1</v>
      </c>
      <c r="AB19" s="1132">
        <f t="shared" si="4"/>
        <v>1</v>
      </c>
      <c r="AC19" s="1132">
        <f t="shared" si="5"/>
        <v>1</v>
      </c>
    </row>
    <row r="20" spans="1:29" ht="15">
      <c r="A20" s="946"/>
      <c r="B20" s="994"/>
      <c r="C20" s="2449" t="s">
        <v>659</v>
      </c>
      <c r="D20" s="967"/>
      <c r="E20" s="975" t="s">
        <v>659</v>
      </c>
      <c r="F20" s="1306"/>
      <c r="G20" s="975" t="s">
        <v>659</v>
      </c>
      <c r="H20" s="967"/>
      <c r="I20" s="975" t="s">
        <v>659</v>
      </c>
      <c r="J20" s="967"/>
      <c r="K20" s="1345"/>
      <c r="L20" s="2465"/>
      <c r="M20" s="2456"/>
      <c r="N20" s="2456"/>
      <c r="O20" s="2464"/>
      <c r="P20" s="3449"/>
      <c r="Q20" s="681"/>
      <c r="R20" s="1121"/>
      <c r="S20" s="1122"/>
      <c r="T20" s="1121"/>
      <c r="U20" s="1122"/>
      <c r="V20" s="1121"/>
      <c r="W20" s="1122"/>
      <c r="X20" s="1115"/>
      <c r="Y20" s="3449"/>
      <c r="Z20" s="1105"/>
      <c r="AA20" s="1132">
        <v>1</v>
      </c>
      <c r="AB20" s="1132">
        <v>1</v>
      </c>
      <c r="AC20" s="1132">
        <v>1</v>
      </c>
    </row>
    <row r="21" spans="1:29" ht="15">
      <c r="A21" s="946"/>
      <c r="B21" s="1260" t="s">
        <v>1044</v>
      </c>
      <c r="C21" s="971" t="str">
        <f>估价对象房地状况!G6</f>
        <v>七通</v>
      </c>
      <c r="D21" s="969">
        <v>100</v>
      </c>
      <c r="E21" s="1259"/>
      <c r="F21" s="1307">
        <f>SUMIF(76:76,E22,77:77)-SUMIF(76:76,C22,77:77)+100</f>
        <v>100</v>
      </c>
      <c r="G21" s="1267"/>
      <c r="H21" s="969">
        <f>SUMIF(76:76,G22,77:77)-SUMIF(76:76,C22,77:77)+100</f>
        <v>100</v>
      </c>
      <c r="I21" s="1259"/>
      <c r="J21" s="969">
        <f>SUMIF(76:76,I22,77:77)-SUMIF(76:76,C22,77:77)+100</f>
        <v>100</v>
      </c>
      <c r="K21" s="1344">
        <v>1</v>
      </c>
      <c r="L21" s="2465"/>
      <c r="M21" s="2456"/>
      <c r="N21" s="2456"/>
      <c r="O21" s="2464"/>
      <c r="P21" s="3449"/>
      <c r="Q21" s="681" t="str">
        <f>B21</f>
        <v>基础设施水平</v>
      </c>
      <c r="R21" s="1121" t="s">
        <v>1029</v>
      </c>
      <c r="S21" s="1122">
        <f>F21</f>
        <v>100</v>
      </c>
      <c r="T21" s="1121" t="s">
        <v>1029</v>
      </c>
      <c r="U21" s="1122">
        <f>H21</f>
        <v>100</v>
      </c>
      <c r="V21" s="1121" t="s">
        <v>1029</v>
      </c>
      <c r="W21" s="1122">
        <f>J21</f>
        <v>100</v>
      </c>
      <c r="X21" s="1115"/>
      <c r="Y21" s="3449"/>
      <c r="Z21" s="1105" t="str">
        <f>Q21</f>
        <v>基础设施水平</v>
      </c>
      <c r="AA21" s="1132">
        <f t="shared" ref="AA21" si="8">D21/F21</f>
        <v>1</v>
      </c>
      <c r="AB21" s="1132">
        <f t="shared" ref="AB21" si="9">D21/H21</f>
        <v>1</v>
      </c>
      <c r="AC21" s="1132">
        <f t="shared" ref="AC21" si="10">D21/J21</f>
        <v>1</v>
      </c>
    </row>
    <row r="22" spans="1:29" ht="15">
      <c r="A22" s="946"/>
      <c r="B22" s="1260"/>
      <c r="C22" s="1257" t="s">
        <v>236</v>
      </c>
      <c r="D22" s="967"/>
      <c r="E22" s="966" t="s">
        <v>236</v>
      </c>
      <c r="F22" s="1306"/>
      <c r="G22" s="966" t="s">
        <v>236</v>
      </c>
      <c r="H22" s="967"/>
      <c r="I22" s="966" t="s">
        <v>236</v>
      </c>
      <c r="J22" s="967"/>
      <c r="K22" s="1346"/>
      <c r="L22" s="2465"/>
      <c r="M22" s="2456"/>
      <c r="N22" s="2456"/>
      <c r="O22" s="2464"/>
      <c r="P22" s="3449"/>
      <c r="Q22" s="681"/>
      <c r="R22" s="1121"/>
      <c r="S22" s="1122"/>
      <c r="T22" s="1121"/>
      <c r="U22" s="1122"/>
      <c r="V22" s="1121"/>
      <c r="W22" s="1122"/>
      <c r="X22" s="1115"/>
      <c r="Y22" s="3449"/>
      <c r="Z22" s="1105"/>
      <c r="AA22" s="1132">
        <v>1</v>
      </c>
      <c r="AB22" s="1132">
        <v>1</v>
      </c>
      <c r="AC22" s="1132">
        <v>1</v>
      </c>
    </row>
    <row r="23" spans="1:29" ht="57">
      <c r="A23" s="946"/>
      <c r="B23" s="1256" t="s">
        <v>1045</v>
      </c>
      <c r="C23" s="971" t="str">
        <f>估价对象房地状况!G7</f>
        <v>区域内污染物排放及治理状况较好，周边无危险设施及污染源，环境状况较好</v>
      </c>
      <c r="D23" s="969">
        <v>100</v>
      </c>
      <c r="E23" s="972"/>
      <c r="F23" s="1308">
        <f>SUMIF(78:78,E24,79:79)-SUMIF(78:78,C24,79:79)+100</f>
        <v>100</v>
      </c>
      <c r="G23" s="1087"/>
      <c r="H23" s="969">
        <f>SUMIF(78:78,G24,79:79)-SUMIF(78:78,C24,79:79)+100</f>
        <v>100</v>
      </c>
      <c r="I23" s="972"/>
      <c r="J23" s="969">
        <f>SUMIF(78:78,I24,79:79)-SUMIF(78:78,C24,79:79)+100</f>
        <v>100</v>
      </c>
      <c r="K23" s="1344">
        <v>2</v>
      </c>
      <c r="L23" s="2465"/>
      <c r="M23" s="2456"/>
      <c r="N23" s="2456"/>
      <c r="O23" s="2464"/>
      <c r="P23" s="3449"/>
      <c r="Q23" s="681" t="str">
        <f>B23</f>
        <v>环境质量</v>
      </c>
      <c r="R23" s="1121" t="s">
        <v>1029</v>
      </c>
      <c r="S23" s="1122">
        <f>F23</f>
        <v>100</v>
      </c>
      <c r="T23" s="1121" t="s">
        <v>1029</v>
      </c>
      <c r="U23" s="1122">
        <f>H23</f>
        <v>100</v>
      </c>
      <c r="V23" s="1121" t="s">
        <v>1029</v>
      </c>
      <c r="W23" s="1122">
        <f>J23</f>
        <v>100</v>
      </c>
      <c r="X23" s="1115"/>
      <c r="Y23" s="3449"/>
      <c r="Z23" s="1105" t="str">
        <f>Q23</f>
        <v>环境质量</v>
      </c>
      <c r="AA23" s="1132">
        <f t="shared" si="3"/>
        <v>1</v>
      </c>
      <c r="AB23" s="1132">
        <f t="shared" si="4"/>
        <v>1</v>
      </c>
      <c r="AC23" s="1132">
        <f t="shared" si="5"/>
        <v>1</v>
      </c>
    </row>
    <row r="24" spans="1:29" ht="15">
      <c r="A24" s="946"/>
      <c r="B24" s="1260"/>
      <c r="C24" s="966" t="s">
        <v>655</v>
      </c>
      <c r="D24" s="967"/>
      <c r="E24" s="975" t="s">
        <v>655</v>
      </c>
      <c r="F24" s="1306"/>
      <c r="G24" s="1088" t="s">
        <v>655</v>
      </c>
      <c r="H24" s="967"/>
      <c r="I24" s="975" t="s">
        <v>655</v>
      </c>
      <c r="J24" s="967"/>
      <c r="K24" s="1345"/>
      <c r="L24" s="2465"/>
      <c r="M24" s="2456"/>
      <c r="N24" s="2456"/>
      <c r="O24" s="2464"/>
      <c r="P24" s="3449"/>
      <c r="Q24" s="681"/>
      <c r="R24" s="1121"/>
      <c r="S24" s="1122"/>
      <c r="T24" s="1121"/>
      <c r="U24" s="1122"/>
      <c r="V24" s="1121"/>
      <c r="W24" s="1122"/>
      <c r="X24" s="1115"/>
      <c r="Y24" s="3449"/>
      <c r="Z24" s="1105"/>
      <c r="AA24" s="1132">
        <v>1</v>
      </c>
      <c r="AB24" s="1132">
        <v>1</v>
      </c>
      <c r="AC24" s="1132">
        <v>1</v>
      </c>
    </row>
    <row r="25" spans="1:29" ht="15" hidden="1">
      <c r="A25" s="926"/>
      <c r="B25" s="2450"/>
      <c r="C25" s="2451"/>
      <c r="D25" s="955">
        <v>100</v>
      </c>
      <c r="E25" s="2451"/>
      <c r="F25" s="1309">
        <f>SUMIF(80:80,E25,81:81)-SUMIF(80:80,C25,81:81)+100</f>
        <v>100</v>
      </c>
      <c r="G25" s="2451"/>
      <c r="H25" s="955">
        <f>SUMIF(80:80,G25,81:81)-SUMIF(80:80,C25,81:81)+100</f>
        <v>100</v>
      </c>
      <c r="I25" s="2451"/>
      <c r="J25" s="955">
        <f>SUMIF(80:80,I25,81:81)-SUMIF(80:80,C25,81:81)+100</f>
        <v>100</v>
      </c>
      <c r="K25" s="1090"/>
      <c r="L25" s="2465"/>
      <c r="M25" s="2456"/>
      <c r="N25" s="2456"/>
      <c r="O25" s="2464"/>
      <c r="P25" s="3449"/>
      <c r="Q25" s="681">
        <f>B25</f>
        <v>0</v>
      </c>
      <c r="R25" s="1121" t="s">
        <v>1029</v>
      </c>
      <c r="S25" s="1122">
        <f>F25</f>
        <v>100</v>
      </c>
      <c r="T25" s="1121" t="s">
        <v>1029</v>
      </c>
      <c r="U25" s="1122">
        <f>H25</f>
        <v>100</v>
      </c>
      <c r="V25" s="1121" t="s">
        <v>1029</v>
      </c>
      <c r="W25" s="1122">
        <f>J25</f>
        <v>100</v>
      </c>
      <c r="X25" s="1115"/>
      <c r="Y25" s="3449"/>
      <c r="Z25" s="1105">
        <f>Q25</f>
        <v>0</v>
      </c>
      <c r="AA25" s="1132">
        <f t="shared" si="3"/>
        <v>1</v>
      </c>
      <c r="AB25" s="1132">
        <f t="shared" si="4"/>
        <v>1</v>
      </c>
      <c r="AC25" s="1132">
        <f t="shared" si="5"/>
        <v>1</v>
      </c>
    </row>
    <row r="26" spans="1:29" ht="15" hidden="1">
      <c r="A26" s="946"/>
      <c r="B26" s="1261"/>
      <c r="C26" s="954"/>
      <c r="D26" s="955">
        <v>100</v>
      </c>
      <c r="E26" s="954"/>
      <c r="F26" s="1309">
        <f>SUMIF(82:82,E26,83:83)-SUMIF(82:82,C26,83:83)+100</f>
        <v>100</v>
      </c>
      <c r="G26" s="954"/>
      <c r="H26" s="955">
        <f>SUMIF(82:82,G26,83:83)-SUMIF(82:82,C26,83:83)+100</f>
        <v>100</v>
      </c>
      <c r="I26" s="954"/>
      <c r="J26" s="955">
        <f>SUMIF(82:82,I26,83:83)-SUMIF(82:82,C26,83:83)+100</f>
        <v>100</v>
      </c>
      <c r="K26" s="1090"/>
      <c r="L26" s="2465"/>
      <c r="M26" s="2456"/>
      <c r="N26" s="2456"/>
      <c r="O26" s="2464"/>
      <c r="P26" s="3449"/>
      <c r="Q26" s="681">
        <f t="shared" ref="Q26:Q40" si="11">B26</f>
        <v>0</v>
      </c>
      <c r="R26" s="1121" t="s">
        <v>1029</v>
      </c>
      <c r="S26" s="1122">
        <f>F26</f>
        <v>100</v>
      </c>
      <c r="T26" s="1121" t="s">
        <v>1029</v>
      </c>
      <c r="U26" s="1122">
        <f>H26</f>
        <v>100</v>
      </c>
      <c r="V26" s="1121" t="s">
        <v>1029</v>
      </c>
      <c r="W26" s="1122">
        <f>J26</f>
        <v>100</v>
      </c>
      <c r="X26" s="1115"/>
      <c r="Y26" s="3449"/>
      <c r="Z26" s="1105">
        <f>Q26</f>
        <v>0</v>
      </c>
      <c r="AA26" s="1132">
        <f t="shared" si="3"/>
        <v>1</v>
      </c>
      <c r="AB26" s="1132">
        <f t="shared" si="4"/>
        <v>1</v>
      </c>
      <c r="AC26" s="1132">
        <f t="shared" si="5"/>
        <v>1</v>
      </c>
    </row>
    <row r="27" spans="1:29" s="905" customFormat="1" ht="15" hidden="1">
      <c r="A27" s="949"/>
      <c r="B27" s="1261"/>
      <c r="C27" s="954"/>
      <c r="D27" s="1428">
        <v>100</v>
      </c>
      <c r="E27" s="954"/>
      <c r="F27" s="1445">
        <f>SUMIF(84:84,E27,85:85)-SUMIF(84:84,C27,85:85)+100</f>
        <v>100</v>
      </c>
      <c r="G27" s="954"/>
      <c r="H27" s="1428">
        <f>SUMIF(84:84,G27,85:85)-SUMIF(84:84,C27,85:85)+100</f>
        <v>100</v>
      </c>
      <c r="I27" s="954"/>
      <c r="J27" s="1428">
        <f>SUMIF(84:84,I27,85:85)-SUMIF(84:84,C27,85:85)+100</f>
        <v>100</v>
      </c>
      <c r="K27" s="1090"/>
      <c r="L27" s="2457"/>
      <c r="M27" s="2458"/>
      <c r="N27" s="2458"/>
      <c r="O27" s="2459"/>
      <c r="P27" s="3449"/>
      <c r="Q27" s="1120">
        <f t="shared" si="11"/>
        <v>0</v>
      </c>
      <c r="R27" s="1116" t="s">
        <v>1029</v>
      </c>
      <c r="S27" s="1117">
        <f>F27</f>
        <v>100</v>
      </c>
      <c r="T27" s="1116" t="s">
        <v>1029</v>
      </c>
      <c r="U27" s="1117">
        <f>H27</f>
        <v>100</v>
      </c>
      <c r="V27" s="1116" t="s">
        <v>1029</v>
      </c>
      <c r="W27" s="1117">
        <f>J27</f>
        <v>100</v>
      </c>
      <c r="X27" s="1118"/>
      <c r="Y27" s="3449"/>
      <c r="Z27" s="1131">
        <f>Q27</f>
        <v>0</v>
      </c>
      <c r="AA27" s="1132">
        <f t="shared" si="3"/>
        <v>1</v>
      </c>
      <c r="AB27" s="1132">
        <f t="shared" si="4"/>
        <v>1</v>
      </c>
      <c r="AC27" s="1132">
        <f t="shared" si="5"/>
        <v>1</v>
      </c>
    </row>
    <row r="28" spans="1:29" ht="15" hidden="1">
      <c r="A28" s="956"/>
      <c r="B28" s="1261"/>
      <c r="C28" s="958"/>
      <c r="D28" s="959">
        <v>100</v>
      </c>
      <c r="E28" s="954"/>
      <c r="F28" s="1322">
        <f>SUMIF(86:86,E28,87:87)-SUMIF(86:86,C28,87:87)+100</f>
        <v>100</v>
      </c>
      <c r="G28" s="1303"/>
      <c r="H28" s="959">
        <f>SUMIF(86:86,G28,87:87)-SUMIF(86:86,C28,87:87)+100</f>
        <v>100</v>
      </c>
      <c r="I28" s="1303"/>
      <c r="J28" s="959">
        <f>SUMIF(86:86,I28,87:87)-SUMIF(86:86,C28,87:87)+100</f>
        <v>100</v>
      </c>
      <c r="K28" s="1090"/>
      <c r="L28" s="2465"/>
      <c r="M28" s="2456"/>
      <c r="N28" s="2456"/>
      <c r="O28" s="2464"/>
      <c r="P28" s="3449"/>
      <c r="Q28" s="681">
        <f t="shared" si="11"/>
        <v>0</v>
      </c>
      <c r="R28" s="1121" t="s">
        <v>1029</v>
      </c>
      <c r="S28" s="1122">
        <f t="shared" ref="S28:S40" si="12">F28</f>
        <v>100</v>
      </c>
      <c r="T28" s="1121" t="s">
        <v>1029</v>
      </c>
      <c r="U28" s="1122">
        <f t="shared" ref="U28:U40" si="13">H28</f>
        <v>100</v>
      </c>
      <c r="V28" s="1121" t="s">
        <v>1029</v>
      </c>
      <c r="W28" s="1122">
        <f t="shared" ref="W28:W40" si="14">J28</f>
        <v>100</v>
      </c>
      <c r="X28" s="1115"/>
      <c r="Y28" s="3449"/>
      <c r="Z28" s="1105">
        <f t="shared" ref="Z28:Z40" si="15">Q28</f>
        <v>0</v>
      </c>
      <c r="AA28" s="1132">
        <f t="shared" si="3"/>
        <v>1</v>
      </c>
      <c r="AB28" s="1132">
        <f t="shared" si="4"/>
        <v>1</v>
      </c>
      <c r="AC28" s="1132">
        <f t="shared" si="5"/>
        <v>1</v>
      </c>
    </row>
    <row r="29" spans="1:29" ht="28.5">
      <c r="A29" s="1313" t="s">
        <v>1048</v>
      </c>
      <c r="B29" s="939" t="s">
        <v>1049</v>
      </c>
      <c r="C29" s="1314" t="s">
        <v>1050</v>
      </c>
      <c r="D29" s="996">
        <v>100</v>
      </c>
      <c r="E29" s="1314" t="s">
        <v>1050</v>
      </c>
      <c r="F29" s="1309">
        <f>SUMIF(88:88,E29,89:89)-SUMIF(88:88,C29,89:89)+100</f>
        <v>100</v>
      </c>
      <c r="G29" s="1314" t="s">
        <v>1050</v>
      </c>
      <c r="H29" s="955">
        <f>SUMIF(88:88,G29,89:89)-SUMIF(88:88,C29,89:89)+100</f>
        <v>100</v>
      </c>
      <c r="I29" s="1314" t="s">
        <v>1050</v>
      </c>
      <c r="J29" s="996">
        <f>SUMIF(88:88,I29,89:89)-SUMIF(88:88,C29,89:89)+100</f>
        <v>100</v>
      </c>
      <c r="K29" s="1091">
        <v>2</v>
      </c>
      <c r="L29" s="2465"/>
      <c r="M29" s="2456"/>
      <c r="N29" s="2456"/>
      <c r="O29" s="2464"/>
      <c r="P29" s="3450" t="s">
        <v>1051</v>
      </c>
      <c r="Q29" s="681" t="str">
        <f t="shared" si="11"/>
        <v>建筑类型</v>
      </c>
      <c r="R29" s="1121" t="s">
        <v>1029</v>
      </c>
      <c r="S29" s="1122">
        <f t="shared" si="12"/>
        <v>100</v>
      </c>
      <c r="T29" s="1121" t="s">
        <v>1029</v>
      </c>
      <c r="U29" s="1122">
        <f t="shared" si="13"/>
        <v>100</v>
      </c>
      <c r="V29" s="1121" t="s">
        <v>1029</v>
      </c>
      <c r="W29" s="1122">
        <f t="shared" si="14"/>
        <v>100</v>
      </c>
      <c r="X29" s="1115"/>
      <c r="Y29" s="3451" t="s">
        <v>1051</v>
      </c>
      <c r="Z29" s="1105" t="str">
        <f t="shared" si="15"/>
        <v>建筑类型</v>
      </c>
      <c r="AA29" s="1132">
        <f t="shared" si="3"/>
        <v>1</v>
      </c>
      <c r="AB29" s="1132">
        <f t="shared" si="4"/>
        <v>1</v>
      </c>
      <c r="AC29" s="1132">
        <f t="shared" si="5"/>
        <v>1</v>
      </c>
    </row>
    <row r="30" spans="1:29" s="907" customFormat="1" ht="15">
      <c r="A30" s="1002"/>
      <c r="B30" s="943" t="s">
        <v>1052</v>
      </c>
      <c r="C30" s="1303">
        <f>'数据-汇总表'!E3</f>
        <v>842.81</v>
      </c>
      <c r="D30" s="945">
        <v>100</v>
      </c>
      <c r="E30" s="948">
        <v>740</v>
      </c>
      <c r="F30" s="1302">
        <f>LOOKUP(E30,91:91,92:92)-LOOKUP(C30,91:91,92:92)+100</f>
        <v>100</v>
      </c>
      <c r="G30" s="3232">
        <v>1388.2</v>
      </c>
      <c r="H30" s="945">
        <f>LOOKUP(G30,91:91,92:92)-LOOKUP(C30,91:91,92:92)+100</f>
        <v>99</v>
      </c>
      <c r="I30" s="947">
        <v>2300</v>
      </c>
      <c r="J30" s="945">
        <f>LOOKUP(I30,91:91,92:92)-LOOKUP(C30,91:91,92:92)+100</f>
        <v>98</v>
      </c>
      <c r="K30" s="1090"/>
      <c r="L30" s="2463"/>
      <c r="M30" s="2466"/>
      <c r="N30" s="2466"/>
      <c r="O30" s="2467"/>
      <c r="P30" s="3451"/>
      <c r="Q30" s="1348" t="str">
        <f t="shared" si="11"/>
        <v>项目建筑规模</v>
      </c>
      <c r="R30" s="1123" t="s">
        <v>1029</v>
      </c>
      <c r="S30" s="1124">
        <f t="shared" si="12"/>
        <v>100</v>
      </c>
      <c r="T30" s="1123" t="s">
        <v>1029</v>
      </c>
      <c r="U30" s="1124">
        <f t="shared" si="13"/>
        <v>99</v>
      </c>
      <c r="V30" s="1123" t="s">
        <v>1029</v>
      </c>
      <c r="W30" s="1124">
        <f t="shared" si="14"/>
        <v>98</v>
      </c>
      <c r="X30" s="1125"/>
      <c r="Y30" s="3451"/>
      <c r="Z30" s="1133" t="str">
        <f t="shared" si="15"/>
        <v>项目建筑规模</v>
      </c>
      <c r="AA30" s="1132">
        <f t="shared" si="3"/>
        <v>1</v>
      </c>
      <c r="AB30" s="1132">
        <f t="shared" si="4"/>
        <v>1.0101010101010102</v>
      </c>
      <c r="AC30" s="1132">
        <f t="shared" si="5"/>
        <v>1.0204081632653061</v>
      </c>
    </row>
    <row r="31" spans="1:29" ht="15">
      <c r="A31" s="997"/>
      <c r="B31" s="943" t="s">
        <v>1053</v>
      </c>
      <c r="C31" s="1319" t="s">
        <v>1054</v>
      </c>
      <c r="D31" s="955">
        <v>100</v>
      </c>
      <c r="E31" s="1319" t="s">
        <v>1054</v>
      </c>
      <c r="F31" s="1309">
        <f>SUMIF(93:93,E31,94:94)-SUMIF(93:93,C31,94:94)+100</f>
        <v>100</v>
      </c>
      <c r="G31" s="1319" t="s">
        <v>1054</v>
      </c>
      <c r="H31" s="955">
        <f>SUMIF(93:93,G31,94:94)-SUMIF(93:93,C31,94:94)+100</f>
        <v>100</v>
      </c>
      <c r="I31" s="1319" t="s">
        <v>1054</v>
      </c>
      <c r="J31" s="955">
        <f>SUMIF(93:93,I31,94:94)-SUMIF(93:93,C31,94:94)+100</f>
        <v>100</v>
      </c>
      <c r="K31" s="1091">
        <v>3</v>
      </c>
      <c r="L31" s="2465"/>
      <c r="M31" s="2456"/>
      <c r="N31" s="2456"/>
      <c r="O31" s="2464"/>
      <c r="P31" s="3451"/>
      <c r="Q31" s="681" t="str">
        <f t="shared" si="11"/>
        <v>建筑结构</v>
      </c>
      <c r="R31" s="1121" t="s">
        <v>1029</v>
      </c>
      <c r="S31" s="1122">
        <f t="shared" si="12"/>
        <v>100</v>
      </c>
      <c r="T31" s="1121" t="s">
        <v>1029</v>
      </c>
      <c r="U31" s="1122">
        <f t="shared" si="13"/>
        <v>100</v>
      </c>
      <c r="V31" s="1121" t="s">
        <v>1029</v>
      </c>
      <c r="W31" s="1122">
        <f t="shared" si="14"/>
        <v>100</v>
      </c>
      <c r="X31" s="1115"/>
      <c r="Y31" s="3451"/>
      <c r="Z31" s="1105" t="str">
        <f t="shared" si="15"/>
        <v>建筑结构</v>
      </c>
      <c r="AA31" s="1132">
        <f t="shared" si="3"/>
        <v>1</v>
      </c>
      <c r="AB31" s="1132">
        <f t="shared" si="4"/>
        <v>1</v>
      </c>
      <c r="AC31" s="1132">
        <f t="shared" si="5"/>
        <v>1</v>
      </c>
    </row>
    <row r="32" spans="1:29" ht="15">
      <c r="A32" s="997"/>
      <c r="B32" s="943" t="s">
        <v>1055</v>
      </c>
      <c r="C32" s="1319" t="s">
        <v>1056</v>
      </c>
      <c r="D32" s="955">
        <v>100</v>
      </c>
      <c r="E32" s="1319" t="s">
        <v>1056</v>
      </c>
      <c r="F32" s="1309">
        <f>SUMIF(95:95,E32,96:96)-SUMIF(95:95,C32,96:96)+100</f>
        <v>100</v>
      </c>
      <c r="G32" s="1319" t="s">
        <v>1056</v>
      </c>
      <c r="H32" s="955">
        <f>SUMIF(95:95,G32,96:96)-SUMIF(95:95,C32,96:96)+100</f>
        <v>100</v>
      </c>
      <c r="I32" s="1319" t="s">
        <v>1056</v>
      </c>
      <c r="J32" s="955">
        <f>SUMIF(95:95,I32,96:96)-SUMIF(95:95,C32,96:96)+100</f>
        <v>100</v>
      </c>
      <c r="K32" s="1091">
        <v>2</v>
      </c>
      <c r="L32" s="2465"/>
      <c r="M32" s="2456"/>
      <c r="N32" s="2456"/>
      <c r="O32" s="2464"/>
      <c r="P32" s="3451"/>
      <c r="Q32" s="681" t="str">
        <f t="shared" si="11"/>
        <v>公共部分装修</v>
      </c>
      <c r="R32" s="1121" t="s">
        <v>1029</v>
      </c>
      <c r="S32" s="1122">
        <f t="shared" si="12"/>
        <v>100</v>
      </c>
      <c r="T32" s="1121" t="s">
        <v>1029</v>
      </c>
      <c r="U32" s="1122">
        <f t="shared" si="13"/>
        <v>100</v>
      </c>
      <c r="V32" s="1121" t="s">
        <v>1029</v>
      </c>
      <c r="W32" s="1122">
        <f t="shared" si="14"/>
        <v>100</v>
      </c>
      <c r="X32" s="1115"/>
      <c r="Y32" s="3451"/>
      <c r="Z32" s="1105" t="str">
        <f t="shared" si="15"/>
        <v>公共部分装修</v>
      </c>
      <c r="AA32" s="1132">
        <f t="shared" si="3"/>
        <v>1</v>
      </c>
      <c r="AB32" s="1132">
        <f t="shared" si="4"/>
        <v>1</v>
      </c>
      <c r="AC32" s="1132">
        <f t="shared" si="5"/>
        <v>1</v>
      </c>
    </row>
    <row r="33" spans="1:29" ht="15">
      <c r="A33" s="997"/>
      <c r="B33" s="943" t="s">
        <v>568</v>
      </c>
      <c r="C33" s="2452">
        <f>'数据-取费表'!N6</f>
        <v>0.88</v>
      </c>
      <c r="D33" s="955">
        <v>100</v>
      </c>
      <c r="E33" s="1316">
        <f>C33</f>
        <v>0.88</v>
      </c>
      <c r="F33" s="1309">
        <f>LOOKUP(E33,98:98,99:99)-LOOKUP(C33,98:98,99:99)+100</f>
        <v>100</v>
      </c>
      <c r="G33" s="2694">
        <f>ROUND(1-(2022-2014)/60,2)</f>
        <v>0.87</v>
      </c>
      <c r="H33" s="1309">
        <f>LOOKUP(G33,98:98,99:99)-LOOKUP(C33,98:98,99:99)+100</f>
        <v>100</v>
      </c>
      <c r="I33" s="2694">
        <f>ROUND(1-(2022-2014)/60,2)</f>
        <v>0.87</v>
      </c>
      <c r="J33" s="955">
        <f>LOOKUP(I33,98:98,99:99)-LOOKUP(C33,98:98,99:99)+100</f>
        <v>100</v>
      </c>
      <c r="K33" s="1091">
        <v>2</v>
      </c>
      <c r="L33" s="2465"/>
      <c r="M33" s="2456"/>
      <c r="N33" s="2456"/>
      <c r="O33" s="2464"/>
      <c r="P33" s="3451"/>
      <c r="Q33" s="681" t="str">
        <f t="shared" si="11"/>
        <v>成新度</v>
      </c>
      <c r="R33" s="1121" t="s">
        <v>1029</v>
      </c>
      <c r="S33" s="1122">
        <f t="shared" si="12"/>
        <v>100</v>
      </c>
      <c r="T33" s="1121" t="s">
        <v>1029</v>
      </c>
      <c r="U33" s="1122">
        <f t="shared" si="13"/>
        <v>100</v>
      </c>
      <c r="V33" s="1121" t="s">
        <v>1029</v>
      </c>
      <c r="W33" s="1122">
        <f t="shared" si="14"/>
        <v>100</v>
      </c>
      <c r="X33" s="1115"/>
      <c r="Y33" s="3451"/>
      <c r="Z33" s="1105" t="str">
        <f t="shared" si="15"/>
        <v>成新度</v>
      </c>
      <c r="AA33" s="1132">
        <f t="shared" si="3"/>
        <v>1</v>
      </c>
      <c r="AB33" s="1132">
        <f t="shared" si="4"/>
        <v>1</v>
      </c>
      <c r="AC33" s="1132">
        <f t="shared" si="5"/>
        <v>1</v>
      </c>
    </row>
    <row r="34" spans="1:29" s="905" customFormat="1" ht="15">
      <c r="A34" s="999"/>
      <c r="B34" s="943" t="s">
        <v>1057</v>
      </c>
      <c r="C34" s="1319" t="s">
        <v>1058</v>
      </c>
      <c r="D34" s="945">
        <v>100</v>
      </c>
      <c r="E34" s="1319" t="s">
        <v>1058</v>
      </c>
      <c r="F34" s="1309">
        <f>SUMIF(100:100,E34,101:101)-SUMIF(100:100,C34,101:101)+100</f>
        <v>100</v>
      </c>
      <c r="G34" s="1319" t="s">
        <v>1058</v>
      </c>
      <c r="H34" s="955">
        <f>SUMIF(100:100,G34,101:101)-SUMIF(100:100,C34,101:101)+100</f>
        <v>100</v>
      </c>
      <c r="I34" s="1319" t="s">
        <v>1058</v>
      </c>
      <c r="J34" s="955">
        <f>SUMIF(100:100,I34,101:101)-SUMIF(100:100,C34,101:101)+100</f>
        <v>100</v>
      </c>
      <c r="K34" s="1091">
        <v>2</v>
      </c>
      <c r="L34" s="2457"/>
      <c r="M34" s="2458"/>
      <c r="N34" s="2458"/>
      <c r="O34" s="2459"/>
      <c r="P34" s="3451"/>
      <c r="Q34" s="1120" t="str">
        <f t="shared" si="11"/>
        <v>物业管理</v>
      </c>
      <c r="R34" s="1116" t="s">
        <v>1029</v>
      </c>
      <c r="S34" s="1117">
        <f t="shared" si="12"/>
        <v>100</v>
      </c>
      <c r="T34" s="1116" t="s">
        <v>1029</v>
      </c>
      <c r="U34" s="1117">
        <f t="shared" si="13"/>
        <v>100</v>
      </c>
      <c r="V34" s="1116" t="s">
        <v>1029</v>
      </c>
      <c r="W34" s="1117">
        <f t="shared" si="14"/>
        <v>100</v>
      </c>
      <c r="X34" s="1118"/>
      <c r="Y34" s="3451"/>
      <c r="Z34" s="1131" t="str">
        <f t="shared" si="15"/>
        <v>物业管理</v>
      </c>
      <c r="AA34" s="1130">
        <f t="shared" si="3"/>
        <v>1</v>
      </c>
      <c r="AB34" s="1130">
        <f t="shared" si="4"/>
        <v>1</v>
      </c>
      <c r="AC34" s="1130">
        <f t="shared" si="5"/>
        <v>1</v>
      </c>
    </row>
    <row r="35" spans="1:29" ht="15">
      <c r="A35" s="997"/>
      <c r="B35" s="943" t="s">
        <v>1059</v>
      </c>
      <c r="C35" s="1319" t="s">
        <v>246</v>
      </c>
      <c r="D35" s="955">
        <v>100</v>
      </c>
      <c r="E35" s="1319" t="s">
        <v>246</v>
      </c>
      <c r="F35" s="1309">
        <f>SUMIF(102:102,E35,103:103)-SUMIF(102:102,C35,103:103)+100</f>
        <v>100</v>
      </c>
      <c r="G35" s="1319" t="s">
        <v>246</v>
      </c>
      <c r="H35" s="955">
        <f>SUMIF(102:102,G35,103:103)-SUMIF(102:102,C35,103:103)+100</f>
        <v>100</v>
      </c>
      <c r="I35" s="1319" t="s">
        <v>246</v>
      </c>
      <c r="J35" s="955">
        <f>SUMIF(102:102,I35,103:103)-SUMIF(102:102,C35,103:103)+100</f>
        <v>100</v>
      </c>
      <c r="K35" s="1091">
        <v>2</v>
      </c>
      <c r="L35" s="2465"/>
      <c r="M35" s="2456"/>
      <c r="N35" s="2456"/>
      <c r="O35" s="2464"/>
      <c r="P35" s="3451" t="s">
        <v>1051</v>
      </c>
      <c r="Q35" s="681" t="str">
        <f t="shared" si="11"/>
        <v>市政基础设施</v>
      </c>
      <c r="R35" s="1121" t="s">
        <v>1029</v>
      </c>
      <c r="S35" s="1122">
        <f t="shared" si="12"/>
        <v>100</v>
      </c>
      <c r="T35" s="1121" t="s">
        <v>1029</v>
      </c>
      <c r="U35" s="1122">
        <f t="shared" si="13"/>
        <v>100</v>
      </c>
      <c r="V35" s="1121" t="s">
        <v>1029</v>
      </c>
      <c r="W35" s="1122">
        <f t="shared" si="14"/>
        <v>100</v>
      </c>
      <c r="X35" s="1115"/>
      <c r="Y35" s="3451" t="s">
        <v>1051</v>
      </c>
      <c r="Z35" s="1105" t="str">
        <f t="shared" si="15"/>
        <v>市政基础设施</v>
      </c>
      <c r="AA35" s="1132">
        <f t="shared" si="3"/>
        <v>1</v>
      </c>
      <c r="AB35" s="1132">
        <f t="shared" si="4"/>
        <v>1</v>
      </c>
      <c r="AC35" s="1132">
        <f t="shared" si="5"/>
        <v>1</v>
      </c>
    </row>
    <row r="36" spans="1:29" ht="15">
      <c r="A36" s="997"/>
      <c r="B36" s="943" t="s">
        <v>1060</v>
      </c>
      <c r="C36" s="1319" t="s">
        <v>1061</v>
      </c>
      <c r="D36" s="955">
        <v>100</v>
      </c>
      <c r="E36" s="1319" t="s">
        <v>1062</v>
      </c>
      <c r="F36" s="1309">
        <f>SUMIF(104:104,E36,105:105)-SUMIF(104:104,C36,105:105)+100</f>
        <v>98</v>
      </c>
      <c r="G36" s="1319" t="s">
        <v>1056</v>
      </c>
      <c r="H36" s="955">
        <f>SUMIF(104:104,G36,105:105)-SUMIF(104:104,C36,105:105)+100</f>
        <v>102</v>
      </c>
      <c r="I36" s="1319" t="s">
        <v>1062</v>
      </c>
      <c r="J36" s="955">
        <f>SUMIF(104:104,I36,105:105)-SUMIF(104:104,C36,105:105)+100</f>
        <v>98</v>
      </c>
      <c r="K36" s="1091">
        <v>2</v>
      </c>
      <c r="L36" s="2465"/>
      <c r="M36" s="2456"/>
      <c r="N36" s="2456"/>
      <c r="O36" s="2464"/>
      <c r="P36" s="3451"/>
      <c r="Q36" s="681" t="str">
        <f t="shared" si="11"/>
        <v>内部装修</v>
      </c>
      <c r="R36" s="1121" t="s">
        <v>1029</v>
      </c>
      <c r="S36" s="1122">
        <f t="shared" si="12"/>
        <v>98</v>
      </c>
      <c r="T36" s="1121" t="s">
        <v>1029</v>
      </c>
      <c r="U36" s="1122">
        <f t="shared" si="13"/>
        <v>102</v>
      </c>
      <c r="V36" s="1121" t="s">
        <v>1029</v>
      </c>
      <c r="W36" s="1122">
        <f t="shared" si="14"/>
        <v>98</v>
      </c>
      <c r="X36" s="1115"/>
      <c r="Y36" s="3451"/>
      <c r="Z36" s="1105" t="str">
        <f t="shared" si="15"/>
        <v>内部装修</v>
      </c>
      <c r="AA36" s="1132">
        <f t="shared" si="3"/>
        <v>1.0204081632653061</v>
      </c>
      <c r="AB36" s="1132">
        <f t="shared" si="4"/>
        <v>0.98039215686274506</v>
      </c>
      <c r="AC36" s="1132">
        <f t="shared" si="5"/>
        <v>1.0204081632653061</v>
      </c>
    </row>
    <row r="37" spans="1:29" ht="15">
      <c r="A37" s="997"/>
      <c r="B37" s="943" t="s">
        <v>1063</v>
      </c>
      <c r="C37" s="980" t="s">
        <v>655</v>
      </c>
      <c r="D37" s="955">
        <v>100</v>
      </c>
      <c r="E37" s="980" t="s">
        <v>655</v>
      </c>
      <c r="F37" s="1309">
        <f>SUMIF(106:106,E37,107:107)-SUMIF(106:106,C37,107:107)+100</f>
        <v>100</v>
      </c>
      <c r="G37" s="980" t="s">
        <v>655</v>
      </c>
      <c r="H37" s="955">
        <f>SUMIF(106:106,G37,107:107)-SUMIF(106:106,C37,107:107)+100</f>
        <v>100</v>
      </c>
      <c r="I37" s="980" t="s">
        <v>655</v>
      </c>
      <c r="J37" s="955">
        <f>SUMIF(106:106,I37,107:107)-SUMIF(106:106,C37,107:107)+100</f>
        <v>100</v>
      </c>
      <c r="K37" s="1091">
        <v>2</v>
      </c>
      <c r="L37" s="2465"/>
      <c r="M37" s="2456"/>
      <c r="N37" s="2456"/>
      <c r="O37" s="2464"/>
      <c r="P37" s="3451"/>
      <c r="Q37" s="681" t="str">
        <f t="shared" si="11"/>
        <v>内部装修状况</v>
      </c>
      <c r="R37" s="1121" t="s">
        <v>1029</v>
      </c>
      <c r="S37" s="1122">
        <f t="shared" si="12"/>
        <v>100</v>
      </c>
      <c r="T37" s="1121" t="s">
        <v>1029</v>
      </c>
      <c r="U37" s="1122">
        <f t="shared" si="13"/>
        <v>100</v>
      </c>
      <c r="V37" s="1121" t="s">
        <v>1029</v>
      </c>
      <c r="W37" s="1122">
        <f t="shared" si="14"/>
        <v>100</v>
      </c>
      <c r="X37" s="1115"/>
      <c r="Y37" s="3451"/>
      <c r="Z37" s="1105" t="str">
        <f t="shared" si="15"/>
        <v>内部装修状况</v>
      </c>
      <c r="AA37" s="1132">
        <f t="shared" si="3"/>
        <v>1</v>
      </c>
      <c r="AB37" s="1132">
        <f t="shared" si="4"/>
        <v>1</v>
      </c>
      <c r="AC37" s="1132">
        <f t="shared" si="5"/>
        <v>1</v>
      </c>
    </row>
    <row r="38" spans="1:29" s="907" customFormat="1" ht="15">
      <c r="A38" s="1002"/>
      <c r="B38" s="2450" t="s">
        <v>2665</v>
      </c>
      <c r="C38" s="3231" t="s">
        <v>2666</v>
      </c>
      <c r="D38" s="955">
        <v>100</v>
      </c>
      <c r="E38" s="2451" t="s">
        <v>2666</v>
      </c>
      <c r="F38" s="1309">
        <f>SUMIF(108:108,E38,109:109)-SUMIF(108:108,C38,109:109)+100</f>
        <v>100</v>
      </c>
      <c r="G38" s="3231" t="s">
        <v>2667</v>
      </c>
      <c r="H38" s="955">
        <f>SUMIF(108:108,G38,109:109)-SUMIF(108:108,C38,109:109)+100</f>
        <v>105</v>
      </c>
      <c r="I38" s="3231" t="s">
        <v>2667</v>
      </c>
      <c r="J38" s="955">
        <f>SUMIF(108:108,I38,109:1038)-SUMIF(108:108,C38,109:109)+100</f>
        <v>105</v>
      </c>
      <c r="K38" s="1090"/>
      <c r="L38" s="2463"/>
      <c r="M38" s="2466"/>
      <c r="N38" s="2466"/>
      <c r="O38" s="2467"/>
      <c r="P38" s="3451"/>
      <c r="Q38" s="1348" t="str">
        <f t="shared" si="11"/>
        <v>含地下</v>
      </c>
      <c r="R38" s="1123" t="s">
        <v>1029</v>
      </c>
      <c r="S38" s="1124">
        <f t="shared" si="12"/>
        <v>100</v>
      </c>
      <c r="T38" s="1123" t="s">
        <v>1029</v>
      </c>
      <c r="U38" s="1124">
        <f t="shared" si="13"/>
        <v>105</v>
      </c>
      <c r="V38" s="1123" t="s">
        <v>1029</v>
      </c>
      <c r="W38" s="1124">
        <f t="shared" si="14"/>
        <v>105</v>
      </c>
      <c r="X38" s="1125"/>
      <c r="Y38" s="3451"/>
      <c r="Z38" s="1133" t="str">
        <f t="shared" si="15"/>
        <v>含地下</v>
      </c>
      <c r="AA38" s="1132">
        <f t="shared" si="3"/>
        <v>1</v>
      </c>
      <c r="AB38" s="1132">
        <f t="shared" si="4"/>
        <v>0.95238095238095233</v>
      </c>
      <c r="AC38" s="1132">
        <f t="shared" si="5"/>
        <v>0.95238095238095233</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2465"/>
      <c r="M39" s="2456"/>
      <c r="N39" s="2456"/>
      <c r="O39" s="2464"/>
      <c r="P39" s="3451"/>
      <c r="Q39" s="681">
        <f t="shared" si="11"/>
        <v>111</v>
      </c>
      <c r="R39" s="1121" t="s">
        <v>1029</v>
      </c>
      <c r="S39" s="1122">
        <f t="shared" si="12"/>
        <v>100</v>
      </c>
      <c r="T39" s="1121" t="s">
        <v>1029</v>
      </c>
      <c r="U39" s="1122">
        <f t="shared" si="13"/>
        <v>100</v>
      </c>
      <c r="V39" s="1121" t="s">
        <v>1029</v>
      </c>
      <c r="W39" s="1122">
        <f t="shared" si="14"/>
        <v>100</v>
      </c>
      <c r="X39" s="1115"/>
      <c r="Y39" s="3451"/>
      <c r="Z39" s="1105">
        <f t="shared" si="15"/>
        <v>111</v>
      </c>
      <c r="AA39" s="1132">
        <f t="shared" si="3"/>
        <v>1</v>
      </c>
      <c r="AB39" s="1132">
        <f t="shared" si="4"/>
        <v>1</v>
      </c>
      <c r="AC39" s="1132">
        <f t="shared" si="5"/>
        <v>1</v>
      </c>
    </row>
    <row r="40" spans="1:29" ht="15">
      <c r="A40" s="1321"/>
      <c r="B40" s="957">
        <v>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2465"/>
      <c r="M40" s="2456"/>
      <c r="N40" s="2456"/>
      <c r="O40" s="2464"/>
      <c r="P40" s="3452"/>
      <c r="Q40" s="681">
        <f t="shared" si="11"/>
        <v>1</v>
      </c>
      <c r="R40" s="1121" t="s">
        <v>1029</v>
      </c>
      <c r="S40" s="1122">
        <f t="shared" si="12"/>
        <v>100</v>
      </c>
      <c r="T40" s="1121" t="s">
        <v>1029</v>
      </c>
      <c r="U40" s="1122">
        <f t="shared" si="13"/>
        <v>100</v>
      </c>
      <c r="V40" s="1121" t="s">
        <v>1029</v>
      </c>
      <c r="W40" s="1122">
        <f t="shared" si="14"/>
        <v>100</v>
      </c>
      <c r="X40" s="1115"/>
      <c r="Y40" s="3452"/>
      <c r="Z40" s="1105">
        <f t="shared" si="15"/>
        <v>1</v>
      </c>
      <c r="AA40" s="1132">
        <f t="shared" si="3"/>
        <v>1</v>
      </c>
      <c r="AB40" s="1132">
        <f t="shared" si="4"/>
        <v>1</v>
      </c>
      <c r="AC40" s="1132">
        <f t="shared" si="5"/>
        <v>1</v>
      </c>
    </row>
    <row r="41" spans="1:29" ht="15">
      <c r="A41" s="1004" t="s">
        <v>1064</v>
      </c>
      <c r="B41" s="1323"/>
      <c r="C41" s="1324" t="s">
        <v>124</v>
      </c>
      <c r="D41" s="1325"/>
      <c r="E41" s="1326">
        <f>ROUND(24000*E44,0)</f>
        <v>23760</v>
      </c>
      <c r="F41" s="1327"/>
      <c r="G41" s="1326">
        <f>ROUND(23050*G44,0)</f>
        <v>22820</v>
      </c>
      <c r="H41" s="1329"/>
      <c r="I41" s="1326">
        <f>ROUND(25000*I44,0)</f>
        <v>24750</v>
      </c>
      <c r="J41" s="1329"/>
      <c r="K41" s="1096"/>
      <c r="L41" s="2468"/>
      <c r="M41" s="1056"/>
      <c r="N41" s="2456"/>
      <c r="O41" s="1056"/>
      <c r="P41" s="3441" t="str">
        <f>A41</f>
        <v>成交单价（元/平方米）</v>
      </c>
      <c r="Q41" s="3441"/>
      <c r="R41" s="3442">
        <f>E41</f>
        <v>23760</v>
      </c>
      <c r="S41" s="3442"/>
      <c r="T41" s="3442">
        <f>G41</f>
        <v>22820</v>
      </c>
      <c r="U41" s="3442"/>
      <c r="V41" s="3442">
        <f>I41</f>
        <v>24750</v>
      </c>
      <c r="W41" s="3442"/>
      <c r="X41" s="1061"/>
      <c r="Y41" s="1134"/>
      <c r="Z41" s="1061"/>
      <c r="AA41" s="1061"/>
      <c r="AB41" s="1061"/>
      <c r="AC41" s="1061"/>
    </row>
    <row r="42" spans="1:29" ht="15">
      <c r="A42" s="1012" t="s">
        <v>1065</v>
      </c>
      <c r="B42" s="1330"/>
      <c r="C42" s="1331">
        <f>R43</f>
        <v>23912</v>
      </c>
      <c r="D42" s="1015" t="s">
        <v>1066</v>
      </c>
      <c r="E42" s="1332">
        <f>R42</f>
        <v>24245</v>
      </c>
      <c r="F42" s="1016"/>
      <c r="G42" s="1331">
        <f>T42</f>
        <v>22188</v>
      </c>
      <c r="H42" s="1016"/>
      <c r="I42" s="1332">
        <f>V42</f>
        <v>25302</v>
      </c>
      <c r="J42" s="1016"/>
      <c r="K42" s="1098">
        <f>F42+H42+J42</f>
        <v>0</v>
      </c>
      <c r="L42" s="2468"/>
      <c r="M42" s="1056"/>
      <c r="N42" s="2456"/>
      <c r="O42" s="1056"/>
      <c r="P42" s="3441" t="str">
        <f>A42</f>
        <v>比较价值（元/平方米）</v>
      </c>
      <c r="Q42" s="3441"/>
      <c r="R42" s="3442">
        <f>IF(F1="售价",ROUND(PRODUCT(R41,AA7:AA40),0),ROUND(PRODUCT(R41,AA7:AA40),1))</f>
        <v>24245</v>
      </c>
      <c r="S42" s="3442"/>
      <c r="T42" s="3442">
        <f>IF(F1="售价",ROUND(PRODUCT(T41,AB7:AB40),0),ROUND(PRODUCT(T41,AB7:AB40),1))</f>
        <v>22188</v>
      </c>
      <c r="U42" s="3442"/>
      <c r="V42" s="3442">
        <f>IF(F1="售价",ROUND(PRODUCT(V41,AC7:AC40),0),ROUND(PRODUCT(V41,AC7:AC40),1))</f>
        <v>25302</v>
      </c>
      <c r="W42" s="3442"/>
      <c r="X42" s="1061"/>
      <c r="Y42" s="1061"/>
      <c r="Z42" s="1061"/>
      <c r="AA42" s="1061"/>
      <c r="AB42" s="1061"/>
      <c r="AC42" s="1061"/>
    </row>
    <row r="43" spans="1:29" ht="15">
      <c r="A43" s="1018" t="s">
        <v>1067</v>
      </c>
      <c r="B43" s="1019"/>
      <c r="C43" s="1333">
        <f>R43</f>
        <v>23912</v>
      </c>
      <c r="D43" s="1333"/>
      <c r="E43" s="1333"/>
      <c r="F43" s="1333"/>
      <c r="G43" s="1333"/>
      <c r="H43" s="1333"/>
      <c r="I43" s="1333"/>
      <c r="J43" s="1333"/>
      <c r="K43" s="1099"/>
      <c r="L43" s="2468"/>
      <c r="M43" s="1056"/>
      <c r="N43" s="1056"/>
      <c r="O43" s="1056"/>
      <c r="P43" s="3443" t="str">
        <f>A43</f>
        <v>估价对象XX用房的比较价值（楼面单价，元/平方米）</v>
      </c>
      <c r="Q43" s="3444"/>
      <c r="R43" s="3445">
        <f>IF(F1="售价",ROUND(IF(D42="简单平均",AVERAGE(R42:V42),R42*F42+T42*H42+V42*J42),0),ROUND(IF(D42="简单平均",AVERAGE(R42:V42),R42*F42+T42*H42+V42*J42),1))</f>
        <v>23912</v>
      </c>
      <c r="S43" s="3445"/>
      <c r="T43" s="3445"/>
      <c r="U43" s="3445"/>
      <c r="V43" s="3445"/>
      <c r="W43" s="3445"/>
      <c r="X43" s="1061"/>
      <c r="Y43" s="1061"/>
      <c r="Z43" s="1061"/>
      <c r="AA43" s="1061"/>
      <c r="AB43" s="1061"/>
      <c r="AC43" s="1061"/>
    </row>
    <row r="44" spans="1:29">
      <c r="A44" s="1021"/>
      <c r="B44" s="1021"/>
      <c r="C44" s="1021"/>
      <c r="D44" s="1021"/>
      <c r="E44" s="1021">
        <v>0.99</v>
      </c>
      <c r="F44" s="1021"/>
      <c r="G44" s="2453">
        <f>E44</f>
        <v>0.99</v>
      </c>
      <c r="H44" s="1021"/>
      <c r="I44" s="1021">
        <f>G44</f>
        <v>0.99</v>
      </c>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1068</v>
      </c>
      <c r="D46" s="723"/>
      <c r="E46" s="1024">
        <f>IF(E41&lt;E42,E42/E41-1,E41/E42-1)</f>
        <v>2.0412457912457826E-2</v>
      </c>
      <c r="F46" s="1025" t="str">
        <f>IF(OR(E46&gt;=0.3,E46&lt;=-0.3),"超过30%","")</f>
        <v/>
      </c>
      <c r="G46" s="1024">
        <f>IF(G41&lt;G42,G42/G41-1,G41/G42-1)</f>
        <v>2.8483865152334698E-2</v>
      </c>
      <c r="H46" s="1025" t="str">
        <f>IF(OR(G46&gt;=0.3,G46&lt;=-0.3),"超过30%","")</f>
        <v/>
      </c>
      <c r="I46" s="1024">
        <f>IF(I41&lt;I42,I42/I41-1,I41/I42-1)</f>
        <v>2.2303030303030269E-2</v>
      </c>
      <c r="J46" s="1025" t="str">
        <f>IF(OR(I46&gt;=0.3,I46&lt;=-0.3),"超过30%","")</f>
        <v/>
      </c>
      <c r="K46" s="1101"/>
      <c r="L46" s="1110"/>
      <c r="M46" s="1056"/>
      <c r="N46" s="1056"/>
      <c r="O46" s="1056"/>
    </row>
    <row r="47" spans="1:29" ht="13.5" customHeight="1">
      <c r="A47" s="1021"/>
      <c r="B47" s="1021"/>
      <c r="C47" s="1023" t="s">
        <v>1069</v>
      </c>
      <c r="D47" s="722"/>
      <c r="E47" s="1024">
        <f>IF(E42&lt;G42,G42/E42-1,E42/G42-1)</f>
        <v>9.2707769965747255E-2</v>
      </c>
      <c r="F47" s="1025" t="str">
        <f>IF(OR(E47&gt;=0.2,E47&lt;=-0.2),"超过20%","")</f>
        <v/>
      </c>
      <c r="G47" s="1024">
        <f>IF(G42&lt;I42,I42/G42-1,G42/I42-1)</f>
        <v>0.14034613304488919</v>
      </c>
      <c r="H47" s="1025" t="str">
        <f>IF(OR(G47&gt;=0.2,G47&lt;=-0.2),"超过20%","")</f>
        <v/>
      </c>
      <c r="I47" s="1024">
        <f>IF(I42&lt;E42,E42/I42-1,I42/E42-1)</f>
        <v>4.3596617859352538E-2</v>
      </c>
      <c r="J47" s="1025" t="str">
        <f>IF(OR(I47&gt;=0.2,I47&lt;=-0.2),"超过20%","")</f>
        <v/>
      </c>
      <c r="K47" s="1101"/>
      <c r="L47" s="1110"/>
      <c r="M47" s="1056"/>
      <c r="N47" s="1056"/>
      <c r="O47" s="1056"/>
    </row>
    <row r="48" spans="1:29" s="908" customFormat="1" ht="13.5" customHeight="1">
      <c r="A48" s="1026"/>
      <c r="B48" s="1026"/>
      <c r="C48" s="1023" t="s">
        <v>1070</v>
      </c>
      <c r="D48" s="722"/>
      <c r="E48" s="1024">
        <f>IF(E41&lt;G41,G41/E41-1,E41/G41-1)</f>
        <v>4.1191936897458259E-2</v>
      </c>
      <c r="F48" s="1025" t="str">
        <f>IF(OR(E48&gt;=0.3,E48&lt;=-0.3),"超过30%","")</f>
        <v/>
      </c>
      <c r="G48" s="1024">
        <f>IF(G41&lt;I41,I41/G41-1,G41/I41-1)</f>
        <v>8.4574934268185853E-2</v>
      </c>
      <c r="H48" s="1025" t="str">
        <f>IF(OR(G48&gt;=0.3,G48&lt;=-0.3),"超过30%","")</f>
        <v/>
      </c>
      <c r="I48" s="1024">
        <f>IF(I41&lt;E41,E41/I41-1,I41/E41-1)</f>
        <v>4.1666666666666741E-2</v>
      </c>
      <c r="J48" s="1025" t="str">
        <f>IF(OR(I48&gt;=0.3,I48&lt;=-0.3),"超过30%","")</f>
        <v/>
      </c>
      <c r="K48" s="1103"/>
      <c r="L48" s="2469"/>
      <c r="M48" s="2470"/>
      <c r="N48" s="2470"/>
      <c r="O48" s="2470"/>
    </row>
    <row r="49" spans="1:17" s="908" customFormat="1">
      <c r="A49" s="1026"/>
      <c r="B49" s="1027"/>
      <c r="C49" s="1334"/>
      <c r="D49" s="1026"/>
      <c r="E49" s="1026"/>
      <c r="F49" s="1026"/>
      <c r="G49" s="1026"/>
      <c r="H49" s="1026"/>
      <c r="I49" s="1026"/>
      <c r="J49" s="1026"/>
      <c r="K49" s="1103"/>
      <c r="L49" s="2469"/>
      <c r="M49" s="2470"/>
      <c r="N49" s="2470"/>
      <c r="O49" s="2470"/>
    </row>
    <row r="50" spans="1:17">
      <c r="A50" s="1021"/>
      <c r="B50" s="1027"/>
      <c r="C50" s="1334"/>
      <c r="D50" s="1021"/>
      <c r="E50" s="1021"/>
      <c r="F50" s="1021"/>
      <c r="G50" s="1021"/>
      <c r="H50" s="1021"/>
      <c r="I50" s="1021"/>
      <c r="J50" s="1021"/>
      <c r="K50" s="1101"/>
      <c r="L50" s="1110"/>
      <c r="M50" s="1056"/>
      <c r="N50" s="1056"/>
      <c r="O50" s="1056"/>
    </row>
    <row r="51" spans="1:17" ht="21">
      <c r="A51" s="1060" t="s">
        <v>1071</v>
      </c>
      <c r="B51" s="1061"/>
      <c r="C51" s="1062"/>
      <c r="D51" s="1062"/>
      <c r="E51" s="1062"/>
      <c r="F51" s="1063"/>
      <c r="G51" s="1063"/>
      <c r="H51" s="1062"/>
      <c r="I51" s="1062"/>
      <c r="J51" s="1062"/>
      <c r="K51" s="1279"/>
      <c r="L51" s="1280"/>
      <c r="M51" s="1113"/>
      <c r="N51" s="1113"/>
      <c r="O51" s="1113"/>
      <c r="P51" s="2471"/>
      <c r="Q51" s="1504"/>
    </row>
    <row r="52" spans="1:17" s="910" customFormat="1" ht="15">
      <c r="A52" s="1335" t="s">
        <v>1027</v>
      </c>
      <c r="B52" s="1336"/>
      <c r="C52" s="1337" t="str">
        <f>YEAR(C7)&amp;"-"&amp;MONTH(C7)</f>
        <v>2022-6</v>
      </c>
      <c r="D52" s="1338">
        <f>EDATE(C52,-1)</f>
        <v>44682</v>
      </c>
      <c r="E52" s="1338">
        <f t="shared" ref="E52:O52" si="16">EDATE(D52,-1)</f>
        <v>44652</v>
      </c>
      <c r="F52" s="1338">
        <f t="shared" si="16"/>
        <v>44621</v>
      </c>
      <c r="G52" s="1338">
        <f t="shared" si="16"/>
        <v>44593</v>
      </c>
      <c r="H52" s="1338">
        <f t="shared" si="16"/>
        <v>44562</v>
      </c>
      <c r="I52" s="1338">
        <f t="shared" si="16"/>
        <v>44531</v>
      </c>
      <c r="J52" s="1338">
        <f t="shared" si="16"/>
        <v>44501</v>
      </c>
      <c r="K52" s="1338">
        <f t="shared" si="16"/>
        <v>44470</v>
      </c>
      <c r="L52" s="1338">
        <f t="shared" si="16"/>
        <v>44440</v>
      </c>
      <c r="M52" s="1338">
        <f t="shared" si="16"/>
        <v>44409</v>
      </c>
      <c r="N52" s="1338">
        <f t="shared" si="16"/>
        <v>44378</v>
      </c>
      <c r="O52" s="1338">
        <f t="shared" si="16"/>
        <v>44348</v>
      </c>
      <c r="P52" s="2472"/>
    </row>
    <row r="53" spans="1:17" s="905" customFormat="1" ht="15">
      <c r="A53" s="1339"/>
      <c r="B53" s="1146"/>
      <c r="C53" s="1340">
        <v>100</v>
      </c>
      <c r="D53" s="1150"/>
      <c r="E53" s="1150"/>
      <c r="F53" s="1150"/>
      <c r="G53" s="1150"/>
      <c r="H53" s="1150"/>
      <c r="I53" s="1150"/>
      <c r="J53" s="1150"/>
      <c r="K53" s="1150"/>
      <c r="L53" s="1150"/>
      <c r="M53" s="1347"/>
      <c r="N53" s="1150"/>
      <c r="O53" s="1198"/>
      <c r="P53" s="1504"/>
    </row>
    <row r="54" spans="1:17" s="905" customFormat="1" ht="15">
      <c r="A54" s="1141" t="s">
        <v>1072</v>
      </c>
      <c r="B54" s="1142"/>
      <c r="C54" s="1143"/>
      <c r="D54" s="1144"/>
      <c r="E54" s="1144"/>
      <c r="F54" s="1144"/>
      <c r="G54" s="1144"/>
      <c r="H54" s="1144"/>
      <c r="I54" s="1144"/>
      <c r="J54" s="1144"/>
      <c r="K54" s="1144"/>
      <c r="L54" s="1144"/>
      <c r="M54" s="1192"/>
      <c r="N54" s="2473"/>
      <c r="O54" s="2474"/>
      <c r="P54" s="1504"/>
      <c r="Q54" s="1504"/>
    </row>
    <row r="55" spans="1:17" s="905" customFormat="1" ht="15">
      <c r="A55" s="1145" t="s">
        <v>1030</v>
      </c>
      <c r="B55" s="1146"/>
      <c r="C55" s="1147" t="s">
        <v>1031</v>
      </c>
      <c r="D55" s="1148"/>
      <c r="E55" s="1148"/>
      <c r="F55" s="1148"/>
      <c r="G55" s="1148"/>
      <c r="H55" s="1148"/>
      <c r="I55" s="1148"/>
      <c r="J55" s="1148"/>
      <c r="K55" s="1148"/>
      <c r="L55" s="1194"/>
      <c r="M55" s="1195"/>
      <c r="N55" s="1498"/>
      <c r="O55" s="1498"/>
      <c r="P55" s="2475"/>
      <c r="Q55" s="1504"/>
    </row>
    <row r="56" spans="1:17" s="905" customFormat="1" ht="15">
      <c r="A56" s="1145"/>
      <c r="B56" s="1146"/>
      <c r="C56" s="1149">
        <v>100</v>
      </c>
      <c r="D56" s="1150"/>
      <c r="E56" s="1150"/>
      <c r="F56" s="1150"/>
      <c r="G56" s="1150"/>
      <c r="H56" s="1150"/>
      <c r="I56" s="1150"/>
      <c r="J56" s="1150"/>
      <c r="K56" s="1150"/>
      <c r="L56" s="1150"/>
      <c r="M56" s="1198"/>
      <c r="N56" s="1498"/>
      <c r="O56" s="1498"/>
      <c r="P56" s="1504"/>
      <c r="Q56" s="1504"/>
    </row>
    <row r="57" spans="1:17">
      <c r="A57" s="1151" t="s">
        <v>1073</v>
      </c>
      <c r="B57" s="1152" t="s">
        <v>1034</v>
      </c>
      <c r="C57" s="1174" t="str">
        <f>C9</f>
        <v>办公</v>
      </c>
      <c r="D57" s="1094"/>
      <c r="E57" s="1094"/>
      <c r="F57" s="1094"/>
      <c r="G57" s="1094"/>
      <c r="H57" s="1094"/>
      <c r="I57" s="1094"/>
      <c r="J57" s="1094"/>
      <c r="K57" s="1199"/>
      <c r="L57" s="1200"/>
      <c r="M57" s="1201"/>
      <c r="N57" s="1500"/>
      <c r="O57" s="1500"/>
      <c r="P57" s="2476"/>
      <c r="Q57" s="1504"/>
    </row>
    <row r="58" spans="1:17" ht="15">
      <c r="A58" s="1153"/>
      <c r="B58" s="1154"/>
      <c r="C58" s="1155">
        <v>100</v>
      </c>
      <c r="D58" s="1155"/>
      <c r="E58" s="1155"/>
      <c r="F58" s="1155"/>
      <c r="G58" s="1155"/>
      <c r="H58" s="1155"/>
      <c r="I58" s="1155"/>
      <c r="J58" s="1155"/>
      <c r="K58" s="1155"/>
      <c r="L58" s="1155"/>
      <c r="M58" s="1204"/>
      <c r="N58" s="1502"/>
      <c r="O58" s="1502"/>
      <c r="P58" s="2476"/>
      <c r="Q58" s="1504"/>
    </row>
    <row r="59" spans="1:17" ht="27">
      <c r="A59" s="1153"/>
      <c r="B59" s="1156" t="s">
        <v>1037</v>
      </c>
      <c r="C59" s="1157" t="s">
        <v>1074</v>
      </c>
      <c r="D59" s="1157" t="s">
        <v>1075</v>
      </c>
      <c r="E59" s="1157" t="s">
        <v>1076</v>
      </c>
      <c r="F59" s="1157" t="s">
        <v>1077</v>
      </c>
      <c r="G59" s="1157" t="s">
        <v>1078</v>
      </c>
      <c r="H59" s="1157" t="s">
        <v>1079</v>
      </c>
      <c r="I59" s="1157" t="s">
        <v>1080</v>
      </c>
      <c r="J59" s="1157"/>
      <c r="K59" s="1206"/>
      <c r="L59" s="1207"/>
      <c r="M59" s="1208"/>
      <c r="N59" s="1500"/>
      <c r="O59" s="1500"/>
      <c r="P59" s="2476"/>
      <c r="Q59" s="1504"/>
    </row>
    <row r="60" spans="1:17" ht="15">
      <c r="A60" s="1153"/>
      <c r="B60" s="1158"/>
      <c r="C60" s="1159" t="s">
        <v>1081</v>
      </c>
      <c r="D60" s="1159" t="s">
        <v>1081</v>
      </c>
      <c r="E60" s="1159">
        <v>100</v>
      </c>
      <c r="F60" s="1159">
        <f>E60-$K10</f>
        <v>98</v>
      </c>
      <c r="G60" s="1159">
        <f>F60-$K10</f>
        <v>96</v>
      </c>
      <c r="H60" s="1159">
        <f>G60-$K10</f>
        <v>94</v>
      </c>
      <c r="I60" s="1159">
        <f>H60-$K10</f>
        <v>92</v>
      </c>
      <c r="J60" s="1159"/>
      <c r="K60" s="1159"/>
      <c r="L60" s="1159"/>
      <c r="M60" s="1209"/>
      <c r="N60" s="1502"/>
      <c r="O60" s="1502"/>
      <c r="P60" s="2476"/>
      <c r="Q60" s="1504"/>
    </row>
    <row r="61" spans="1:17" ht="15">
      <c r="A61" s="1153"/>
      <c r="B61" s="1160" t="s">
        <v>1038</v>
      </c>
      <c r="C61" s="1161" t="str">
        <f>C62&amp;"（含）"&amp;"-"&amp;D62</f>
        <v>0（含）-1</v>
      </c>
      <c r="D61" s="1161" t="str">
        <f t="shared" ref="D61:L61" si="17">D62&amp;"（含）"&amp;"-"&amp;E62</f>
        <v>1（含）-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502"/>
      <c r="O61" s="1502"/>
      <c r="P61" s="2476"/>
      <c r="Q61" s="1504"/>
    </row>
    <row r="62" spans="1:17" ht="15">
      <c r="A62" s="1153"/>
      <c r="B62" s="1162"/>
      <c r="C62" s="952">
        <v>0</v>
      </c>
      <c r="D62" s="952">
        <v>1</v>
      </c>
      <c r="E62" s="952"/>
      <c r="F62" s="952"/>
      <c r="G62" s="952"/>
      <c r="H62" s="952"/>
      <c r="I62" s="952"/>
      <c r="J62" s="952"/>
      <c r="K62" s="1210"/>
      <c r="L62" s="1211"/>
      <c r="M62" s="1212"/>
      <c r="N62" s="1500"/>
      <c r="O62" s="1500"/>
      <c r="P62" s="2476"/>
      <c r="Q62" s="1504"/>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502"/>
      <c r="O63" s="1502"/>
      <c r="P63" s="2476"/>
      <c r="Q63" s="1504"/>
    </row>
    <row r="64" spans="1:17" s="907" customFormat="1" ht="15">
      <c r="A64" s="1163"/>
      <c r="B64" s="1156">
        <f>B12</f>
        <v>0</v>
      </c>
      <c r="C64" s="1164"/>
      <c r="D64" s="1164"/>
      <c r="E64" s="1164"/>
      <c r="F64" s="1164"/>
      <c r="G64" s="1164"/>
      <c r="H64" s="1165"/>
      <c r="I64" s="1165"/>
      <c r="J64" s="1165"/>
      <c r="K64" s="1165"/>
      <c r="L64" s="1213"/>
      <c r="M64" s="1214"/>
      <c r="N64" s="1507"/>
      <c r="O64" s="1507"/>
      <c r="P64" s="2477"/>
      <c r="Q64" s="1515"/>
    </row>
    <row r="65" spans="1:17" s="907" customFormat="1" ht="15">
      <c r="A65" s="1163"/>
      <c r="B65" s="1158"/>
      <c r="C65" s="1166"/>
      <c r="D65" s="1155"/>
      <c r="E65" s="1155"/>
      <c r="F65" s="1155"/>
      <c r="G65" s="1155"/>
      <c r="H65" s="1155"/>
      <c r="I65" s="1155"/>
      <c r="J65" s="1155"/>
      <c r="K65" s="1155"/>
      <c r="L65" s="1155"/>
      <c r="M65" s="1204"/>
      <c r="N65" s="1502"/>
      <c r="O65" s="1502"/>
      <c r="P65" s="2477"/>
      <c r="Q65" s="1515"/>
    </row>
    <row r="66" spans="1:17" s="907" customFormat="1" ht="15">
      <c r="A66" s="1163"/>
      <c r="B66" s="1156">
        <f>B13</f>
        <v>0</v>
      </c>
      <c r="C66" s="1164"/>
      <c r="D66" s="1164"/>
      <c r="E66" s="1164"/>
      <c r="F66" s="1164"/>
      <c r="G66" s="1164"/>
      <c r="H66" s="1165"/>
      <c r="I66" s="1165"/>
      <c r="J66" s="1165"/>
      <c r="K66" s="1165"/>
      <c r="L66" s="1213"/>
      <c r="M66" s="1214"/>
      <c r="N66" s="1507"/>
      <c r="O66" s="1507"/>
      <c r="P66" s="2481"/>
      <c r="Q66" s="1516"/>
    </row>
    <row r="67" spans="1:17" s="907" customFormat="1" ht="15">
      <c r="A67" s="1163"/>
      <c r="B67" s="1158"/>
      <c r="C67" s="1166"/>
      <c r="D67" s="1155"/>
      <c r="E67" s="1155"/>
      <c r="F67" s="1155"/>
      <c r="G67" s="1166"/>
      <c r="H67" s="1167"/>
      <c r="I67" s="1167"/>
      <c r="J67" s="1167"/>
      <c r="K67" s="1167"/>
      <c r="L67" s="1167"/>
      <c r="M67" s="1217"/>
      <c r="N67" s="1507"/>
      <c r="O67" s="1507"/>
      <c r="P67" s="2477"/>
      <c r="Q67" s="1515"/>
    </row>
    <row r="68" spans="1:17" s="907" customFormat="1" ht="15">
      <c r="A68" s="1163"/>
      <c r="B68" s="1160">
        <f>B14</f>
        <v>0</v>
      </c>
      <c r="C68" s="1148"/>
      <c r="D68" s="1148"/>
      <c r="E68" s="1148"/>
      <c r="F68" s="1148"/>
      <c r="G68" s="1148"/>
      <c r="H68" s="1168"/>
      <c r="I68" s="1168"/>
      <c r="J68" s="1168"/>
      <c r="K68" s="1168"/>
      <c r="L68" s="1218"/>
      <c r="M68" s="1219"/>
      <c r="N68" s="1507"/>
      <c r="O68" s="1507"/>
      <c r="P68" s="2482"/>
      <c r="Q68" s="1515"/>
    </row>
    <row r="69" spans="1:17" s="907" customFormat="1" ht="15">
      <c r="A69" s="1169"/>
      <c r="B69" s="1170"/>
      <c r="C69" s="1171"/>
      <c r="D69" s="1171"/>
      <c r="E69" s="1171"/>
      <c r="F69" s="1171"/>
      <c r="G69" s="1171"/>
      <c r="H69" s="1172"/>
      <c r="I69" s="1172"/>
      <c r="J69" s="1172"/>
      <c r="K69" s="1172"/>
      <c r="L69" s="1172"/>
      <c r="M69" s="1221"/>
      <c r="N69" s="1507"/>
      <c r="O69" s="1507"/>
      <c r="P69" s="2477"/>
      <c r="Q69" s="1515"/>
    </row>
    <row r="70" spans="1:17">
      <c r="A70" s="1151" t="s">
        <v>1039</v>
      </c>
      <c r="B70" s="1152" t="s">
        <v>1040</v>
      </c>
      <c r="C70" s="1173" t="s">
        <v>1082</v>
      </c>
      <c r="D70" s="1173" t="s">
        <v>1083</v>
      </c>
      <c r="E70" s="1173" t="s">
        <v>1084</v>
      </c>
      <c r="F70" s="1173" t="s">
        <v>1085</v>
      </c>
      <c r="G70" s="1173" t="s">
        <v>1086</v>
      </c>
      <c r="H70" s="1174"/>
      <c r="I70" s="1174"/>
      <c r="J70" s="1174"/>
      <c r="K70" s="1222"/>
      <c r="L70" s="1223"/>
      <c r="M70" s="1224"/>
      <c r="N70" s="1500"/>
      <c r="O70" s="1500"/>
      <c r="P70" s="2483"/>
      <c r="Q70" s="1504"/>
    </row>
    <row r="71" spans="1:17" ht="15">
      <c r="A71" s="1153"/>
      <c r="B71" s="1158"/>
      <c r="C71" s="1159">
        <v>100</v>
      </c>
      <c r="D71" s="1159">
        <f>C71-$K15</f>
        <v>97</v>
      </c>
      <c r="E71" s="1159">
        <f>D71-$K15</f>
        <v>94</v>
      </c>
      <c r="F71" s="1159">
        <f>E71-$K15</f>
        <v>91</v>
      </c>
      <c r="G71" s="1159">
        <f>F71-$K15</f>
        <v>88</v>
      </c>
      <c r="H71" s="1159"/>
      <c r="I71" s="1159"/>
      <c r="J71" s="1159"/>
      <c r="K71" s="1159"/>
      <c r="L71" s="1159"/>
      <c r="M71" s="1209"/>
      <c r="N71" s="1502"/>
      <c r="O71" s="1502"/>
      <c r="P71" s="2476"/>
      <c r="Q71" s="1504"/>
    </row>
    <row r="72" spans="1:17" ht="15">
      <c r="A72" s="1153"/>
      <c r="B72" s="1156" t="s">
        <v>1042</v>
      </c>
      <c r="C72" s="1175" t="s">
        <v>1082</v>
      </c>
      <c r="D72" s="1175" t="s">
        <v>1083</v>
      </c>
      <c r="E72" s="1175" t="s">
        <v>1084</v>
      </c>
      <c r="F72" s="1175" t="s">
        <v>1085</v>
      </c>
      <c r="G72" s="1175" t="s">
        <v>1086</v>
      </c>
      <c r="H72" s="1157"/>
      <c r="I72" s="1157"/>
      <c r="J72" s="1157"/>
      <c r="K72" s="1206"/>
      <c r="L72" s="1207"/>
      <c r="M72" s="1208"/>
      <c r="N72" s="1500"/>
      <c r="O72" s="1500"/>
      <c r="P72" s="2476"/>
      <c r="Q72" s="1504"/>
    </row>
    <row r="73" spans="1:17" ht="15">
      <c r="A73" s="1153"/>
      <c r="B73" s="1158"/>
      <c r="C73" s="1159">
        <v>100</v>
      </c>
      <c r="D73" s="1159">
        <f>C73-$K17</f>
        <v>97</v>
      </c>
      <c r="E73" s="1159">
        <f>D73-$K17</f>
        <v>94</v>
      </c>
      <c r="F73" s="1159">
        <f>E73-$K17</f>
        <v>91</v>
      </c>
      <c r="G73" s="1159">
        <f>F73-$K17</f>
        <v>88</v>
      </c>
      <c r="H73" s="1159"/>
      <c r="I73" s="1159"/>
      <c r="J73" s="1159"/>
      <c r="K73" s="1159"/>
      <c r="L73" s="1159"/>
      <c r="M73" s="1209"/>
      <c r="N73" s="1502"/>
      <c r="O73" s="1502"/>
      <c r="P73" s="2476"/>
      <c r="Q73" s="1504"/>
    </row>
    <row r="74" spans="1:17" ht="15">
      <c r="A74" s="1153"/>
      <c r="B74" s="1156" t="s">
        <v>1043</v>
      </c>
      <c r="C74" s="1175" t="s">
        <v>1082</v>
      </c>
      <c r="D74" s="1175" t="s">
        <v>1083</v>
      </c>
      <c r="E74" s="1175" t="s">
        <v>1084</v>
      </c>
      <c r="F74" s="1175" t="s">
        <v>1085</v>
      </c>
      <c r="G74" s="1175" t="s">
        <v>1086</v>
      </c>
      <c r="H74" s="1157"/>
      <c r="I74" s="1157"/>
      <c r="J74" s="1157"/>
      <c r="K74" s="1206"/>
      <c r="L74" s="1207"/>
      <c r="M74" s="1208"/>
      <c r="N74" s="1500"/>
      <c r="O74" s="1500"/>
      <c r="P74" s="2476"/>
      <c r="Q74" s="1504"/>
    </row>
    <row r="75" spans="1:17" ht="15">
      <c r="A75" s="1153"/>
      <c r="B75" s="1158"/>
      <c r="C75" s="1159">
        <v>100</v>
      </c>
      <c r="D75" s="1159">
        <f>C75-$K19</f>
        <v>98</v>
      </c>
      <c r="E75" s="1159">
        <f>D75-$K19</f>
        <v>96</v>
      </c>
      <c r="F75" s="1159">
        <f>E75-$K19</f>
        <v>94</v>
      </c>
      <c r="G75" s="1159">
        <f>F75-$K19</f>
        <v>92</v>
      </c>
      <c r="H75" s="1159"/>
      <c r="I75" s="1159"/>
      <c r="J75" s="1159"/>
      <c r="K75" s="1159"/>
      <c r="L75" s="1159"/>
      <c r="M75" s="1209"/>
      <c r="N75" s="1502"/>
      <c r="O75" s="1502"/>
      <c r="P75" s="2476"/>
      <c r="Q75" s="1504"/>
    </row>
    <row r="76" spans="1:17" ht="15">
      <c r="A76" s="1153"/>
      <c r="B76" s="1160" t="s">
        <v>1044</v>
      </c>
      <c r="C76" s="1180" t="s">
        <v>1087</v>
      </c>
      <c r="D76" s="1180" t="s">
        <v>1088</v>
      </c>
      <c r="E76" s="1180" t="s">
        <v>1089</v>
      </c>
      <c r="F76" s="1180" t="s">
        <v>1090</v>
      </c>
      <c r="G76" s="1180" t="s">
        <v>1091</v>
      </c>
      <c r="H76" s="1157"/>
      <c r="I76" s="1157"/>
      <c r="J76" s="1157"/>
      <c r="K76" s="1157"/>
      <c r="L76" s="1157"/>
      <c r="M76" s="1352"/>
      <c r="N76" s="1502"/>
      <c r="O76" s="1502"/>
      <c r="P76" s="2476"/>
      <c r="Q76" s="1504"/>
    </row>
    <row r="77" spans="1:17" ht="15">
      <c r="A77" s="1153"/>
      <c r="B77" s="1160"/>
      <c r="C77" s="1159">
        <v>100</v>
      </c>
      <c r="D77" s="1159">
        <f>C77-$K21</f>
        <v>99</v>
      </c>
      <c r="E77" s="1159">
        <f>D77-$K21</f>
        <v>98</v>
      </c>
      <c r="F77" s="1159">
        <f>E77-$K21</f>
        <v>97</v>
      </c>
      <c r="G77" s="1159">
        <f>F77-$K21</f>
        <v>96</v>
      </c>
      <c r="H77" s="1180"/>
      <c r="I77" s="1180"/>
      <c r="J77" s="1180"/>
      <c r="K77" s="1180"/>
      <c r="L77" s="1180"/>
      <c r="M77" s="969"/>
      <c r="N77" s="1502"/>
      <c r="O77" s="1502"/>
      <c r="P77" s="2476"/>
      <c r="Q77" s="1504"/>
    </row>
    <row r="78" spans="1:17" ht="15">
      <c r="A78" s="1153"/>
      <c r="B78" s="1156" t="s">
        <v>1045</v>
      </c>
      <c r="C78" s="1175" t="s">
        <v>1082</v>
      </c>
      <c r="D78" s="1175" t="s">
        <v>1083</v>
      </c>
      <c r="E78" s="1175" t="s">
        <v>1084</v>
      </c>
      <c r="F78" s="1175" t="s">
        <v>1085</v>
      </c>
      <c r="G78" s="1175" t="s">
        <v>1086</v>
      </c>
      <c r="H78" s="1157"/>
      <c r="I78" s="1157"/>
      <c r="J78" s="1157"/>
      <c r="K78" s="1206"/>
      <c r="L78" s="1207"/>
      <c r="M78" s="1208"/>
      <c r="N78" s="1500"/>
      <c r="O78" s="1500"/>
      <c r="P78" s="2476"/>
      <c r="Q78" s="1504"/>
    </row>
    <row r="79" spans="1:17" ht="15">
      <c r="A79" s="1153"/>
      <c r="B79" s="1158"/>
      <c r="C79" s="1159">
        <v>100</v>
      </c>
      <c r="D79" s="1159">
        <f>C79-$K23</f>
        <v>98</v>
      </c>
      <c r="E79" s="1159">
        <f>D79-$K23</f>
        <v>96</v>
      </c>
      <c r="F79" s="1159">
        <f>E79-$K23</f>
        <v>94</v>
      </c>
      <c r="G79" s="1159">
        <f>F79-$K23</f>
        <v>92</v>
      </c>
      <c r="H79" s="1159"/>
      <c r="I79" s="1159"/>
      <c r="J79" s="1159"/>
      <c r="K79" s="1159"/>
      <c r="L79" s="1159"/>
      <c r="M79" s="1209"/>
      <c r="N79" s="1502"/>
      <c r="O79" s="1502"/>
      <c r="P79" s="2476"/>
      <c r="Q79" s="1504"/>
    </row>
    <row r="80" spans="1:17" s="905" customFormat="1" ht="15">
      <c r="A80" s="1176"/>
      <c r="B80" s="1156">
        <f>B25</f>
        <v>0</v>
      </c>
      <c r="C80" s="2478" t="s">
        <v>1047</v>
      </c>
      <c r="D80" s="2478" t="s">
        <v>1046</v>
      </c>
      <c r="E80" s="2478" t="s">
        <v>1092</v>
      </c>
      <c r="F80" s="1164"/>
      <c r="G80" s="1164"/>
      <c r="H80" s="1164"/>
      <c r="I80" s="1164"/>
      <c r="J80" s="1164"/>
      <c r="K80" s="1164"/>
      <c r="L80" s="1353"/>
      <c r="M80" s="1354"/>
      <c r="N80" s="1498"/>
      <c r="O80" s="1498"/>
      <c r="P80" s="2476"/>
      <c r="Q80" s="1504"/>
    </row>
    <row r="81" spans="1:17" s="905" customFormat="1" ht="15">
      <c r="A81" s="1176"/>
      <c r="B81" s="1158"/>
      <c r="C81" s="1166">
        <v>100</v>
      </c>
      <c r="D81" s="1155">
        <v>97</v>
      </c>
      <c r="E81" s="1155">
        <v>94</v>
      </c>
      <c r="F81" s="1155"/>
      <c r="G81" s="1155"/>
      <c r="H81" s="1155"/>
      <c r="I81" s="1155"/>
      <c r="J81" s="1155"/>
      <c r="K81" s="1155"/>
      <c r="L81" s="1155"/>
      <c r="M81" s="1204"/>
      <c r="N81" s="1502"/>
      <c r="O81" s="1502"/>
      <c r="P81" s="2476"/>
      <c r="Q81" s="1504"/>
    </row>
    <row r="82" spans="1:17" s="905" customFormat="1" ht="15">
      <c r="A82" s="1176"/>
      <c r="B82" s="1156">
        <f>B26</f>
        <v>0</v>
      </c>
      <c r="C82" s="1164"/>
      <c r="D82" s="1164"/>
      <c r="E82" s="1164"/>
      <c r="F82" s="1164"/>
      <c r="G82" s="1164"/>
      <c r="H82" s="1164"/>
      <c r="I82" s="1164"/>
      <c r="J82" s="1164"/>
      <c r="K82" s="1164"/>
      <c r="L82" s="1353"/>
      <c r="M82" s="1354"/>
      <c r="N82" s="1498"/>
      <c r="O82" s="1498"/>
      <c r="P82" s="2476"/>
      <c r="Q82" s="1504"/>
    </row>
    <row r="83" spans="1:17" s="905" customFormat="1" ht="15">
      <c r="A83" s="1176"/>
      <c r="B83" s="1158"/>
      <c r="C83" s="1166"/>
      <c r="D83" s="1155"/>
      <c r="E83" s="1155"/>
      <c r="F83" s="1155"/>
      <c r="G83" s="1155"/>
      <c r="H83" s="1155"/>
      <c r="I83" s="1155"/>
      <c r="J83" s="1155"/>
      <c r="K83" s="1155"/>
      <c r="L83" s="1155"/>
      <c r="M83" s="1204"/>
      <c r="N83" s="1502"/>
      <c r="O83" s="1502"/>
      <c r="P83" s="2476"/>
      <c r="Q83" s="1504"/>
    </row>
    <row r="84" spans="1:17" s="907" customFormat="1" ht="15">
      <c r="A84" s="1163"/>
      <c r="B84" s="1156">
        <f>B27</f>
        <v>0</v>
      </c>
      <c r="C84" s="1164"/>
      <c r="D84" s="1164"/>
      <c r="E84" s="1164"/>
      <c r="F84" s="1164"/>
      <c r="G84" s="1164"/>
      <c r="H84" s="1164"/>
      <c r="I84" s="1164"/>
      <c r="J84" s="1164"/>
      <c r="K84" s="1164"/>
      <c r="L84" s="1353"/>
      <c r="M84" s="1354"/>
      <c r="N84" s="1507"/>
      <c r="O84" s="1507"/>
      <c r="P84" s="2477"/>
      <c r="Q84" s="1515"/>
    </row>
    <row r="85" spans="1:17" s="907" customFormat="1" ht="15">
      <c r="A85" s="1163"/>
      <c r="B85" s="1158"/>
      <c r="C85" s="1166"/>
      <c r="D85" s="1155"/>
      <c r="E85" s="1155"/>
      <c r="F85" s="1155"/>
      <c r="G85" s="1155"/>
      <c r="H85" s="1155"/>
      <c r="I85" s="1155"/>
      <c r="J85" s="1155"/>
      <c r="K85" s="1155"/>
      <c r="L85" s="1155"/>
      <c r="M85" s="1204"/>
      <c r="N85" s="1507"/>
      <c r="O85" s="1507"/>
      <c r="P85" s="2477"/>
      <c r="Q85" s="1515"/>
    </row>
    <row r="86" spans="1:17" ht="15">
      <c r="A86" s="1153"/>
      <c r="B86" s="1160">
        <f>B28</f>
        <v>0</v>
      </c>
      <c r="C86" s="1148"/>
      <c r="D86" s="1148"/>
      <c r="E86" s="1148"/>
      <c r="F86" s="1148"/>
      <c r="G86" s="1182"/>
      <c r="H86" s="1182"/>
      <c r="I86" s="1182"/>
      <c r="J86" s="1182"/>
      <c r="K86" s="1235"/>
      <c r="L86" s="1236"/>
      <c r="M86" s="1237"/>
      <c r="N86" s="1500"/>
      <c r="O86" s="1500"/>
      <c r="P86" s="2476"/>
      <c r="Q86" s="1504"/>
    </row>
    <row r="87" spans="1:17" ht="15">
      <c r="A87" s="1438"/>
      <c r="B87" s="1170"/>
      <c r="C87" s="1171"/>
      <c r="D87" s="1171"/>
      <c r="E87" s="1171"/>
      <c r="F87" s="1171"/>
      <c r="G87" s="1183"/>
      <c r="H87" s="1183"/>
      <c r="I87" s="1183"/>
      <c r="J87" s="1183"/>
      <c r="K87" s="1183"/>
      <c r="L87" s="1183"/>
      <c r="M87" s="1238"/>
      <c r="N87" s="1502"/>
      <c r="O87" s="1502"/>
      <c r="P87" s="2476"/>
      <c r="Q87" s="1504"/>
    </row>
    <row r="88" spans="1:17">
      <c r="A88" s="1151" t="s">
        <v>1048</v>
      </c>
      <c r="B88" s="1152" t="s">
        <v>1049</v>
      </c>
      <c r="C88" s="2479" t="s">
        <v>1050</v>
      </c>
      <c r="D88" s="1094"/>
      <c r="E88" s="1094"/>
      <c r="F88" s="1094"/>
      <c r="G88" s="1094"/>
      <c r="H88" s="1094"/>
      <c r="I88" s="1094"/>
      <c r="J88" s="1094"/>
      <c r="K88" s="1199"/>
      <c r="L88" s="1200"/>
      <c r="M88" s="1201"/>
      <c r="N88" s="1500"/>
      <c r="O88" s="1500"/>
      <c r="P88" s="2476"/>
      <c r="Q88" s="1504"/>
    </row>
    <row r="89" spans="1:17" ht="15">
      <c r="A89" s="1153"/>
      <c r="B89" s="1158"/>
      <c r="C89" s="1159">
        <v>100</v>
      </c>
      <c r="D89" s="1159">
        <f t="shared" ref="D89:M89" si="19">C89-$K29</f>
        <v>98</v>
      </c>
      <c r="E89" s="1159">
        <f t="shared" si="19"/>
        <v>96</v>
      </c>
      <c r="F89" s="1159">
        <f t="shared" si="19"/>
        <v>94</v>
      </c>
      <c r="G89" s="1159">
        <f t="shared" si="19"/>
        <v>92</v>
      </c>
      <c r="H89" s="1159">
        <f t="shared" si="19"/>
        <v>90</v>
      </c>
      <c r="I89" s="1159">
        <f t="shared" si="19"/>
        <v>88</v>
      </c>
      <c r="J89" s="1159">
        <f t="shared" si="19"/>
        <v>86</v>
      </c>
      <c r="K89" s="1159">
        <f t="shared" si="19"/>
        <v>84</v>
      </c>
      <c r="L89" s="1159">
        <f t="shared" si="19"/>
        <v>82</v>
      </c>
      <c r="M89" s="1209">
        <f t="shared" si="19"/>
        <v>80</v>
      </c>
      <c r="N89" s="1502"/>
      <c r="O89" s="1502"/>
      <c r="P89" s="2476"/>
      <c r="Q89" s="1504"/>
    </row>
    <row r="90" spans="1:17" ht="28.5">
      <c r="A90" s="1153"/>
      <c r="B90" s="1156" t="s">
        <v>1052</v>
      </c>
      <c r="C90" s="1175" t="str">
        <f>C91&amp;"(含)"&amp;"-"&amp;D91</f>
        <v>0(含)-500</v>
      </c>
      <c r="D90" s="1175" t="str">
        <f t="shared" ref="D90:L90" si="20">D91&amp;"(含)"&amp;"-"&amp;E91</f>
        <v>500(含)-1000</v>
      </c>
      <c r="E90" s="1175" t="str">
        <f t="shared" si="20"/>
        <v>1000(含)-2000</v>
      </c>
      <c r="F90" s="1175" t="str">
        <f t="shared" si="20"/>
        <v>2000(含)-5000</v>
      </c>
      <c r="G90" s="1175" t="str">
        <f t="shared" si="20"/>
        <v>5000(含)-</v>
      </c>
      <c r="H90" s="1175" t="str">
        <f t="shared" si="20"/>
        <v>(含)-</v>
      </c>
      <c r="I90" s="1175" t="str">
        <f t="shared" si="20"/>
        <v>(含)-</v>
      </c>
      <c r="J90" s="1175" t="str">
        <f t="shared" si="20"/>
        <v>(含)-</v>
      </c>
      <c r="K90" s="1175" t="str">
        <f t="shared" si="20"/>
        <v>(含)-</v>
      </c>
      <c r="L90" s="1175" t="str">
        <f t="shared" si="20"/>
        <v>(含)-</v>
      </c>
      <c r="M90" s="1227" t="str">
        <f>M91&amp;"(含)"&amp;"-"&amp;P91</f>
        <v>(含)-</v>
      </c>
      <c r="N90" s="1498"/>
      <c r="O90" s="1498"/>
      <c r="P90" s="2476"/>
      <c r="Q90" s="1504"/>
    </row>
    <row r="91" spans="1:17" s="907" customFormat="1">
      <c r="A91" s="1184"/>
      <c r="B91" s="1185"/>
      <c r="C91" s="1140">
        <v>0</v>
      </c>
      <c r="D91" s="1140">
        <v>500</v>
      </c>
      <c r="E91" s="1140">
        <v>1000</v>
      </c>
      <c r="F91" s="1140">
        <v>2000</v>
      </c>
      <c r="G91" s="1140">
        <v>5000</v>
      </c>
      <c r="H91" s="1140"/>
      <c r="I91" s="1140"/>
      <c r="J91" s="1239"/>
      <c r="K91" s="1239"/>
      <c r="L91" s="1240"/>
      <c r="M91" s="1241"/>
      <c r="N91" s="1507"/>
      <c r="O91" s="1507"/>
      <c r="P91" s="2477"/>
      <c r="Q91" s="1515"/>
    </row>
    <row r="92" spans="1:17" s="907" customFormat="1" ht="15">
      <c r="A92" s="1163"/>
      <c r="B92" s="1158"/>
      <c r="C92" s="1166">
        <f>E92</f>
        <v>99</v>
      </c>
      <c r="D92" s="1155">
        <v>100</v>
      </c>
      <c r="E92" s="1155">
        <f>D92-1</f>
        <v>99</v>
      </c>
      <c r="F92" s="1155">
        <f t="shared" ref="F92:G92" si="21">E92-1</f>
        <v>98</v>
      </c>
      <c r="G92" s="1155">
        <f t="shared" si="21"/>
        <v>97</v>
      </c>
      <c r="H92" s="1155"/>
      <c r="I92" s="1155"/>
      <c r="J92" s="1155"/>
      <c r="K92" s="1155"/>
      <c r="L92" s="1155"/>
      <c r="M92" s="1204"/>
      <c r="N92" s="1502"/>
      <c r="O92" s="1502"/>
      <c r="P92" s="2477"/>
      <c r="Q92" s="1515"/>
    </row>
    <row r="93" spans="1:17">
      <c r="A93" s="1187"/>
      <c r="B93" s="1156" t="s">
        <v>1053</v>
      </c>
      <c r="C93" s="2478" t="s">
        <v>1054</v>
      </c>
      <c r="D93" s="1164"/>
      <c r="E93" s="1181"/>
      <c r="F93" s="1181"/>
      <c r="G93" s="1181"/>
      <c r="H93" s="1181"/>
      <c r="I93" s="1181"/>
      <c r="J93" s="1181"/>
      <c r="K93" s="1232"/>
      <c r="L93" s="1233"/>
      <c r="M93" s="1234"/>
      <c r="N93" s="1500"/>
      <c r="O93" s="1500"/>
      <c r="P93" s="2476"/>
      <c r="Q93" s="1504"/>
    </row>
    <row r="94" spans="1:17" ht="15">
      <c r="A94" s="1153"/>
      <c r="B94" s="1158"/>
      <c r="C94" s="1159">
        <v>100</v>
      </c>
      <c r="D94" s="1159">
        <f t="shared" ref="D94:M94" si="22">C94-$K31</f>
        <v>97</v>
      </c>
      <c r="E94" s="1159">
        <f t="shared" si="22"/>
        <v>94</v>
      </c>
      <c r="F94" s="1159">
        <f t="shared" si="22"/>
        <v>91</v>
      </c>
      <c r="G94" s="1159">
        <f t="shared" si="22"/>
        <v>88</v>
      </c>
      <c r="H94" s="1159">
        <f t="shared" si="22"/>
        <v>85</v>
      </c>
      <c r="I94" s="1159">
        <f t="shared" si="22"/>
        <v>82</v>
      </c>
      <c r="J94" s="1159">
        <f t="shared" si="22"/>
        <v>79</v>
      </c>
      <c r="K94" s="1159">
        <f t="shared" si="22"/>
        <v>76</v>
      </c>
      <c r="L94" s="1159">
        <f t="shared" si="22"/>
        <v>73</v>
      </c>
      <c r="M94" s="1209">
        <f t="shared" si="22"/>
        <v>70</v>
      </c>
      <c r="N94" s="1502"/>
      <c r="O94" s="1502"/>
      <c r="P94" s="2476"/>
      <c r="Q94" s="1504"/>
    </row>
    <row r="95" spans="1:17">
      <c r="A95" s="1187"/>
      <c r="B95" s="1156" t="s">
        <v>1055</v>
      </c>
      <c r="C95" s="2478" t="s">
        <v>1056</v>
      </c>
      <c r="D95" s="2478" t="s">
        <v>1061</v>
      </c>
      <c r="E95" s="2478" t="s">
        <v>1062</v>
      </c>
      <c r="F95" s="2480" t="s">
        <v>1093</v>
      </c>
      <c r="G95" s="1181"/>
      <c r="H95" s="1181"/>
      <c r="I95" s="1181"/>
      <c r="J95" s="1181"/>
      <c r="K95" s="1232"/>
      <c r="L95" s="1233"/>
      <c r="M95" s="1234"/>
      <c r="N95" s="1500"/>
      <c r="O95" s="1500"/>
      <c r="P95" s="2476"/>
      <c r="Q95" s="1504"/>
    </row>
    <row r="96" spans="1:17" ht="15">
      <c r="A96" s="1153"/>
      <c r="B96" s="1158"/>
      <c r="C96" s="1159">
        <v>100</v>
      </c>
      <c r="D96" s="1159">
        <f t="shared" ref="D96:M96" si="23">C96-$K32</f>
        <v>98</v>
      </c>
      <c r="E96" s="1159">
        <f t="shared" si="23"/>
        <v>96</v>
      </c>
      <c r="F96" s="1159">
        <f t="shared" si="23"/>
        <v>94</v>
      </c>
      <c r="G96" s="1159">
        <f t="shared" si="23"/>
        <v>92</v>
      </c>
      <c r="H96" s="1159">
        <f t="shared" si="23"/>
        <v>90</v>
      </c>
      <c r="I96" s="1159">
        <f t="shared" si="23"/>
        <v>88</v>
      </c>
      <c r="J96" s="1159">
        <f t="shared" si="23"/>
        <v>86</v>
      </c>
      <c r="K96" s="1159">
        <f t="shared" si="23"/>
        <v>84</v>
      </c>
      <c r="L96" s="1159">
        <f t="shared" si="23"/>
        <v>82</v>
      </c>
      <c r="M96" s="1209">
        <f t="shared" si="23"/>
        <v>80</v>
      </c>
      <c r="N96" s="1502"/>
      <c r="O96" s="1502"/>
      <c r="P96" s="2476"/>
      <c r="Q96" s="1504"/>
    </row>
    <row r="97" spans="1:17">
      <c r="A97" s="1187"/>
      <c r="B97" s="1156" t="s">
        <v>568</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500"/>
      <c r="O97" s="1500"/>
      <c r="P97" s="2476"/>
      <c r="Q97" s="1504"/>
    </row>
    <row r="98" spans="1:17">
      <c r="A98" s="1187"/>
      <c r="B98" s="1160"/>
      <c r="C98" s="840">
        <v>0.5</v>
      </c>
      <c r="D98" s="840">
        <v>0.6</v>
      </c>
      <c r="E98" s="840">
        <v>0.7</v>
      </c>
      <c r="F98" s="840">
        <v>0.8</v>
      </c>
      <c r="G98" s="840">
        <v>0.9</v>
      </c>
      <c r="H98" s="840">
        <v>1.0001</v>
      </c>
      <c r="I98" s="1414"/>
      <c r="J98" s="1414"/>
      <c r="K98" s="1415"/>
      <c r="L98" s="1416"/>
      <c r="M98" s="1417"/>
      <c r="N98" s="1500"/>
      <c r="O98" s="1500"/>
      <c r="P98" s="2476"/>
      <c r="Q98" s="1504"/>
    </row>
    <row r="99" spans="1:17" ht="15">
      <c r="A99" s="1153"/>
      <c r="B99" s="1158"/>
      <c r="C99" s="1177">
        <v>100</v>
      </c>
      <c r="D99" s="1159">
        <f>C99+$K33</f>
        <v>102</v>
      </c>
      <c r="E99" s="1159">
        <f t="shared" ref="E99:M99" si="24">D99+$K33</f>
        <v>104</v>
      </c>
      <c r="F99" s="1159">
        <f t="shared" si="24"/>
        <v>106</v>
      </c>
      <c r="G99" s="1159">
        <f t="shared" si="24"/>
        <v>108</v>
      </c>
      <c r="H99" s="1159">
        <f t="shared" si="24"/>
        <v>110</v>
      </c>
      <c r="I99" s="1159">
        <f t="shared" si="24"/>
        <v>112</v>
      </c>
      <c r="J99" s="1159">
        <f t="shared" si="24"/>
        <v>114</v>
      </c>
      <c r="K99" s="1159">
        <f t="shared" si="24"/>
        <v>116</v>
      </c>
      <c r="L99" s="1159">
        <f t="shared" si="24"/>
        <v>118</v>
      </c>
      <c r="M99" s="1159">
        <f t="shared" si="24"/>
        <v>120</v>
      </c>
      <c r="N99" s="1502"/>
      <c r="O99" s="1502"/>
      <c r="P99" s="2476"/>
      <c r="Q99" s="1504"/>
    </row>
    <row r="100" spans="1:17" s="907" customFormat="1">
      <c r="A100" s="1184"/>
      <c r="B100" s="1156" t="s">
        <v>1057</v>
      </c>
      <c r="C100" s="2478" t="s">
        <v>1058</v>
      </c>
      <c r="D100" s="2478" t="s">
        <v>1094</v>
      </c>
      <c r="E100" s="1164"/>
      <c r="F100" s="1164"/>
      <c r="G100" s="1164"/>
      <c r="H100" s="1181"/>
      <c r="I100" s="1181"/>
      <c r="J100" s="1181"/>
      <c r="K100" s="1232"/>
      <c r="L100" s="1233"/>
      <c r="M100" s="1234"/>
      <c r="N100" s="1507"/>
      <c r="O100" s="1507"/>
      <c r="P100" s="2477"/>
      <c r="Q100" s="1515"/>
    </row>
    <row r="101" spans="1:17" s="907" customFormat="1" ht="15">
      <c r="A101" s="1163"/>
      <c r="B101" s="1158"/>
      <c r="C101" s="1159">
        <v>100</v>
      </c>
      <c r="D101" s="1159">
        <f>C101-$K34</f>
        <v>98</v>
      </c>
      <c r="E101" s="1159">
        <f t="shared" ref="E101:M101" si="25">D101-$K34</f>
        <v>96</v>
      </c>
      <c r="F101" s="1159">
        <f t="shared" si="25"/>
        <v>94</v>
      </c>
      <c r="G101" s="1159">
        <f t="shared" si="25"/>
        <v>92</v>
      </c>
      <c r="H101" s="1159">
        <f t="shared" si="25"/>
        <v>90</v>
      </c>
      <c r="I101" s="1159">
        <f t="shared" si="25"/>
        <v>88</v>
      </c>
      <c r="J101" s="1159">
        <f t="shared" si="25"/>
        <v>86</v>
      </c>
      <c r="K101" s="1159">
        <f t="shared" si="25"/>
        <v>84</v>
      </c>
      <c r="L101" s="1159">
        <f t="shared" si="25"/>
        <v>82</v>
      </c>
      <c r="M101" s="1159">
        <f t="shared" si="25"/>
        <v>80</v>
      </c>
      <c r="N101" s="1507"/>
      <c r="O101" s="1507"/>
      <c r="P101" s="2477"/>
      <c r="Q101" s="1515"/>
    </row>
    <row r="102" spans="1:17">
      <c r="A102" s="1187"/>
      <c r="B102" s="1156" t="s">
        <v>1059</v>
      </c>
      <c r="C102" s="2478" t="s">
        <v>236</v>
      </c>
      <c r="D102" s="2478" t="s">
        <v>246</v>
      </c>
      <c r="E102" s="2478" t="s">
        <v>255</v>
      </c>
      <c r="F102" s="1164"/>
      <c r="G102" s="1164"/>
      <c r="H102" s="1181"/>
      <c r="I102" s="1181"/>
      <c r="J102" s="1181"/>
      <c r="K102" s="1232"/>
      <c r="L102" s="1233"/>
      <c r="M102" s="1234"/>
      <c r="N102" s="1500"/>
      <c r="O102" s="1500"/>
      <c r="P102" s="2476"/>
      <c r="Q102" s="1504"/>
    </row>
    <row r="103" spans="1:17" ht="15">
      <c r="A103" s="1153"/>
      <c r="B103" s="1158"/>
      <c r="C103" s="1159">
        <v>100</v>
      </c>
      <c r="D103" s="1159">
        <f t="shared" ref="D103:M103" si="26">C103-$K35</f>
        <v>98</v>
      </c>
      <c r="E103" s="1159">
        <f t="shared" si="26"/>
        <v>96</v>
      </c>
      <c r="F103" s="1159">
        <f t="shared" si="26"/>
        <v>94</v>
      </c>
      <c r="G103" s="1159">
        <f t="shared" si="26"/>
        <v>92</v>
      </c>
      <c r="H103" s="1159">
        <f t="shared" si="26"/>
        <v>90</v>
      </c>
      <c r="I103" s="1159">
        <f t="shared" si="26"/>
        <v>88</v>
      </c>
      <c r="J103" s="1159">
        <f t="shared" si="26"/>
        <v>86</v>
      </c>
      <c r="K103" s="1159">
        <f t="shared" si="26"/>
        <v>84</v>
      </c>
      <c r="L103" s="1159">
        <f t="shared" si="26"/>
        <v>82</v>
      </c>
      <c r="M103" s="1209">
        <f t="shared" si="26"/>
        <v>80</v>
      </c>
      <c r="N103" s="1502"/>
      <c r="O103" s="1502"/>
      <c r="P103" s="2476"/>
      <c r="Q103" s="1504"/>
    </row>
    <row r="104" spans="1:17">
      <c r="A104" s="1187"/>
      <c r="B104" s="1156" t="s">
        <v>1060</v>
      </c>
      <c r="C104" s="2478" t="s">
        <v>1056</v>
      </c>
      <c r="D104" s="2478" t="s">
        <v>1061</v>
      </c>
      <c r="E104" s="2478" t="s">
        <v>1062</v>
      </c>
      <c r="F104" s="2480" t="s">
        <v>1093</v>
      </c>
      <c r="G104" s="1164"/>
      <c r="H104" s="1181"/>
      <c r="I104" s="1181"/>
      <c r="J104" s="1181"/>
      <c r="K104" s="1232"/>
      <c r="L104" s="1233"/>
      <c r="M104" s="1234"/>
      <c r="N104" s="1500"/>
      <c r="O104" s="1500"/>
      <c r="P104" s="2476"/>
      <c r="Q104" s="1504"/>
    </row>
    <row r="105" spans="1:17" ht="15">
      <c r="A105" s="1153"/>
      <c r="B105" s="1158"/>
      <c r="C105" s="1159">
        <v>100</v>
      </c>
      <c r="D105" s="1159">
        <f>C105-$K36</f>
        <v>98</v>
      </c>
      <c r="E105" s="1159">
        <f>D105-$K36</f>
        <v>96</v>
      </c>
      <c r="F105" s="1159">
        <f>E105-$K36</f>
        <v>94</v>
      </c>
      <c r="G105" s="1159">
        <f>F105-$K36</f>
        <v>92</v>
      </c>
      <c r="H105" s="1159"/>
      <c r="I105" s="1159"/>
      <c r="J105" s="1159"/>
      <c r="K105" s="1159"/>
      <c r="L105" s="1159"/>
      <c r="M105" s="1209"/>
      <c r="N105" s="1502"/>
      <c r="O105" s="1502"/>
      <c r="P105" s="2476"/>
      <c r="Q105" s="1504"/>
    </row>
    <row r="106" spans="1:17">
      <c r="A106" s="1187"/>
      <c r="B106" s="1350" t="s">
        <v>1095</v>
      </c>
      <c r="C106" s="1175" t="s">
        <v>1082</v>
      </c>
      <c r="D106" s="1175" t="s">
        <v>1083</v>
      </c>
      <c r="E106" s="1175" t="s">
        <v>1084</v>
      </c>
      <c r="F106" s="1175" t="s">
        <v>1085</v>
      </c>
      <c r="G106" s="1175" t="s">
        <v>1086</v>
      </c>
      <c r="H106" s="1157"/>
      <c r="I106" s="1157"/>
      <c r="J106" s="1157"/>
      <c r="K106" s="1206"/>
      <c r="L106" s="1207"/>
      <c r="M106" s="1208"/>
      <c r="N106" s="1502"/>
      <c r="O106" s="1502"/>
      <c r="P106" s="2484"/>
      <c r="Q106" s="2485"/>
    </row>
    <row r="107" spans="1:17" ht="15">
      <c r="A107" s="1153"/>
      <c r="B107" s="1158"/>
      <c r="C107" s="1177">
        <v>100</v>
      </c>
      <c r="D107" s="1159">
        <f t="shared" ref="D107:M107" si="27">C107-$K37</f>
        <v>98</v>
      </c>
      <c r="E107" s="1159">
        <f t="shared" si="27"/>
        <v>96</v>
      </c>
      <c r="F107" s="1159">
        <f t="shared" si="27"/>
        <v>94</v>
      </c>
      <c r="G107" s="1159">
        <f t="shared" si="27"/>
        <v>92</v>
      </c>
      <c r="H107" s="1159">
        <f t="shared" si="27"/>
        <v>90</v>
      </c>
      <c r="I107" s="1159">
        <f t="shared" si="27"/>
        <v>88</v>
      </c>
      <c r="J107" s="1159">
        <f t="shared" si="27"/>
        <v>86</v>
      </c>
      <c r="K107" s="1159">
        <f t="shared" si="27"/>
        <v>84</v>
      </c>
      <c r="L107" s="1159">
        <f t="shared" si="27"/>
        <v>82</v>
      </c>
      <c r="M107" s="1159">
        <f t="shared" si="27"/>
        <v>80</v>
      </c>
      <c r="N107" s="1502"/>
      <c r="O107" s="1502"/>
      <c r="P107" s="2476"/>
      <c r="Q107" s="1504"/>
    </row>
    <row r="108" spans="1:17" s="907" customFormat="1">
      <c r="A108" s="1184"/>
      <c r="B108" s="1156" t="str">
        <f>B38</f>
        <v>含地下</v>
      </c>
      <c r="C108" s="2478" t="s">
        <v>2667</v>
      </c>
      <c r="D108" s="2478" t="s">
        <v>2666</v>
      </c>
      <c r="E108" s="1164"/>
      <c r="F108" s="1164"/>
      <c r="G108" s="1164"/>
      <c r="H108" s="1165"/>
      <c r="I108" s="1165"/>
      <c r="J108" s="1165"/>
      <c r="K108" s="1165"/>
      <c r="L108" s="1213"/>
      <c r="M108" s="1214"/>
      <c r="N108" s="1507"/>
      <c r="O108" s="1507"/>
      <c r="P108" s="2477"/>
      <c r="Q108" s="1515"/>
    </row>
    <row r="109" spans="1:17" s="907" customFormat="1" ht="15">
      <c r="A109" s="1163"/>
      <c r="B109" s="1154"/>
      <c r="C109" s="1166">
        <v>100</v>
      </c>
      <c r="D109" s="1155">
        <v>95</v>
      </c>
      <c r="E109" s="1155"/>
      <c r="F109" s="1155"/>
      <c r="G109" s="1166"/>
      <c r="H109" s="1167"/>
      <c r="I109" s="1167"/>
      <c r="J109" s="1167"/>
      <c r="K109" s="1167"/>
      <c r="L109" s="1167"/>
      <c r="M109" s="1217"/>
      <c r="N109" s="1507"/>
      <c r="O109" s="1507"/>
      <c r="P109" s="2477"/>
      <c r="Q109" s="1515"/>
    </row>
    <row r="110" spans="1:17">
      <c r="A110" s="1187"/>
      <c r="B110" s="1156">
        <f>B39</f>
        <v>111</v>
      </c>
      <c r="C110" s="1164"/>
      <c r="D110" s="1164"/>
      <c r="E110" s="1164"/>
      <c r="F110" s="1164"/>
      <c r="G110" s="1164"/>
      <c r="H110" s="1165"/>
      <c r="I110" s="1165"/>
      <c r="J110" s="1165"/>
      <c r="K110" s="1165"/>
      <c r="L110" s="1213"/>
      <c r="M110" s="1214"/>
      <c r="N110" s="1500"/>
      <c r="O110" s="1500"/>
      <c r="P110" s="2476"/>
      <c r="Q110" s="1504"/>
    </row>
    <row r="111" spans="1:17" ht="15">
      <c r="A111" s="1153"/>
      <c r="B111" s="1158"/>
      <c r="C111" s="1166"/>
      <c r="D111" s="1155"/>
      <c r="E111" s="1155"/>
      <c r="F111" s="1155"/>
      <c r="G111" s="1166"/>
      <c r="H111" s="1167"/>
      <c r="I111" s="1167"/>
      <c r="J111" s="1167"/>
      <c r="K111" s="1167"/>
      <c r="L111" s="1167"/>
      <c r="M111" s="1217"/>
      <c r="N111" s="1502"/>
      <c r="O111" s="1502"/>
      <c r="P111" s="2476"/>
      <c r="Q111" s="1504"/>
    </row>
    <row r="112" spans="1:17">
      <c r="A112" s="1187"/>
      <c r="B112" s="1160">
        <f>B40</f>
        <v>1</v>
      </c>
      <c r="C112" s="1148"/>
      <c r="D112" s="1148"/>
      <c r="E112" s="1148"/>
      <c r="F112" s="1148"/>
      <c r="G112" s="1182"/>
      <c r="H112" s="1182"/>
      <c r="I112" s="1182"/>
      <c r="J112" s="1182"/>
      <c r="K112" s="1148"/>
      <c r="L112" s="1194"/>
      <c r="M112" s="1237"/>
      <c r="N112" s="1500"/>
      <c r="O112" s="1500"/>
      <c r="P112" s="2476"/>
      <c r="Q112" s="1504"/>
    </row>
    <row r="113" spans="1:17" ht="15">
      <c r="A113" s="1438"/>
      <c r="B113" s="1170"/>
      <c r="C113" s="1171"/>
      <c r="D113" s="1171"/>
      <c r="E113" s="1171"/>
      <c r="F113" s="1171"/>
      <c r="G113" s="1183"/>
      <c r="H113" s="1183"/>
      <c r="I113" s="1183"/>
      <c r="J113" s="1183"/>
      <c r="K113" s="1183"/>
      <c r="L113" s="1183"/>
      <c r="M113" s="1238"/>
      <c r="N113" s="1502"/>
      <c r="O113" s="1502"/>
      <c r="P113" s="2476"/>
      <c r="Q113" s="150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180" priority="4">
      <formula>$D$42="简单平均"</formula>
    </cfRule>
  </conditionalFormatting>
  <conditionalFormatting sqref="H42">
    <cfRule type="expression" dxfId="179" priority="3">
      <formula>$D$42="简单平均"</formula>
    </cfRule>
  </conditionalFormatting>
  <conditionalFormatting sqref="J42">
    <cfRule type="expression" dxfId="178" priority="2">
      <formula>$D$42="简单平均"</formula>
    </cfRule>
  </conditionalFormatting>
  <conditionalFormatting sqref="E46">
    <cfRule type="expression" dxfId="177" priority="16" stopIfTrue="1">
      <formula>$F$46="超过30%"</formula>
    </cfRule>
  </conditionalFormatting>
  <conditionalFormatting sqref="G46">
    <cfRule type="expression" dxfId="176" priority="12" stopIfTrue="1">
      <formula>$H$46="超过30%"</formula>
    </cfRule>
  </conditionalFormatting>
  <conditionalFormatting sqref="I46">
    <cfRule type="expression" dxfId="175" priority="7" stopIfTrue="1">
      <formula>$J$46="超过30%"</formula>
    </cfRule>
  </conditionalFormatting>
  <conditionalFormatting sqref="J46">
    <cfRule type="containsText" dxfId="174" priority="10" stopIfTrue="1" operator="containsText" text="超过">
      <formula>NOT(ISERROR(SEARCH("超过",J46)))</formula>
    </cfRule>
  </conditionalFormatting>
  <conditionalFormatting sqref="E47">
    <cfRule type="expression" dxfId="173" priority="15" stopIfTrue="1">
      <formula>$F$47="超过20%"</formula>
    </cfRule>
  </conditionalFormatting>
  <conditionalFormatting sqref="G47">
    <cfRule type="expression" dxfId="172" priority="11" stopIfTrue="1">
      <formula>$H$47="超过20%"</formula>
    </cfRule>
  </conditionalFormatting>
  <conditionalFormatting sqref="I47">
    <cfRule type="expression" dxfId="171" priority="6" stopIfTrue="1">
      <formula>$J$47="超过20%"</formula>
    </cfRule>
  </conditionalFormatting>
  <conditionalFormatting sqref="J47">
    <cfRule type="containsText" dxfId="170" priority="8" stopIfTrue="1" operator="containsText" text="超过">
      <formula>NOT(ISERROR(SEARCH("超过",J47)))</formula>
    </cfRule>
  </conditionalFormatting>
  <conditionalFormatting sqref="E48">
    <cfRule type="expression" dxfId="169" priority="14" stopIfTrue="1">
      <formula>$F$48="超过30%"</formula>
    </cfRule>
  </conditionalFormatting>
  <conditionalFormatting sqref="F48">
    <cfRule type="containsText" dxfId="168" priority="18" stopIfTrue="1" operator="containsText" text="超过">
      <formula>NOT(ISERROR(SEARCH("超过",F48)))</formula>
    </cfRule>
  </conditionalFormatting>
  <conditionalFormatting sqref="G48">
    <cfRule type="expression" dxfId="167" priority="13" stopIfTrue="1">
      <formula>$H$48="超过30%"</formula>
    </cfRule>
  </conditionalFormatting>
  <conditionalFormatting sqref="H48">
    <cfRule type="containsText" dxfId="166" priority="19" stopIfTrue="1" operator="containsText" text="超过">
      <formula>NOT(ISERROR(SEARCH("超过",H48)))</formula>
    </cfRule>
  </conditionalFormatting>
  <conditionalFormatting sqref="I48">
    <cfRule type="expression" dxfId="165" priority="5" stopIfTrue="1">
      <formula>$J$48="超过30%"</formula>
    </cfRule>
  </conditionalFormatting>
  <conditionalFormatting sqref="J48">
    <cfRule type="containsText" dxfId="164" priority="9" stopIfTrue="1" operator="containsText" text="超过">
      <formula>NOT(ISERROR(SEARCH("超过",J48)))</formula>
    </cfRule>
  </conditionalFormatting>
  <conditionalFormatting sqref="F7:F40 H7:H40 J7:J40">
    <cfRule type="cellIs" dxfId="163" priority="1" operator="notEqual">
      <formula>100</formula>
    </cfRule>
  </conditionalFormatting>
  <conditionalFormatting sqref="F46 H46">
    <cfRule type="containsText" dxfId="162" priority="20" stopIfTrue="1" operator="containsText" text="超过">
      <formula>NOT(ISERROR(SEARCH("超过",F46)))</formula>
    </cfRule>
  </conditionalFormatting>
  <conditionalFormatting sqref="F47 H47">
    <cfRule type="containsText" dxfId="1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topLeftCell="A46" workbookViewId="0">
      <selection activeCell="E6" sqref="E6"/>
    </sheetView>
  </sheetViews>
  <sheetFormatPr defaultColWidth="9" defaultRowHeight="13.5"/>
  <cols>
    <col min="1" max="1" width="13" customWidth="1"/>
  </cols>
  <sheetData>
    <row r="1" spans="1:7">
      <c r="B1" s="2443" t="s">
        <v>424</v>
      </c>
      <c r="C1" s="2443" t="s">
        <v>422</v>
      </c>
      <c r="D1" s="2443" t="s">
        <v>1096</v>
      </c>
      <c r="F1" s="2443" t="s">
        <v>1097</v>
      </c>
      <c r="G1" s="2443" t="s">
        <v>679</v>
      </c>
    </row>
    <row r="2" spans="1:7">
      <c r="A2" s="2444" t="s">
        <v>1098</v>
      </c>
      <c r="B2" s="2443" t="s">
        <v>1046</v>
      </c>
      <c r="C2">
        <v>600</v>
      </c>
      <c r="D2">
        <v>29000</v>
      </c>
      <c r="E2" s="2443" t="s">
        <v>1099</v>
      </c>
      <c r="F2" s="2443">
        <v>2000</v>
      </c>
      <c r="G2" s="2443" t="s">
        <v>1100</v>
      </c>
    </row>
    <row r="3" spans="1:7">
      <c r="A3" s="2444" t="s">
        <v>1101</v>
      </c>
      <c r="B3" t="s">
        <v>1046</v>
      </c>
      <c r="C3">
        <v>370</v>
      </c>
      <c r="D3">
        <v>32432</v>
      </c>
      <c r="E3" s="2443" t="s">
        <v>1099</v>
      </c>
      <c r="F3">
        <v>2004</v>
      </c>
      <c r="G3" s="2445" t="s">
        <v>1102</v>
      </c>
    </row>
    <row r="4" spans="1:7">
      <c r="A4" t="s">
        <v>1103</v>
      </c>
      <c r="B4" t="s">
        <v>1047</v>
      </c>
      <c r="C4">
        <v>400</v>
      </c>
      <c r="D4">
        <v>33000</v>
      </c>
      <c r="E4" s="2443" t="s">
        <v>1099</v>
      </c>
      <c r="F4">
        <v>2004</v>
      </c>
      <c r="G4" s="2443" t="s">
        <v>1104</v>
      </c>
    </row>
    <row r="5" spans="1:7">
      <c r="A5" s="2444" t="s">
        <v>1105</v>
      </c>
      <c r="B5" s="2443" t="s">
        <v>1047</v>
      </c>
      <c r="C5" s="2446">
        <v>1262</v>
      </c>
      <c r="D5" s="2446">
        <v>30000</v>
      </c>
      <c r="E5" s="2443" t="s">
        <v>1106</v>
      </c>
      <c r="F5">
        <v>2004</v>
      </c>
      <c r="G5" s="2443" t="s">
        <v>1104</v>
      </c>
    </row>
    <row r="6" spans="1:7">
      <c r="A6" s="2444" t="s">
        <v>1107</v>
      </c>
      <c r="B6" s="2443" t="s">
        <v>1047</v>
      </c>
      <c r="C6" s="2443">
        <v>2500</v>
      </c>
      <c r="D6" s="2446">
        <v>30000</v>
      </c>
      <c r="E6" s="2443" t="s">
        <v>1106</v>
      </c>
      <c r="F6">
        <v>2004</v>
      </c>
      <c r="G6" s="2443" t="s">
        <v>1108</v>
      </c>
    </row>
  </sheetData>
  <phoneticPr fontId="21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I30" sqref="I30"/>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912</v>
      </c>
      <c r="B1" s="2130" t="s">
        <v>533</v>
      </c>
      <c r="C1" s="148"/>
      <c r="D1" s="148"/>
      <c r="E1" s="148"/>
      <c r="F1" s="148"/>
      <c r="G1" s="2132" t="e">
        <f>MATCH(B1,'数据-取费表'!A6:A16,0)+5</f>
        <v>#N/A</v>
      </c>
    </row>
    <row r="2" spans="1:9" s="138" customFormat="1" ht="18" customHeight="1">
      <c r="A2" s="150" t="s">
        <v>913</v>
      </c>
      <c r="B2" s="151" t="e">
        <f ca="1">IF(D2="——",C52,C52-E2)</f>
        <v>#N/A</v>
      </c>
      <c r="C2" s="149" t="s">
        <v>914</v>
      </c>
      <c r="D2" s="2133" t="s">
        <v>124</v>
      </c>
      <c r="E2" s="2134" t="e">
        <f ca="1">SUMIF(INDIRECT("'"&amp;G2&amp;"'"&amp;"!A:A"),"承租人权益价值",INDIRECT("'"&amp;G2&amp;"'"&amp;"!c:c"))</f>
        <v>#REF!</v>
      </c>
      <c r="F2" s="2135" t="s">
        <v>914</v>
      </c>
      <c r="G2" s="2136"/>
    </row>
    <row r="3" spans="1:9" s="138" customFormat="1" ht="18" customHeight="1" thickBot="1">
      <c r="A3" s="153" t="s">
        <v>915</v>
      </c>
      <c r="B3" s="154" t="e">
        <f ca="1">ROUND(B2*10000/(IF(B1="",'数据-汇总表'!E3,INDIRECT("'数据-取费表'!k"&amp;$G$1))),0)</f>
        <v>#N/A</v>
      </c>
      <c r="C3" s="149" t="s">
        <v>916</v>
      </c>
      <c r="D3" s="149"/>
      <c r="E3" s="149"/>
      <c r="F3" s="149"/>
      <c r="G3" s="149"/>
    </row>
    <row r="4" spans="1:9" s="139" customFormat="1" ht="15.75">
      <c r="A4" s="155" t="s">
        <v>917</v>
      </c>
      <c r="B4" s="156"/>
      <c r="C4" s="156"/>
      <c r="D4" s="156"/>
      <c r="E4" s="156"/>
      <c r="F4" s="156"/>
      <c r="G4" s="157"/>
    </row>
    <row r="5" spans="1:9" s="140" customFormat="1" ht="13.5" customHeight="1">
      <c r="A5" s="158" t="s">
        <v>918</v>
      </c>
      <c r="B5" s="159" t="s">
        <v>919</v>
      </c>
      <c r="C5" s="160" t="e">
        <f ca="1">C6+C7+C8</f>
        <v>#N/A</v>
      </c>
      <c r="D5" s="160" t="s">
        <v>920</v>
      </c>
      <c r="E5" s="161" t="s">
        <v>921</v>
      </c>
      <c r="F5" s="161" t="s">
        <v>817</v>
      </c>
      <c r="G5" s="162"/>
    </row>
    <row r="6" spans="1:9" s="140" customFormat="1" ht="13.5" customHeight="1">
      <c r="A6" s="163" t="s">
        <v>922</v>
      </c>
      <c r="B6" s="164" t="s">
        <v>923</v>
      </c>
      <c r="C6" s="165">
        <f>[2]基准地价修正!$E$33</f>
        <v>40089</v>
      </c>
      <c r="D6" s="166"/>
      <c r="E6" s="167"/>
      <c r="F6" s="167"/>
      <c r="G6" s="168"/>
    </row>
    <row r="7" spans="1:9" s="140" customFormat="1" ht="13.5" customHeight="1">
      <c r="A7" s="163" t="s">
        <v>924</v>
      </c>
      <c r="B7" s="164" t="s">
        <v>925</v>
      </c>
      <c r="C7" s="169">
        <f>ROUND(C6*F7,0)</f>
        <v>1223</v>
      </c>
      <c r="D7" s="169"/>
      <c r="E7" s="167"/>
      <c r="F7" s="170">
        <f>IF(项目基本情况!B8="出让",0,'数据-取费表'!B48+'数据-取费表'!B49)</f>
        <v>3.0499999999999999E-2</v>
      </c>
      <c r="G7" s="168"/>
    </row>
    <row r="8" spans="1:9" s="141" customFormat="1">
      <c r="A8" s="163" t="s">
        <v>926</v>
      </c>
      <c r="B8" s="164" t="s">
        <v>927</v>
      </c>
      <c r="C8" s="169" t="e">
        <f ca="1">IF(G8="已包含在土地购买价格中","0",IF(B1="",'数据-取费表'!B29,IF(G9="全部缴纳",C9+C10,H9)))</f>
        <v>#N/A</v>
      </c>
      <c r="D8" s="171"/>
      <c r="E8" s="169"/>
      <c r="F8" s="170"/>
      <c r="G8" s="2137"/>
    </row>
    <row r="9" spans="1:9" s="140" customFormat="1" ht="13.5" customHeight="1">
      <c r="A9" s="173" t="s">
        <v>928</v>
      </c>
      <c r="B9" s="174" t="s">
        <v>929</v>
      </c>
      <c r="C9" s="175" t="e">
        <f ca="1">ROUND(D9*E9/10000,0)</f>
        <v>#N/A</v>
      </c>
      <c r="D9" s="176" t="e">
        <f ca="1">IF(B1="",'数据-汇总表'!E5,IF(INDIRECT("'数据-取费表'!c"&amp;$G$1)="住宅",INDIRECT("'数据-取费表'!k"&amp;$G$1),0))</f>
        <v>#N/A</v>
      </c>
      <c r="E9" s="175">
        <f>'数据-取费表'!B27</f>
        <v>160</v>
      </c>
      <c r="F9" s="170"/>
      <c r="G9" s="2151" t="s">
        <v>930</v>
      </c>
      <c r="H9" s="2152"/>
      <c r="I9" s="2153" t="s">
        <v>931</v>
      </c>
    </row>
    <row r="10" spans="1:9" s="140" customFormat="1" ht="13.5" customHeight="1">
      <c r="A10" s="173" t="s">
        <v>932</v>
      </c>
      <c r="B10" s="174" t="s">
        <v>933</v>
      </c>
      <c r="C10" s="175" t="e">
        <f ca="1">ROUND(D10*E10/10000,0)</f>
        <v>#N/A</v>
      </c>
      <c r="D10" s="176" t="e">
        <f ca="1">IF(B1="",'数据-汇总表'!E6,IF(INDIRECT("'数据-取费表'!c"&amp;$G$1)="住宅",INDIRECT("'数据-取费表'!s"&amp;$G$1),INDIRECT("'数据-取费表'!k"&amp;$G$1)+INDIRECT("'数据-取费表'!s"&amp;$G$1)))</f>
        <v>#N/A</v>
      </c>
      <c r="E10" s="175">
        <f>'数据-取费表'!B28</f>
        <v>200</v>
      </c>
      <c r="F10" s="170"/>
      <c r="G10" s="177"/>
    </row>
    <row r="11" spans="1:9" s="140" customFormat="1" ht="13.5" hidden="1" customHeight="1">
      <c r="A11" s="178" t="s">
        <v>934</v>
      </c>
      <c r="B11" s="164" t="s">
        <v>935</v>
      </c>
      <c r="C11" s="160"/>
      <c r="D11" s="179"/>
      <c r="E11" s="167"/>
      <c r="F11" s="167"/>
      <c r="G11" s="168"/>
    </row>
    <row r="12" spans="1:9" s="140" customFormat="1" ht="13.5" hidden="1" customHeight="1">
      <c r="A12" s="178" t="s">
        <v>936</v>
      </c>
      <c r="B12" s="164" t="s">
        <v>853</v>
      </c>
      <c r="C12" s="160">
        <v>0</v>
      </c>
      <c r="D12" s="179"/>
      <c r="E12" s="180"/>
      <c r="F12" s="170">
        <v>3.0499999999999999E-2</v>
      </c>
      <c r="G12" s="168"/>
    </row>
    <row r="13" spans="1:9" s="140" customFormat="1" ht="13.5" hidden="1" customHeight="1">
      <c r="A13" s="178" t="s">
        <v>937</v>
      </c>
      <c r="B13" s="164" t="s">
        <v>938</v>
      </c>
      <c r="C13" s="160"/>
      <c r="D13" s="179"/>
      <c r="E13" s="167"/>
      <c r="F13" s="167"/>
      <c r="G13" s="168"/>
    </row>
    <row r="14" spans="1:9" s="140" customFormat="1" ht="13.5" hidden="1" customHeight="1">
      <c r="A14" s="178" t="s">
        <v>939</v>
      </c>
      <c r="B14" s="164" t="s">
        <v>927</v>
      </c>
      <c r="C14" s="160"/>
      <c r="D14" s="179"/>
      <c r="E14" s="167"/>
      <c r="F14" s="167"/>
      <c r="G14" s="168" t="s">
        <v>940</v>
      </c>
    </row>
    <row r="15" spans="1:9" s="140" customFormat="1" ht="13.5" hidden="1" customHeight="1">
      <c r="A15" s="178" t="s">
        <v>941</v>
      </c>
      <c r="B15" s="164" t="s">
        <v>942</v>
      </c>
      <c r="C15" s="169"/>
      <c r="D15" s="179"/>
      <c r="E15" s="167"/>
      <c r="F15" s="167"/>
      <c r="G15" s="168" t="s">
        <v>943</v>
      </c>
    </row>
    <row r="16" spans="1:9" s="140" customFormat="1" ht="13.5" hidden="1" customHeight="1">
      <c r="A16" s="178" t="s">
        <v>944</v>
      </c>
      <c r="B16" s="164" t="s">
        <v>927</v>
      </c>
      <c r="C16" s="169"/>
      <c r="D16" s="179"/>
      <c r="E16" s="167"/>
      <c r="F16" s="167"/>
      <c r="G16" s="168"/>
    </row>
    <row r="17" spans="1:7" s="140" customFormat="1" ht="13.5" hidden="1" customHeight="1">
      <c r="A17" s="178" t="s">
        <v>945</v>
      </c>
      <c r="B17" s="164" t="s">
        <v>946</v>
      </c>
      <c r="C17" s="181"/>
      <c r="D17" s="182"/>
      <c r="E17" s="181"/>
      <c r="F17" s="181"/>
      <c r="G17" s="168" t="s">
        <v>943</v>
      </c>
    </row>
    <row r="18" spans="1:7" s="140" customFormat="1" ht="13.5" hidden="1" customHeight="1">
      <c r="A18" s="178" t="s">
        <v>947</v>
      </c>
      <c r="B18" s="164" t="s">
        <v>948</v>
      </c>
      <c r="C18" s="169">
        <v>0</v>
      </c>
      <c r="D18" s="179"/>
      <c r="E18" s="167"/>
      <c r="F18" s="170">
        <v>3.0499999999999999E-2</v>
      </c>
      <c r="G18" s="168" t="s">
        <v>949</v>
      </c>
    </row>
    <row r="19" spans="1:7" s="141" customFormat="1" ht="13.5" customHeight="1">
      <c r="A19" s="158" t="s">
        <v>950</v>
      </c>
      <c r="B19" s="159" t="s">
        <v>951</v>
      </c>
      <c r="C19" s="160" t="str">
        <f>IF(G19="已包含在土地取得成本中","0",ROUND(D19*E19/10000,0))</f>
        <v>0</v>
      </c>
      <c r="D19" s="184" t="e">
        <f ca="1">D9+D10</f>
        <v>#N/A</v>
      </c>
      <c r="E19" s="160">
        <f>'数据-取费表'!B31</f>
        <v>200</v>
      </c>
      <c r="F19" s="185"/>
      <c r="G19" s="2137" t="s">
        <v>952</v>
      </c>
    </row>
    <row r="20" spans="1:7" s="140" customFormat="1" ht="13.5" customHeight="1">
      <c r="A20" s="158" t="s">
        <v>953</v>
      </c>
      <c r="B20" s="159" t="s">
        <v>954</v>
      </c>
      <c r="C20" s="186" t="e">
        <f ca="1">ROUND((C5+C19)*F20,0)</f>
        <v>#N/A</v>
      </c>
      <c r="D20" s="186"/>
      <c r="E20" s="186"/>
      <c r="F20" s="187">
        <f>'数据-取费表'!B37</f>
        <v>0.02</v>
      </c>
      <c r="G20" s="191" t="s">
        <v>955</v>
      </c>
    </row>
    <row r="21" spans="1:7" s="140" customFormat="1" ht="13.5" customHeight="1">
      <c r="A21" s="158" t="s">
        <v>956</v>
      </c>
      <c r="B21" s="159" t="s">
        <v>957</v>
      </c>
      <c r="C21" s="189">
        <f>F21</f>
        <v>0.02</v>
      </c>
      <c r="D21" s="190" t="s">
        <v>958</v>
      </c>
      <c r="E21" s="186"/>
      <c r="F21" s="187">
        <f>'数据-取费表'!B38</f>
        <v>0.02</v>
      </c>
      <c r="G21" s="191" t="s">
        <v>959</v>
      </c>
    </row>
    <row r="22" spans="1:7" s="140" customFormat="1" ht="13.5" customHeight="1">
      <c r="A22" s="158" t="s">
        <v>960</v>
      </c>
      <c r="B22" s="159" t="s">
        <v>961</v>
      </c>
      <c r="C22" s="192" t="e">
        <f ca="1">ROUND(SUM(C23:C25),0)</f>
        <v>#N/A</v>
      </c>
      <c r="D22" s="189">
        <f ca="1">C26</f>
        <v>4.0000000000000002E-4</v>
      </c>
      <c r="E22" s="190" t="s">
        <v>958</v>
      </c>
      <c r="F22" s="193">
        <f ca="1">'数据-取费表'!B40</f>
        <v>4.2000000000000003E-2</v>
      </c>
      <c r="G22" s="191" t="str">
        <f>IF('数据-取费表'!B22&lt;=1,"单利计息","复利计息")</f>
        <v>单利计息</v>
      </c>
    </row>
    <row r="23" spans="1:7" s="140" customFormat="1" ht="13.5" customHeight="1">
      <c r="A23" s="194" t="s">
        <v>922</v>
      </c>
      <c r="B23" s="164" t="s">
        <v>962</v>
      </c>
      <c r="C23" s="195" t="e">
        <f ca="1">ROUND(IF('数据-取费表'!B22&lt;=1,C5*F22*'数据-取费表'!B23,C5*(POWER((1+F22),'数据-取费表'!B23)-1)),0)</f>
        <v>#N/A</v>
      </c>
      <c r="D23" s="196"/>
      <c r="E23" s="196"/>
      <c r="F23" s="197"/>
      <c r="G23" s="198" t="s">
        <v>963</v>
      </c>
    </row>
    <row r="24" spans="1:7" s="140" customFormat="1" ht="13.5" customHeight="1">
      <c r="A24" s="194" t="s">
        <v>924</v>
      </c>
      <c r="B24" s="164" t="s">
        <v>964</v>
      </c>
      <c r="C24" s="195">
        <f ca="1">ROUND(IF('数据-取费表'!B22&lt;=1,C19*F22*('数据-取费表'!B19/2+'数据-取费表'!B21),C19*(POWER((1+F22),('数据-取费表'!B19/2+'数据-取费表'!B21))-1)),0)</f>
        <v>0</v>
      </c>
      <c r="D24" s="196"/>
      <c r="E24" s="196"/>
      <c r="F24" s="197"/>
      <c r="G24" s="198" t="s">
        <v>965</v>
      </c>
    </row>
    <row r="25" spans="1:7" s="140" customFormat="1" ht="24">
      <c r="A25" s="194" t="s">
        <v>926</v>
      </c>
      <c r="B25" s="164" t="s">
        <v>966</v>
      </c>
      <c r="C25" s="195" t="e">
        <f ca="1">ROUND(IF('数据-取费表'!B22&lt;=1,C20*F22*'数据-取费表'!B23/2,C20*(POWER((1+F22),'数据-取费表'!B23/2)-1)),0)</f>
        <v>#N/A</v>
      </c>
      <c r="D25" s="196"/>
      <c r="E25" s="199"/>
      <c r="F25" s="197"/>
      <c r="G25" s="200" t="s">
        <v>967</v>
      </c>
    </row>
    <row r="26" spans="1:7" s="140" customFormat="1">
      <c r="A26" s="194" t="s">
        <v>968</v>
      </c>
      <c r="B26" s="164" t="s">
        <v>969</v>
      </c>
      <c r="C26" s="196">
        <f ca="1">ROUND(IF('数据-取费表'!B22&lt;=1,F21*F22*'数据-取费表'!B23/2,F21*(POWER((1+F22),'数据-取费表'!B23/2)-1)),4)</f>
        <v>4.0000000000000002E-4</v>
      </c>
      <c r="D26" s="196"/>
      <c r="E26" s="199"/>
      <c r="F26" s="197"/>
      <c r="G26" s="201"/>
    </row>
    <row r="27" spans="1:7" s="140" customFormat="1" ht="24.75">
      <c r="A27" s="158" t="s">
        <v>970</v>
      </c>
      <c r="B27" s="202" t="s">
        <v>971</v>
      </c>
      <c r="C27" s="203" t="e">
        <f ca="1">C28</f>
        <v>#N/A</v>
      </c>
      <c r="D27" s="189" t="e">
        <f ca="1">C29</f>
        <v>#N/A</v>
      </c>
      <c r="E27" s="190" t="s">
        <v>958</v>
      </c>
      <c r="F27" s="204" t="e">
        <f ca="1">IF(B1="",'数据-取费表'!Q16,INDIRECT("'数据-取费表'!q"&amp;$G$1))</f>
        <v>#N/A</v>
      </c>
      <c r="G27" s="205" t="s">
        <v>972</v>
      </c>
    </row>
    <row r="28" spans="1:7" s="140" customFormat="1" ht="13.5" customHeight="1">
      <c r="A28" s="194" t="s">
        <v>922</v>
      </c>
      <c r="B28" s="206" t="s">
        <v>973</v>
      </c>
      <c r="C28" s="207" t="e">
        <f ca="1">ROUND((C5+C19+C20)*F27*'数据-取费表'!B21/'数据-取费表'!B20,0)</f>
        <v>#N/A</v>
      </c>
      <c r="D28" s="189"/>
      <c r="E28" s="190"/>
      <c r="F28" s="204"/>
      <c r="G28" s="205"/>
    </row>
    <row r="29" spans="1:7" s="140" customFormat="1" ht="13.5" customHeight="1">
      <c r="A29" s="194" t="s">
        <v>924</v>
      </c>
      <c r="B29" s="206" t="s">
        <v>974</v>
      </c>
      <c r="C29" s="196" t="e">
        <f ca="1">ROUND(C21*F27*'数据-取费表'!B21/'数据-取费表'!B20,4)</f>
        <v>#N/A</v>
      </c>
      <c r="D29" s="189"/>
      <c r="E29" s="190"/>
      <c r="F29" s="204"/>
      <c r="G29" s="205"/>
    </row>
    <row r="30" spans="1:7" s="140" customFormat="1" ht="13.5" customHeight="1">
      <c r="A30" s="158" t="s">
        <v>975</v>
      </c>
      <c r="B30" s="159" t="s">
        <v>976</v>
      </c>
      <c r="C30" s="189">
        <f>ROUND(F30/(1+'数据-取费表'!C42),4)</f>
        <v>5.2400000000000002E-2</v>
      </c>
      <c r="D30" s="190" t="s">
        <v>958</v>
      </c>
      <c r="E30" s="199"/>
      <c r="F30" s="193">
        <f>'数据-取费表'!B41</f>
        <v>5.5000000000000007E-2</v>
      </c>
      <c r="G30" s="191" t="s">
        <v>977</v>
      </c>
    </row>
    <row r="31" spans="1:7" ht="16.5" customHeight="1">
      <c r="A31" s="208">
        <v>1</v>
      </c>
      <c r="B31" s="159" t="s">
        <v>978</v>
      </c>
      <c r="C31" s="160" t="e">
        <f ca="1">ROUND((C5+C19+C20+C22+C27)/(1-C21-D22-D27-C30),0)</f>
        <v>#N/A</v>
      </c>
      <c r="D31" s="209"/>
      <c r="E31" s="160"/>
      <c r="F31" s="210"/>
      <c r="G31" s="191" t="s">
        <v>979</v>
      </c>
    </row>
    <row r="32" spans="1:7" s="139" customFormat="1" ht="15.75">
      <c r="A32" s="211" t="s">
        <v>980</v>
      </c>
      <c r="B32" s="212"/>
      <c r="C32" s="212"/>
      <c r="D32" s="212"/>
      <c r="E32" s="212"/>
      <c r="F32" s="212"/>
      <c r="G32" s="213"/>
    </row>
    <row r="33" spans="1:7" s="140" customFormat="1" ht="13.5" customHeight="1">
      <c r="A33" s="158" t="s">
        <v>918</v>
      </c>
      <c r="B33" s="159" t="s">
        <v>981</v>
      </c>
      <c r="C33" s="214" t="e">
        <f ca="1">SUM(C34:C38)</f>
        <v>#N/A</v>
      </c>
      <c r="D33" s="186"/>
      <c r="E33" s="161"/>
      <c r="F33" s="199"/>
      <c r="G33" s="191"/>
    </row>
    <row r="34" spans="1:7" s="142" customFormat="1" ht="13.5" customHeight="1">
      <c r="A34" s="194" t="s">
        <v>922</v>
      </c>
      <c r="B34" s="164" t="s">
        <v>982</v>
      </c>
      <c r="C34" s="169" t="e">
        <f ca="1">IF(B1="",IF(F34=100%,'数据-取费表'!M16,'数据-取费表'!O16),IF(F34=100%,INDIRECT("'数据-取费表'!m"&amp;$G$1)+INDIRECT("'数据-取费表'!t"&amp;$G$1),INDIRECT("'数据-取费表'!o"&amp;$G$1)+INDIRECT("'数据-取费表'!aq"&amp;$G$1)))</f>
        <v>#N/A</v>
      </c>
      <c r="D34" s="166"/>
      <c r="E34" s="169"/>
      <c r="F34" s="215">
        <f ca="1">IF('数据-取费表'!B24=0,1,IF(B1="",'数据-取费表'!N16,INDIRECT("'数据-取费表'!n"&amp;$G$1)))</f>
        <v>1</v>
      </c>
      <c r="G34" s="168" t="s">
        <v>983</v>
      </c>
    </row>
    <row r="35" spans="1:7" ht="13.5" customHeight="1">
      <c r="A35" s="194" t="s">
        <v>924</v>
      </c>
      <c r="B35" s="164" t="s">
        <v>984</v>
      </c>
      <c r="C35" s="169" t="e">
        <f ca="1">ROUND(C34*F35,0)</f>
        <v>#N/A</v>
      </c>
      <c r="D35" s="169"/>
      <c r="E35" s="169"/>
      <c r="F35" s="216">
        <f>'数据-取费表'!B33</f>
        <v>0.03</v>
      </c>
      <c r="G35" s="168" t="s">
        <v>985</v>
      </c>
    </row>
    <row r="36" spans="1:7" ht="24">
      <c r="A36" s="194" t="s">
        <v>926</v>
      </c>
      <c r="B36" s="164" t="s">
        <v>986</v>
      </c>
      <c r="C36" s="169" t="e">
        <f ca="1">ROUND(IF(B1="",SUMIF('数据-取费表'!C:C,"住宅",IF(F34=100%,'数据-取费表'!M:M,'数据-取费表'!O:O))*F36,IF(INDIRECT("'数据-取费表'!c"&amp;$G$1)="住宅",IF(F34=100%,INDIRECT("'数据-取费表'!m"&amp;$G$1)*F36,INDIRECT("'数据-取费表'!o"&amp;$G$1)*F36),0)),0)</f>
        <v>#N/A</v>
      </c>
      <c r="D36" s="169"/>
      <c r="E36" s="169"/>
      <c r="F36" s="216">
        <f>'数据-取费表'!B34</f>
        <v>0</v>
      </c>
      <c r="G36" s="217" t="s">
        <v>987</v>
      </c>
    </row>
    <row r="37" spans="1:7" s="142" customFormat="1" ht="13.5" customHeight="1">
      <c r="A37" s="194" t="s">
        <v>968</v>
      </c>
      <c r="B37" s="164" t="s">
        <v>988</v>
      </c>
      <c r="C37" s="207" t="e">
        <f ca="1">ROUND(E37*D37*F34/10000,0)</f>
        <v>#N/A</v>
      </c>
      <c r="D37" s="166" t="e">
        <f ca="1">D19</f>
        <v>#N/A</v>
      </c>
      <c r="E37" s="207">
        <f>'数据-取费表'!B35</f>
        <v>200</v>
      </c>
      <c r="F37" s="216"/>
      <c r="G37" s="218" t="s">
        <v>989</v>
      </c>
    </row>
    <row r="38" spans="1:7" ht="13.5" customHeight="1">
      <c r="A38" s="194" t="s">
        <v>990</v>
      </c>
      <c r="B38" s="164" t="s">
        <v>853</v>
      </c>
      <c r="C38" s="169" t="e">
        <f ca="1">ROUND(C34*F38,0)</f>
        <v>#N/A</v>
      </c>
      <c r="D38" s="169"/>
      <c r="E38" s="169"/>
      <c r="F38" s="216">
        <f>'数据-取费表'!B36</f>
        <v>1.4999999999999999E-2</v>
      </c>
      <c r="G38" s="168" t="s">
        <v>985</v>
      </c>
    </row>
    <row r="39" spans="1:7" s="140" customFormat="1" ht="13.5" customHeight="1">
      <c r="A39" s="158" t="s">
        <v>950</v>
      </c>
      <c r="B39" s="159" t="s">
        <v>954</v>
      </c>
      <c r="C39" s="186" t="e">
        <f ca="1">ROUND(C33*F20,0)</f>
        <v>#N/A</v>
      </c>
      <c r="D39" s="186"/>
      <c r="E39" s="186"/>
      <c r="F39" s="2140">
        <f>F20</f>
        <v>0.02</v>
      </c>
      <c r="G39" s="191" t="s">
        <v>991</v>
      </c>
    </row>
    <row r="40" spans="1:7" s="140" customFormat="1" ht="13.5" customHeight="1">
      <c r="A40" s="158" t="s">
        <v>953</v>
      </c>
      <c r="B40" s="159" t="s">
        <v>957</v>
      </c>
      <c r="C40" s="2141">
        <f>F21</f>
        <v>0.02</v>
      </c>
      <c r="D40" s="190" t="s">
        <v>992</v>
      </c>
      <c r="E40" s="186"/>
      <c r="F40" s="2140">
        <f>F21</f>
        <v>0.02</v>
      </c>
      <c r="G40" s="191" t="s">
        <v>993</v>
      </c>
    </row>
    <row r="41" spans="1:7" s="140" customFormat="1" ht="13.5" customHeight="1">
      <c r="A41" s="158" t="s">
        <v>956</v>
      </c>
      <c r="B41" s="159" t="s">
        <v>961</v>
      </c>
      <c r="C41" s="186" t="e">
        <f ca="1">ROUND(SUM(C42:C43),0)</f>
        <v>#N/A</v>
      </c>
      <c r="D41" s="189">
        <f ca="1">C44</f>
        <v>4.0000000000000002E-4</v>
      </c>
      <c r="E41" s="190" t="s">
        <v>992</v>
      </c>
      <c r="F41" s="2142">
        <f ca="1">F22</f>
        <v>4.2000000000000003E-2</v>
      </c>
      <c r="G41" s="191" t="str">
        <f>IF('数据-取费表'!B22&lt;=1,"单利计息","复利计息")</f>
        <v>单利计息</v>
      </c>
    </row>
    <row r="42" spans="1:7" ht="13.5" customHeight="1">
      <c r="A42" s="194" t="s">
        <v>922</v>
      </c>
      <c r="B42" s="164" t="s">
        <v>962</v>
      </c>
      <c r="C42" s="196" t="e">
        <f ca="1">ROUND(IF('数据-取费表'!B22&lt;=1,C33*F22*'数据-取费表'!B21/2,C33*(POWER((1+F22),'数据-取费表'!B21/2)-1)),0)</f>
        <v>#N/A</v>
      </c>
      <c r="D42" s="196"/>
      <c r="E42" s="196"/>
      <c r="F42" s="197"/>
      <c r="G42" s="3422" t="s">
        <v>994</v>
      </c>
    </row>
    <row r="43" spans="1:7" ht="13.5" customHeight="1">
      <c r="A43" s="194" t="s">
        <v>924</v>
      </c>
      <c r="B43" s="164" t="s">
        <v>964</v>
      </c>
      <c r="C43" s="196" t="e">
        <f ca="1">ROUND(IF('数据-取费表'!B22&lt;=1,C39*F22*'数据-取费表'!B21/2,C39*(POWER((1+F22),'数据-取费表'!B21/2)-1)),0)</f>
        <v>#N/A</v>
      </c>
      <c r="D43" s="196"/>
      <c r="E43" s="196"/>
      <c r="F43" s="197"/>
      <c r="G43" s="3423"/>
    </row>
    <row r="44" spans="1:7" ht="13.5" customHeight="1">
      <c r="A44" s="194" t="s">
        <v>926</v>
      </c>
      <c r="B44" s="164" t="s">
        <v>966</v>
      </c>
      <c r="C44" s="196">
        <f ca="1">ROUND(IF('数据-取费表'!B22&lt;=1,C40*F22*'数据-取费表'!B21/2,C40*(POWER((1+F22),'数据-取费表'!B21/2)-1)),4)</f>
        <v>4.0000000000000002E-4</v>
      </c>
      <c r="D44" s="196"/>
      <c r="E44" s="196"/>
      <c r="F44" s="197"/>
      <c r="G44" s="3424"/>
    </row>
    <row r="45" spans="1:7" s="140" customFormat="1" ht="13.5" customHeight="1">
      <c r="A45" s="158" t="s">
        <v>960</v>
      </c>
      <c r="B45" s="202" t="s">
        <v>971</v>
      </c>
      <c r="C45" s="203" t="e">
        <f ca="1">C46</f>
        <v>#N/A</v>
      </c>
      <c r="D45" s="189" t="e">
        <f ca="1">C47</f>
        <v>#N/A</v>
      </c>
      <c r="E45" s="190" t="s">
        <v>992</v>
      </c>
      <c r="F45" s="2143" t="e">
        <f ca="1">F27</f>
        <v>#N/A</v>
      </c>
      <c r="G45" s="205" t="s">
        <v>995</v>
      </c>
    </row>
    <row r="46" spans="1:7" s="140" customFormat="1" ht="13.5" customHeight="1">
      <c r="A46" s="194" t="s">
        <v>922</v>
      </c>
      <c r="B46" s="206" t="s">
        <v>996</v>
      </c>
      <c r="C46" s="207" t="e">
        <f ca="1">ROUND((C33+C39)*F27,0)</f>
        <v>#N/A</v>
      </c>
      <c r="D46" s="220"/>
      <c r="E46" s="190"/>
      <c r="F46" s="204"/>
      <c r="G46" s="205"/>
    </row>
    <row r="47" spans="1:7" s="140" customFormat="1" ht="13.5" customHeight="1">
      <c r="A47" s="194" t="s">
        <v>924</v>
      </c>
      <c r="B47" s="206" t="s">
        <v>997</v>
      </c>
      <c r="C47" s="196" t="e">
        <f ca="1">ROUND(C40*F27,4)</f>
        <v>#N/A</v>
      </c>
      <c r="D47" s="220"/>
      <c r="E47" s="190"/>
      <c r="F47" s="204"/>
      <c r="G47" s="205"/>
    </row>
    <row r="48" spans="1:7" s="140" customFormat="1" ht="13.5" customHeight="1">
      <c r="A48" s="158" t="s">
        <v>970</v>
      </c>
      <c r="B48" s="159" t="s">
        <v>976</v>
      </c>
      <c r="C48" s="2141">
        <f>ROUND(F30/(1+'数据-取费表'!C42),4)</f>
        <v>5.2400000000000002E-2</v>
      </c>
      <c r="D48" s="190" t="s">
        <v>992</v>
      </c>
      <c r="E48" s="186"/>
      <c r="F48" s="2142">
        <f>F30</f>
        <v>5.5000000000000007E-2</v>
      </c>
      <c r="G48" s="191" t="s">
        <v>998</v>
      </c>
    </row>
    <row r="49" spans="1:7" ht="16.5" customHeight="1">
      <c r="A49" s="158" t="s">
        <v>975</v>
      </c>
      <c r="B49" s="159" t="s">
        <v>999</v>
      </c>
      <c r="C49" s="186" t="e">
        <f ca="1">ROUND((C33+C39+C41+C45)/(1-C40-D41-D45-C48),0)</f>
        <v>#N/A</v>
      </c>
      <c r="D49" s="186"/>
      <c r="E49" s="186"/>
      <c r="F49" s="221"/>
      <c r="G49" s="191" t="s">
        <v>1000</v>
      </c>
    </row>
    <row r="50" spans="1:7" s="142" customFormat="1" ht="24">
      <c r="A50" s="158" t="s">
        <v>1001</v>
      </c>
      <c r="B50" s="159" t="s">
        <v>1002</v>
      </c>
      <c r="C50" s="186"/>
      <c r="D50" s="186"/>
      <c r="E50" s="186"/>
      <c r="F50" s="221">
        <f>IF('数据-取费表'!B24=0,'数据-取费表'!N16,1)</f>
        <v>0.88</v>
      </c>
      <c r="G50" s="205" t="s">
        <v>1003</v>
      </c>
    </row>
    <row r="51" spans="1:7" ht="16.5" customHeight="1">
      <c r="A51" s="158" t="s">
        <v>1004</v>
      </c>
      <c r="B51" s="159" t="s">
        <v>1005</v>
      </c>
      <c r="C51" s="186" t="e">
        <f ca="1">ROUND(C49*F50,0)</f>
        <v>#N/A</v>
      </c>
      <c r="D51" s="186"/>
      <c r="E51" s="186"/>
      <c r="F51" s="221"/>
      <c r="G51" s="191" t="s">
        <v>1006</v>
      </c>
    </row>
    <row r="52" spans="1:7" s="139" customFormat="1" ht="16.5" thickBot="1">
      <c r="A52" s="222" t="s">
        <v>1007</v>
      </c>
      <c r="B52" s="223"/>
      <c r="C52" s="224" t="e">
        <f ca="1">C31+C51</f>
        <v>#N/A</v>
      </c>
      <c r="D52" s="223"/>
      <c r="E52" s="223"/>
      <c r="F52" s="223"/>
      <c r="G52" s="225"/>
    </row>
    <row r="55" spans="1:7" ht="15">
      <c r="B55" s="226" t="s">
        <v>1008</v>
      </c>
      <c r="C55" s="227"/>
    </row>
    <row r="56" spans="1:7">
      <c r="B56" s="228" t="s">
        <v>1009</v>
      </c>
      <c r="C56" s="230" t="e">
        <f ca="1">1-C57</f>
        <v>#N/A</v>
      </c>
    </row>
    <row r="57" spans="1:7">
      <c r="B57" s="228" t="s">
        <v>1010</v>
      </c>
      <c r="C57" s="229" t="e">
        <f ca="1">ROUND(C51/C52,3)</f>
        <v>#N/A</v>
      </c>
    </row>
  </sheetData>
  <sheetProtection password="CEE9" sheet="1" objects="1" scenarios="1" formatCells="0"/>
  <mergeCells count="1">
    <mergeCell ref="G42:G44"/>
  </mergeCells>
  <phoneticPr fontId="210" type="noConversion"/>
  <dataValidations count="6">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80" zoomScaleNormal="70" workbookViewId="0">
      <selection activeCell="I40" sqref="I4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1109</v>
      </c>
      <c r="B1" s="1129"/>
      <c r="C1" s="1758" t="s">
        <v>462</v>
      </c>
      <c r="D1" s="1759" t="s">
        <v>124</v>
      </c>
      <c r="E1" s="1760" t="s">
        <v>1110</v>
      </c>
      <c r="F1" s="1761">
        <f ca="1">J53</f>
        <v>32.5</v>
      </c>
      <c r="G1" s="1762">
        <f>MATCH(C1,'数据-取费表'!A6:A16,0)+5</f>
        <v>6</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1111</v>
      </c>
      <c r="B2" s="1764">
        <f ca="1">C40+J29+L46</f>
        <v>913</v>
      </c>
      <c r="C2" s="1765" t="s">
        <v>1112</v>
      </c>
      <c r="D2" s="1765"/>
      <c r="E2" s="1767"/>
      <c r="F2" s="1768"/>
      <c r="G2" s="1769"/>
      <c r="H2" s="1770"/>
      <c r="I2" s="1770"/>
      <c r="J2" s="1770"/>
      <c r="K2" s="1928"/>
      <c r="L2" s="1770"/>
      <c r="M2" s="1770"/>
    </row>
    <row r="3" spans="1:37" ht="18" customHeight="1">
      <c r="A3" s="1771" t="s">
        <v>1113</v>
      </c>
      <c r="B3" s="1772">
        <f ca="1">IF(ISERROR(B2*10000/F43),0,ROUND(B2*10000/F43,0))</f>
        <v>10833</v>
      </c>
      <c r="C3" s="1765" t="s">
        <v>1114</v>
      </c>
      <c r="D3" s="1765"/>
      <c r="E3" s="1767"/>
      <c r="F3" s="1768"/>
      <c r="G3" s="1769"/>
      <c r="H3" s="1773" t="s">
        <v>1115</v>
      </c>
      <c r="I3" s="1929"/>
      <c r="J3" s="1929"/>
      <c r="K3" s="1930"/>
      <c r="L3" s="1929"/>
      <c r="M3" s="1929"/>
    </row>
    <row r="4" spans="1:37" ht="18" customHeight="1">
      <c r="A4" s="1774" t="s">
        <v>1116</v>
      </c>
      <c r="B4" s="1775" t="s">
        <v>1117</v>
      </c>
      <c r="C4" s="1775" t="s">
        <v>1118</v>
      </c>
      <c r="D4" s="1775" t="s">
        <v>1119</v>
      </c>
      <c r="E4" s="1776" t="s">
        <v>1120</v>
      </c>
      <c r="F4" s="1777"/>
      <c r="G4" s="773"/>
      <c r="H4" s="1774" t="s">
        <v>1116</v>
      </c>
      <c r="I4" s="1775" t="s">
        <v>1117</v>
      </c>
      <c r="J4" s="1775" t="s">
        <v>1118</v>
      </c>
      <c r="K4" s="1775" t="s">
        <v>1119</v>
      </c>
      <c r="L4" s="1776" t="s">
        <v>1120</v>
      </c>
      <c r="M4" s="1777"/>
    </row>
    <row r="5" spans="1:37" ht="18" customHeight="1">
      <c r="A5" s="1778">
        <v>1</v>
      </c>
      <c r="B5" s="1779" t="s">
        <v>1121</v>
      </c>
      <c r="C5" s="1780">
        <f ca="1">C6+C10+C12</f>
        <v>64</v>
      </c>
      <c r="D5" s="1781" t="s">
        <v>1122</v>
      </c>
      <c r="E5" s="1782"/>
      <c r="F5" s="1783"/>
      <c r="G5" s="773"/>
      <c r="H5" s="1778">
        <v>1</v>
      </c>
      <c r="I5" s="1779" t="s">
        <v>1121</v>
      </c>
      <c r="J5" s="1780">
        <f ca="1">J6+J10+J12</f>
        <v>0</v>
      </c>
      <c r="K5" s="1781" t="s">
        <v>1122</v>
      </c>
      <c r="L5" s="1782"/>
      <c r="M5" s="1783"/>
    </row>
    <row r="6" spans="1:37" ht="18" customHeight="1">
      <c r="A6" s="1784" t="s">
        <v>822</v>
      </c>
      <c r="B6" s="3468" t="s">
        <v>1123</v>
      </c>
      <c r="C6" s="1785">
        <f ca="1">ROUND(F6*F8*F7*(1-F9)/10000,0)</f>
        <v>64</v>
      </c>
      <c r="D6" s="1786" t="s">
        <v>1124</v>
      </c>
      <c r="E6" s="1787" t="s">
        <v>1125</v>
      </c>
      <c r="F6" s="1788">
        <f ca="1">INDIRECT("'数据-取费表'!u"&amp;$G$1)</f>
        <v>2.2999999999999998</v>
      </c>
      <c r="G6" s="773"/>
      <c r="H6" s="1784" t="s">
        <v>822</v>
      </c>
      <c r="I6" s="3468" t="s">
        <v>1123</v>
      </c>
      <c r="J6" s="1859">
        <f ca="1">ROUND(M6*M8*M7*(1-M9)/10000,0)</f>
        <v>0</v>
      </c>
      <c r="K6" s="1786" t="s">
        <v>1126</v>
      </c>
      <c r="L6" s="1787" t="s">
        <v>1125</v>
      </c>
      <c r="M6" s="1788">
        <f ca="1">INDIRECT("'数据-取费表'!z"&amp;$G$1)</f>
        <v>0</v>
      </c>
    </row>
    <row r="7" spans="1:37" ht="18" customHeight="1">
      <c r="A7" s="1789"/>
      <c r="B7" s="3469"/>
      <c r="C7" s="1790"/>
      <c r="D7" s="1791"/>
      <c r="E7" s="1792" t="s">
        <v>1127</v>
      </c>
      <c r="F7" s="1788">
        <f ca="1">IF(INDIRECT("'数据-取费表'!ah"&amp;$G$1)="",INDIRECT("'数据-取费表'!k"&amp;$G$1),INDIRECT("'数据-取费表'!ah"&amp;$G$1))</f>
        <v>842.81</v>
      </c>
      <c r="G7" s="773"/>
      <c r="H7" s="1793"/>
      <c r="I7" s="3469"/>
      <c r="J7" s="1794"/>
      <c r="K7" s="1791"/>
      <c r="L7" s="1787" t="s">
        <v>1127</v>
      </c>
      <c r="M7" s="1788">
        <f ca="1">F7</f>
        <v>842.81</v>
      </c>
    </row>
    <row r="8" spans="1:37" ht="18" customHeight="1">
      <c r="A8" s="1793"/>
      <c r="B8" s="3469"/>
      <c r="C8" s="1794"/>
      <c r="D8" s="1791"/>
      <c r="E8" s="1787" t="s">
        <v>1128</v>
      </c>
      <c r="F8" s="1788">
        <f ca="1">INDIRECT("'数据-取费表'!ai"&amp;$G$1)</f>
        <v>365</v>
      </c>
      <c r="G8" s="773"/>
      <c r="H8" s="1793"/>
      <c r="I8" s="3469"/>
      <c r="J8" s="1794"/>
      <c r="K8" s="1791"/>
      <c r="L8" s="1787" t="s">
        <v>1128</v>
      </c>
      <c r="M8" s="1788">
        <f ca="1">INDIRECT("'数据-取费表'!ai"&amp;$G$1)</f>
        <v>365</v>
      </c>
    </row>
    <row r="9" spans="1:37" ht="18" customHeight="1">
      <c r="A9" s="1793"/>
      <c r="B9" s="3470"/>
      <c r="C9" s="1794"/>
      <c r="D9" s="1791"/>
      <c r="E9" s="1787" t="s">
        <v>1129</v>
      </c>
      <c r="F9" s="1795">
        <f ca="1">INDIRECT("'数据-取费表'!w"&amp;$G$1)</f>
        <v>0.1</v>
      </c>
      <c r="G9" s="773"/>
      <c r="H9" s="1793"/>
      <c r="I9" s="3470"/>
      <c r="J9" s="1794"/>
      <c r="K9" s="1791"/>
      <c r="L9" s="1798" t="s">
        <v>1129</v>
      </c>
      <c r="M9" s="1803">
        <f ca="1">INDIRECT("'数据-取费表'!ab"&amp;$G$1)</f>
        <v>0</v>
      </c>
    </row>
    <row r="10" spans="1:37" ht="18" customHeight="1">
      <c r="A10" s="1784" t="s">
        <v>826</v>
      </c>
      <c r="B10" s="1796" t="s">
        <v>1130</v>
      </c>
      <c r="C10" s="292">
        <f ca="1">ROUND(IF(F10="押一",C6/12*F11,IF(F10="押二",C6/12*2*F11,IF(F10="押三",C6/12*3*F11,C11*F11))),0)</f>
        <v>0</v>
      </c>
      <c r="D10" s="1797" t="s">
        <v>1131</v>
      </c>
      <c r="E10" s="1798" t="s">
        <v>1132</v>
      </c>
      <c r="F10" s="1799" t="s">
        <v>1133</v>
      </c>
      <c r="G10" s="773"/>
      <c r="H10" s="1784" t="s">
        <v>826</v>
      </c>
      <c r="I10" s="1796" t="s">
        <v>1130</v>
      </c>
      <c r="J10" s="1859">
        <f ca="1">ROUND(IF(M10="押一",J6/12*M11,IF(M10="押二",J6/12*2*M11,IF(M10="押三",J6/12*3*M11,J11*M11))),0)</f>
        <v>0</v>
      </c>
      <c r="K10" s="1797" t="s">
        <v>1131</v>
      </c>
      <c r="L10" s="1798" t="s">
        <v>1132</v>
      </c>
      <c r="M10" s="1799" t="s">
        <v>1134</v>
      </c>
    </row>
    <row r="11" spans="1:37" ht="18" customHeight="1">
      <c r="A11" s="1800"/>
      <c r="B11" s="1801" t="s">
        <v>1135</v>
      </c>
      <c r="C11" s="1802"/>
      <c r="D11" s="2144"/>
      <c r="E11" s="1798" t="s">
        <v>1136</v>
      </c>
      <c r="F11" s="1803">
        <f ca="1">'数据-取费表'!B39</f>
        <v>1.4999999999999999E-2</v>
      </c>
      <c r="G11" s="773"/>
      <c r="H11" s="1804"/>
      <c r="I11" s="1801" t="s">
        <v>1135</v>
      </c>
      <c r="J11" s="1802"/>
      <c r="K11" s="1933"/>
      <c r="L11" s="1798" t="s">
        <v>1136</v>
      </c>
      <c r="M11" s="1934">
        <f ca="1">'数据-取费表'!B39</f>
        <v>1.4999999999999999E-2</v>
      </c>
    </row>
    <row r="12" spans="1:37" ht="18" customHeight="1">
      <c r="A12" s="1805" t="s">
        <v>872</v>
      </c>
      <c r="B12" s="1806" t="s">
        <v>1137</v>
      </c>
      <c r="C12" s="1807"/>
      <c r="D12" s="1808"/>
      <c r="E12" s="1809"/>
      <c r="F12" s="1810"/>
      <c r="G12" s="773"/>
      <c r="H12" s="1805" t="s">
        <v>872</v>
      </c>
      <c r="I12" s="1806" t="s">
        <v>1137</v>
      </c>
      <c r="J12" s="1807"/>
      <c r="K12" s="1935"/>
      <c r="L12" s="1809"/>
      <c r="M12" s="1936"/>
    </row>
    <row r="13" spans="1:37" ht="18" customHeight="1">
      <c r="A13" s="1811">
        <v>2</v>
      </c>
      <c r="B13" s="1812" t="s">
        <v>1138</v>
      </c>
      <c r="C13" s="1813">
        <f ca="1">ROUND(C29*F13,0)</f>
        <v>354</v>
      </c>
      <c r="D13" s="1814" t="s">
        <v>1139</v>
      </c>
      <c r="E13" s="1814" t="s">
        <v>1140</v>
      </c>
      <c r="F13" s="1815">
        <f ca="1">INDIRECT("'数据-取费表'!y"&amp;$G$1)</f>
        <v>0.88</v>
      </c>
      <c r="G13" s="773"/>
      <c r="H13" s="1811">
        <v>2</v>
      </c>
      <c r="I13" s="1812" t="s">
        <v>1138</v>
      </c>
      <c r="J13" s="1937">
        <f ca="1">ROUND(J14*J15,0)</f>
        <v>0</v>
      </c>
      <c r="K13" s="1837" t="s">
        <v>1139</v>
      </c>
      <c r="L13" s="1938"/>
      <c r="M13" s="1939"/>
    </row>
    <row r="14" spans="1:37" ht="18" customHeight="1">
      <c r="A14" s="1816" t="s">
        <v>845</v>
      </c>
      <c r="B14" s="1787" t="s">
        <v>1141</v>
      </c>
      <c r="C14" s="1817">
        <f ca="1">INDIRECT("'数据-取费表'!m"&amp;$G$1)+INDIRECT("'数据-取费表'!t"&amp;$G$1)</f>
        <v>295</v>
      </c>
      <c r="D14" s="1818" t="s">
        <v>1142</v>
      </c>
      <c r="E14" s="1819"/>
      <c r="F14" s="1820"/>
      <c r="G14" s="773"/>
      <c r="H14" s="1816" t="s">
        <v>822</v>
      </c>
      <c r="I14" s="1787" t="s">
        <v>1143</v>
      </c>
      <c r="J14" s="293">
        <f ca="1">C29</f>
        <v>402</v>
      </c>
      <c r="K14" s="1940"/>
      <c r="L14" s="1941"/>
      <c r="M14" s="1942"/>
    </row>
    <row r="15" spans="1:37" s="1755" customFormat="1" ht="18" customHeight="1">
      <c r="A15" s="1816" t="s">
        <v>849</v>
      </c>
      <c r="B15" s="1787" t="s">
        <v>1144</v>
      </c>
      <c r="C15" s="293">
        <f ca="1">ROUND(C14*F15,0)</f>
        <v>9</v>
      </c>
      <c r="D15" s="1821" t="s">
        <v>1145</v>
      </c>
      <c r="E15" s="1821" t="s">
        <v>1146</v>
      </c>
      <c r="F15" s="1822">
        <f>'数据-取费表'!B33</f>
        <v>0.03</v>
      </c>
      <c r="G15" s="1823"/>
      <c r="H15" s="1824" t="s">
        <v>826</v>
      </c>
      <c r="I15" s="1809" t="s">
        <v>1140</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852</v>
      </c>
      <c r="B16" s="1787" t="s">
        <v>1147</v>
      </c>
      <c r="C16" s="293">
        <f ca="1">ROUND(INDIRECT("'数据-取费表'!m"&amp;$G$1)*F16,0)</f>
        <v>0</v>
      </c>
      <c r="D16" s="1787" t="s">
        <v>1145</v>
      </c>
      <c r="E16" s="1787" t="s">
        <v>1146</v>
      </c>
      <c r="F16" s="1825">
        <f ca="1">IF(INDIRECT("'数据-取费表'!c"&amp;$G$1)="住宅",'数据-取费表'!B34,0)</f>
        <v>0</v>
      </c>
      <c r="G16" s="773"/>
      <c r="H16" s="1811" t="s">
        <v>1148</v>
      </c>
      <c r="I16" s="1812" t="s">
        <v>1149</v>
      </c>
      <c r="J16" s="1813">
        <f ca="1">ROUND(J17+J22+J23+J24,0)</f>
        <v>7</v>
      </c>
      <c r="K16" s="1837" t="s">
        <v>1150</v>
      </c>
      <c r="L16" s="1838"/>
      <c r="M16" s="1783"/>
    </row>
    <row r="17" spans="1:37" s="1755" customFormat="1" ht="18" customHeight="1">
      <c r="A17" s="1816" t="s">
        <v>1151</v>
      </c>
      <c r="B17" s="1787" t="s">
        <v>1152</v>
      </c>
      <c r="C17" s="293">
        <f ca="1">ROUND(F17*(F43+INDIRECT("'数据-取费表'!S"&amp;$G$1))/10000,0)</f>
        <v>17</v>
      </c>
      <c r="D17" s="1787" t="s">
        <v>1153</v>
      </c>
      <c r="E17" s="1787" t="s">
        <v>1154</v>
      </c>
      <c r="F17" s="1826">
        <f>'数据-取费表'!B35</f>
        <v>200</v>
      </c>
      <c r="G17" s="1823"/>
      <c r="H17" s="1816" t="s">
        <v>822</v>
      </c>
      <c r="I17" s="1787" t="s">
        <v>1155</v>
      </c>
      <c r="J17" s="1840">
        <f ca="1">ROUND(IF(AND(项目基本情况!B11="自然人",项目基本情况!B10="北京市"),J6*M17/(1+'数据-取费表'!C42),J18+J19+J20),0)</f>
        <v>3</v>
      </c>
      <c r="K17" s="1818" t="s">
        <v>1156</v>
      </c>
      <c r="L17" s="1841" t="s">
        <v>1157</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1158</v>
      </c>
      <c r="B18" s="1787" t="s">
        <v>1159</v>
      </c>
      <c r="C18" s="293">
        <f ca="1">ROUND(C14*F18,0)</f>
        <v>4</v>
      </c>
      <c r="D18" s="1787" t="s">
        <v>1145</v>
      </c>
      <c r="E18" s="1787" t="s">
        <v>1146</v>
      </c>
      <c r="F18" s="1825">
        <f>'数据-取费表'!B36</f>
        <v>1.4999999999999999E-2</v>
      </c>
      <c r="G18" s="1823"/>
      <c r="H18" s="1816" t="s">
        <v>845</v>
      </c>
      <c r="I18" s="1787" t="s">
        <v>1160</v>
      </c>
      <c r="J18" s="293">
        <f ca="1">ROUND(J6*M18/(1+'数据-取费表'!C42),2)</f>
        <v>0</v>
      </c>
      <c r="K18" s="1841" t="s">
        <v>1161</v>
      </c>
      <c r="L18" s="1787" t="s">
        <v>1146</v>
      </c>
      <c r="M18" s="1825">
        <f>'数据-取费表'!B41</f>
        <v>5.5000000000000007E-2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822</v>
      </c>
      <c r="B19" s="1787" t="s">
        <v>1162</v>
      </c>
      <c r="C19" s="293">
        <f ca="1">SUM(C14:C18)</f>
        <v>325</v>
      </c>
      <c r="D19" s="1827" t="s">
        <v>1163</v>
      </c>
      <c r="E19" s="295"/>
      <c r="F19" s="1826"/>
      <c r="G19" s="773"/>
      <c r="H19" s="1816" t="s">
        <v>849</v>
      </c>
      <c r="I19" s="1787" t="s">
        <v>1164</v>
      </c>
      <c r="J19" s="293">
        <f ca="1">IF(K19="按租金收入计税",ROUND(J6*M19/(1+'数据-取费表'!C42),2),ROUND(C29*M19*0.7,2))</f>
        <v>3.38</v>
      </c>
      <c r="K19" s="1844" t="s">
        <v>1165</v>
      </c>
      <c r="L19" s="1787" t="s">
        <v>1146</v>
      </c>
      <c r="M19" s="1825">
        <f>IF(K19="按租金收入计税",'数据-取费表'!B51,'数据-取费表'!B50)</f>
        <v>1.2E-2</v>
      </c>
    </row>
    <row r="20" spans="1:37" s="1755" customFormat="1" ht="18" customHeight="1">
      <c r="A20" s="1816" t="s">
        <v>826</v>
      </c>
      <c r="B20" s="1787" t="s">
        <v>1166</v>
      </c>
      <c r="C20" s="293">
        <f ca="1">ROUND(C19*F20,0)</f>
        <v>7</v>
      </c>
      <c r="D20" s="1828" t="s">
        <v>1167</v>
      </c>
      <c r="E20" s="1787" t="s">
        <v>1146</v>
      </c>
      <c r="F20" s="1825">
        <f>'数据-取费表'!B37</f>
        <v>0.02</v>
      </c>
      <c r="G20" s="1823"/>
      <c r="H20" s="1816" t="s">
        <v>852</v>
      </c>
      <c r="I20" s="1786" t="s">
        <v>1168</v>
      </c>
      <c r="J20" s="1846">
        <f ca="1">ROUND(M20*M21/10000,2)</f>
        <v>0</v>
      </c>
      <c r="K20" s="1847" t="s">
        <v>1169</v>
      </c>
      <c r="L20" s="1787" t="s">
        <v>1170</v>
      </c>
      <c r="M20" s="1831">
        <f>'数据-取费表'!B52</f>
        <v>1.5</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872</v>
      </c>
      <c r="B21" s="1787" t="s">
        <v>1171</v>
      </c>
      <c r="C21" s="293" t="s">
        <v>124</v>
      </c>
      <c r="D21" s="1828" t="s">
        <v>1172</v>
      </c>
      <c r="E21" s="1787" t="s">
        <v>1173</v>
      </c>
      <c r="F21" s="1825">
        <f>'数据-取费表'!B38</f>
        <v>0.02</v>
      </c>
      <c r="G21" s="1823"/>
      <c r="H21" s="1829"/>
      <c r="I21" s="1946"/>
      <c r="J21" s="1850"/>
      <c r="K21" s="1851"/>
      <c r="L21" s="1787" t="s">
        <v>1174</v>
      </c>
      <c r="M21" s="1788">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875</v>
      </c>
      <c r="B22" s="1787" t="s">
        <v>1175</v>
      </c>
      <c r="C22" s="293"/>
      <c r="D22" s="1827" t="str">
        <f>IF(F23&lt;=1,"单利计息。","复利计息。")&amp;"建造成本、管理费用、销售费用产生的利息。"</f>
        <v>单利计息。建造成本、管理费用、销售费用产生的利息。</v>
      </c>
      <c r="E22" s="295"/>
      <c r="F22" s="1826"/>
      <c r="G22" s="773"/>
      <c r="H22" s="1816" t="s">
        <v>826</v>
      </c>
      <c r="I22" s="1787" t="s">
        <v>1176</v>
      </c>
      <c r="J22" s="293">
        <f ca="1">ROUND(J14*M22,1)</f>
        <v>4</v>
      </c>
      <c r="K22" s="1841" t="s">
        <v>1177</v>
      </c>
      <c r="L22" s="1787" t="s">
        <v>1146</v>
      </c>
      <c r="M22" s="1853">
        <f ca="1">INDIRECT("'数据-取费表'!Ak"&amp;$G$1)</f>
        <v>0.01</v>
      </c>
    </row>
    <row r="23" spans="1:37" s="1755" customFormat="1" ht="18" customHeight="1">
      <c r="A23" s="1816" t="s">
        <v>845</v>
      </c>
      <c r="B23" s="1787" t="s">
        <v>1178</v>
      </c>
      <c r="C23" s="293">
        <f ca="1">IF('数据-取费表'!B22&lt;=1,ROUND(C19*F24*F23/2,0)+ROUND(C20*F24*F23/2,0),ROUND(C19*(POWER((1+F24),F23/2)-1),0)+ROUND(C20*(POWER((1+F24),F23/2)-1),0))</f>
        <v>7</v>
      </c>
      <c r="D23" s="1830" t="str">
        <f>IF(F23&lt;=1,"(建造成本+管理费用)×利率×(建设周期÷2)","(建造成本+管理费用)×((1+利率)^(建设周期÷2)-1)")</f>
        <v>(建造成本+管理费用)×利率×(建设周期÷2)</v>
      </c>
      <c r="E23" s="1787" t="s">
        <v>1179</v>
      </c>
      <c r="F23" s="1831">
        <f>'数据-取费表'!B20</f>
        <v>1</v>
      </c>
      <c r="G23" s="1823"/>
      <c r="H23" s="1816" t="s">
        <v>872</v>
      </c>
      <c r="I23" s="1787" t="s">
        <v>1180</v>
      </c>
      <c r="J23" s="293">
        <f ca="1">ROUND(J13*M23,1)</f>
        <v>0</v>
      </c>
      <c r="K23" s="1841" t="s">
        <v>1181</v>
      </c>
      <c r="L23" s="1787" t="s">
        <v>1146</v>
      </c>
      <c r="M23" s="1854">
        <f ca="1">INDIRECT("'数据-取费表'!Al"&amp;$G$1)</f>
        <v>1E-3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849</v>
      </c>
      <c r="B24" s="1787" t="s">
        <v>1182</v>
      </c>
      <c r="C24" s="293">
        <f ca="1">ROUND(IF('数据-取费表'!B22&lt;=1,F21*F24*F23/2,F21*(POWER((1+F24),F23/2)-1)),4)</f>
        <v>4.0000000000000002E-4</v>
      </c>
      <c r="D24" s="1830" t="str">
        <f>IF(F23&lt;=1,"销售费用×利率×(建设周期÷2)","销售费用×((1+利率)^(建设周期÷2)-1)")</f>
        <v>销售费用×利率×(建设周期÷2)</v>
      </c>
      <c r="E24" s="1787" t="s">
        <v>1183</v>
      </c>
      <c r="F24" s="1832">
        <f ca="1">'数据-取费表'!B40</f>
        <v>4.2000000000000003E-2</v>
      </c>
      <c r="G24" s="1823"/>
      <c r="H24" s="1824" t="s">
        <v>875</v>
      </c>
      <c r="I24" s="1809" t="s">
        <v>1166</v>
      </c>
      <c r="J24" s="1833">
        <f ca="1">ROUND(J5*M24,1)</f>
        <v>0</v>
      </c>
      <c r="K24" s="1834" t="s">
        <v>1184</v>
      </c>
      <c r="L24" s="1809" t="s">
        <v>1146</v>
      </c>
      <c r="M24" s="1810">
        <f ca="1">INDIRECT("'数据-取费表'!Am"&amp;$G$1)</f>
        <v>0.01</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879</v>
      </c>
      <c r="B25" s="1787" t="s">
        <v>1185</v>
      </c>
      <c r="C25" s="293"/>
      <c r="D25" s="1827" t="s">
        <v>1186</v>
      </c>
      <c r="E25" s="295"/>
      <c r="F25" s="1826"/>
      <c r="G25" s="773"/>
      <c r="H25" s="1811" t="s">
        <v>1187</v>
      </c>
      <c r="I25" s="1855" t="s">
        <v>1188</v>
      </c>
      <c r="J25" s="1813">
        <f ca="1">J5-J16</f>
        <v>-7</v>
      </c>
      <c r="K25" s="1856" t="s">
        <v>1189</v>
      </c>
      <c r="L25" s="1857"/>
      <c r="M25" s="1858"/>
    </row>
    <row r="26" spans="1:37">
      <c r="A26" s="1816" t="s">
        <v>845</v>
      </c>
      <c r="B26" s="1787" t="s">
        <v>1190</v>
      </c>
      <c r="C26" s="293">
        <f ca="1">ROUND((C19+C20)*F26,0)</f>
        <v>33</v>
      </c>
      <c r="D26" s="1828" t="s">
        <v>1191</v>
      </c>
      <c r="E26" s="1798" t="s">
        <v>1192</v>
      </c>
      <c r="F26" s="1795">
        <f ca="1">INDIRECT("'数据-取费表'!q"&amp;$G$1)</f>
        <v>0.1</v>
      </c>
      <c r="G26" s="773"/>
      <c r="H26" s="1778" t="s">
        <v>1193</v>
      </c>
      <c r="I26" s="1779" t="s">
        <v>1194</v>
      </c>
      <c r="J26" s="1859">
        <f ca="1">IF(J5&lt;&gt;0,ROUND(J25*(1-((1+M28)/(1+M26))^M27)/(M26-M28),0),0)</f>
        <v>0</v>
      </c>
      <c r="K26" s="1847" t="s">
        <v>1195</v>
      </c>
      <c r="L26" s="1787" t="s">
        <v>1196</v>
      </c>
      <c r="M26" s="1795">
        <f ca="1">INDIRECT("'数据-取费表'!I"&amp;$G$1)</f>
        <v>5.5E-2</v>
      </c>
    </row>
    <row r="27" spans="1:37" ht="18" customHeight="1">
      <c r="A27" s="1816" t="s">
        <v>849</v>
      </c>
      <c r="B27" s="1787" t="s">
        <v>1197</v>
      </c>
      <c r="C27" s="293">
        <f ca="1">ROUND(F21*F26,4)</f>
        <v>2E-3</v>
      </c>
      <c r="D27" s="1828" t="s">
        <v>1198</v>
      </c>
      <c r="E27" s="1821"/>
      <c r="F27" s="1822"/>
      <c r="G27" s="773"/>
      <c r="H27" s="1793"/>
      <c r="I27" s="1861"/>
      <c r="J27" s="1794"/>
      <c r="K27" s="1862" t="s">
        <v>1199</v>
      </c>
      <c r="L27" s="1787" t="s">
        <v>1200</v>
      </c>
      <c r="M27" s="1863">
        <f ca="1">INDIRECT("'数据-取费表'!ag"&amp;$G$1)</f>
        <v>0</v>
      </c>
    </row>
    <row r="28" spans="1:37" s="1755" customFormat="1" ht="18" customHeight="1">
      <c r="A28" s="1816" t="s">
        <v>880</v>
      </c>
      <c r="B28" s="1787" t="s">
        <v>1201</v>
      </c>
      <c r="C28" s="293">
        <f>ROUND(F28/(1+'数据-取费表'!C42),4)</f>
        <v>5.2400000000000002E-2</v>
      </c>
      <c r="D28" s="1828" t="s">
        <v>1202</v>
      </c>
      <c r="E28" s="1787" t="s">
        <v>1146</v>
      </c>
      <c r="F28" s="1825">
        <f>'数据-取费表'!B41</f>
        <v>5.5000000000000007E-2</v>
      </c>
      <c r="G28" s="1823"/>
      <c r="H28" s="1800"/>
      <c r="I28" s="1865"/>
      <c r="J28" s="1813"/>
      <c r="K28" s="1851"/>
      <c r="L28" s="1787" t="s">
        <v>1203</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1204</v>
      </c>
      <c r="B29" s="1809" t="s">
        <v>1205</v>
      </c>
      <c r="C29" s="1833">
        <f ca="1">ROUND((C19+C20+C23+C26)/(1-F21-C24-C27-C28),0)</f>
        <v>402</v>
      </c>
      <c r="D29" s="1834"/>
      <c r="E29" s="1809"/>
      <c r="F29" s="1835"/>
      <c r="G29" s="1823"/>
      <c r="H29" s="1836" t="s">
        <v>1206</v>
      </c>
      <c r="I29" s="1866" t="s">
        <v>1207</v>
      </c>
      <c r="J29" s="1867">
        <f ca="1">ROUND(J26/(1+F40)^F41,0)</f>
        <v>0</v>
      </c>
      <c r="K29" s="1868" t="s">
        <v>1208</v>
      </c>
      <c r="L29" s="1869"/>
      <c r="M29" s="1870">
        <f ca="1">INDIRECT("'数据-取费表'!k"&amp;$G$1)</f>
        <v>842.81</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1148</v>
      </c>
      <c r="B30" s="1812" t="s">
        <v>1149</v>
      </c>
      <c r="C30" s="1813">
        <f ca="1">ROUND(C31+C36+C37+C38,0)</f>
        <v>16</v>
      </c>
      <c r="D30" s="1837" t="s">
        <v>1150</v>
      </c>
      <c r="E30" s="1838"/>
      <c r="F30" s="1783"/>
      <c r="G30" s="773"/>
      <c r="H30" s="1839"/>
      <c r="I30" s="1947"/>
      <c r="J30" s="1948"/>
      <c r="K30" s="1949"/>
      <c r="L30" s="1950"/>
      <c r="M30" s="1951"/>
    </row>
    <row r="31" spans="1:37" ht="18" customHeight="1">
      <c r="A31" s="1816" t="s">
        <v>822</v>
      </c>
      <c r="B31" s="1787" t="s">
        <v>1155</v>
      </c>
      <c r="C31" s="1840">
        <f ca="1">ROUND(IF(AND(项目基本情况!B11="自然人",项目基本情况!B10="北京市"),C6*F31/(1+'数据-取费表'!C42),C32+C33+C34),0)</f>
        <v>11</v>
      </c>
      <c r="D31" s="1818" t="s">
        <v>1156</v>
      </c>
      <c r="E31" s="1841" t="s">
        <v>1157</v>
      </c>
      <c r="F31" s="1842" t="str">
        <f>IF(项目基本情况!B11="企业","——",IF('数据-取费表'!B10="住宅",IF(F6*F7*F8/12/(1+'数据-取费表'!F30)&gt;100000,4%,2.5%),IF(F6*F7*F8/12/(1+'数据-取费表'!F30)&gt;100000,12%,7%)))</f>
        <v>——</v>
      </c>
      <c r="G31" s="773"/>
      <c r="H31" s="1843" t="s">
        <v>1209</v>
      </c>
      <c r="I31" s="1947"/>
      <c r="J31" s="1948"/>
      <c r="K31" s="1949"/>
      <c r="L31" s="1950"/>
      <c r="M31" s="1951"/>
    </row>
    <row r="32" spans="1:37" ht="18" customHeight="1">
      <c r="A32" s="1816" t="s">
        <v>845</v>
      </c>
      <c r="B32" s="1787" t="s">
        <v>1160</v>
      </c>
      <c r="C32" s="293">
        <f ca="1">IF(项目基本情况!B11="自然人","——",ROUND(C6*F32/(1+'数据-取费表'!C42),2))</f>
        <v>3.35</v>
      </c>
      <c r="D32" s="1841" t="s">
        <v>1161</v>
      </c>
      <c r="E32" s="1787" t="s">
        <v>1146</v>
      </c>
      <c r="F32" s="1832">
        <f>'数据-取费表'!B41</f>
        <v>5.5000000000000007E-2</v>
      </c>
      <c r="G32" s="773"/>
      <c r="H32" s="1839"/>
      <c r="I32" s="1947"/>
      <c r="J32" s="1948"/>
      <c r="K32" s="1949"/>
      <c r="L32" s="1950"/>
      <c r="M32" s="1951"/>
    </row>
    <row r="33" spans="1:18" ht="18" customHeight="1">
      <c r="A33" s="1816" t="s">
        <v>849</v>
      </c>
      <c r="B33" s="1787" t="s">
        <v>1164</v>
      </c>
      <c r="C33" s="293">
        <f ca="1">IF(项目基本情况!B11="自然人","——",IF(D33="按租金收入计税",ROUND(C6*F33/(1+'数据-取费表'!C42),2),IF(D33="按房产原值计税",ROUND(C29*F33*0.7,2),INDIRECT("'数据-取费表'!Aj"&amp;$G$1))))</f>
        <v>7.31</v>
      </c>
      <c r="D33" s="1844" t="s">
        <v>1210</v>
      </c>
      <c r="E33" s="1787" t="s">
        <v>1146</v>
      </c>
      <c r="F33" s="1825">
        <f>IF(D33="按票据","——",IF(D33="按租金收入计税",'数据-取费表'!B51,'数据-取费表'!B50))</f>
        <v>0.12</v>
      </c>
      <c r="G33" s="773"/>
      <c r="H33" s="1845"/>
      <c r="I33" s="1947"/>
      <c r="J33" s="1948"/>
      <c r="K33" s="1952"/>
      <c r="L33" s="1845"/>
      <c r="M33" s="1845"/>
    </row>
    <row r="34" spans="1:18" ht="18" customHeight="1">
      <c r="A34" s="1784" t="s">
        <v>852</v>
      </c>
      <c r="B34" s="1786" t="s">
        <v>1168</v>
      </c>
      <c r="C34" s="1846">
        <f ca="1">IF(项目基本情况!B11="自然人","——",ROUND(F34*F35/10000,2))</f>
        <v>0</v>
      </c>
      <c r="D34" s="1847" t="s">
        <v>1169</v>
      </c>
      <c r="E34" s="1787" t="s">
        <v>1170</v>
      </c>
      <c r="F34" s="1831">
        <f>'数据-取费表'!B52</f>
        <v>1.5</v>
      </c>
      <c r="G34" s="773"/>
      <c r="H34" s="1839"/>
      <c r="I34" s="1947"/>
      <c r="J34" s="1948"/>
      <c r="K34" s="1953"/>
      <c r="L34" s="1954"/>
      <c r="M34" s="1954"/>
    </row>
    <row r="35" spans="1:18" ht="18" customHeight="1">
      <c r="A35" s="1848"/>
      <c r="B35" s="1849"/>
      <c r="C35" s="1850"/>
      <c r="D35" s="1851"/>
      <c r="E35" s="1787" t="s">
        <v>1174</v>
      </c>
      <c r="F35" s="1788">
        <f ca="1">INDIRECT("'数据-取费表'!r"&amp;$G$1)</f>
        <v>0</v>
      </c>
      <c r="G35" s="773"/>
      <c r="H35" s="1839"/>
      <c r="I35" s="1947"/>
      <c r="J35" s="1948"/>
      <c r="K35" s="1952"/>
      <c r="L35" s="1845"/>
      <c r="M35" s="1845"/>
    </row>
    <row r="36" spans="1:18" ht="18" customHeight="1">
      <c r="A36" s="1852" t="s">
        <v>826</v>
      </c>
      <c r="B36" s="1787" t="s">
        <v>1176</v>
      </c>
      <c r="C36" s="293">
        <f ca="1">ROUND(C29*F36,1)</f>
        <v>4</v>
      </c>
      <c r="D36" s="1841" t="s">
        <v>1211</v>
      </c>
      <c r="E36" s="1787" t="s">
        <v>1146</v>
      </c>
      <c r="F36" s="1853">
        <f ca="1">INDIRECT("'数据-取费表'!Ak"&amp;$G$1)</f>
        <v>0.01</v>
      </c>
      <c r="G36" s="773"/>
      <c r="H36" s="1845"/>
      <c r="I36" s="1947"/>
      <c r="J36" s="1948"/>
      <c r="K36" s="1955"/>
      <c r="L36" s="1845"/>
      <c r="M36" s="1845"/>
    </row>
    <row r="37" spans="1:18" ht="18" customHeight="1">
      <c r="A37" s="1816" t="s">
        <v>872</v>
      </c>
      <c r="B37" s="1787" t="s">
        <v>1180</v>
      </c>
      <c r="C37" s="293">
        <f ca="1">ROUND(C13*F37,1)</f>
        <v>0.4</v>
      </c>
      <c r="D37" s="1841" t="s">
        <v>1181</v>
      </c>
      <c r="E37" s="1787" t="s">
        <v>1146</v>
      </c>
      <c r="F37" s="1854">
        <f ca="1">INDIRECT("'数据-取费表'!Al"&amp;$G$1)</f>
        <v>1E-3</v>
      </c>
      <c r="G37" s="773"/>
      <c r="H37" s="1845"/>
      <c r="I37" s="1947"/>
      <c r="J37" s="1948"/>
      <c r="K37" s="1955"/>
      <c r="L37" s="1845"/>
      <c r="M37" s="1845"/>
    </row>
    <row r="38" spans="1:18" ht="18" customHeight="1">
      <c r="A38" s="1824" t="s">
        <v>875</v>
      </c>
      <c r="B38" s="1809" t="s">
        <v>1166</v>
      </c>
      <c r="C38" s="1833">
        <f ca="1">ROUND(C5*F38,1)</f>
        <v>0.6</v>
      </c>
      <c r="D38" s="1834" t="s">
        <v>1184</v>
      </c>
      <c r="E38" s="1809" t="s">
        <v>1146</v>
      </c>
      <c r="F38" s="1810">
        <f ca="1">INDIRECT("'数据-取费表'!Am"&amp;$G$1)</f>
        <v>0.01</v>
      </c>
      <c r="G38" s="773"/>
      <c r="H38" s="1845"/>
      <c r="I38" s="1947"/>
      <c r="J38" s="1948"/>
      <c r="K38" s="1956"/>
      <c r="L38" s="1845"/>
      <c r="M38" s="1845"/>
    </row>
    <row r="39" spans="1:18" ht="24.6" customHeight="1">
      <c r="A39" s="1811" t="s">
        <v>1187</v>
      </c>
      <c r="B39" s="1855" t="s">
        <v>1188</v>
      </c>
      <c r="C39" s="1813">
        <f ca="1">C5-C30</f>
        <v>48</v>
      </c>
      <c r="D39" s="1856" t="s">
        <v>1189</v>
      </c>
      <c r="E39" s="1857"/>
      <c r="F39" s="1858"/>
      <c r="G39" s="773"/>
      <c r="H39" s="1845"/>
      <c r="I39" s="1947"/>
      <c r="J39" s="1948"/>
      <c r="K39" s="1956"/>
      <c r="L39" s="1845"/>
      <c r="M39" s="1845"/>
    </row>
    <row r="40" spans="1:18" ht="18" customHeight="1">
      <c r="A40" s="1778" t="s">
        <v>1193</v>
      </c>
      <c r="B40" s="1779" t="s">
        <v>1212</v>
      </c>
      <c r="C40" s="1859">
        <f ca="1">ROUND(C39*(1-((1+F42)/(1+F40))^F41)/(F40-F42),0)</f>
        <v>913</v>
      </c>
      <c r="D40" s="1847" t="s">
        <v>1195</v>
      </c>
      <c r="E40" s="1787" t="s">
        <v>1196</v>
      </c>
      <c r="F40" s="1795">
        <f ca="1">INDIRECT("'数据-取费表'!I"&amp;$G$1)</f>
        <v>5.5E-2</v>
      </c>
      <c r="G40" s="773"/>
      <c r="H40" s="1860"/>
      <c r="I40" s="1947"/>
      <c r="J40" s="1948"/>
      <c r="K40" s="1956"/>
      <c r="L40" s="1860"/>
      <c r="M40" s="1860"/>
    </row>
    <row r="41" spans="1:18" ht="18" customHeight="1">
      <c r="A41" s="1793"/>
      <c r="B41" s="1861"/>
      <c r="C41" s="1794"/>
      <c r="D41" s="1862" t="s">
        <v>1199</v>
      </c>
      <c r="E41" s="1787" t="s">
        <v>1200</v>
      </c>
      <c r="F41" s="1863">
        <f ca="1">IF(INDIRECT("'数据-取费表'!af"&amp;$G$1)=0,INDIRECT("'数据-取费表'!ae"&amp;$G$1),INDIRECT("'数据-取费表'!af"&amp;$G$1))</f>
        <v>32.5</v>
      </c>
      <c r="G41" s="773"/>
      <c r="H41" s="1864"/>
      <c r="I41" s="1947"/>
      <c r="J41" s="1948"/>
      <c r="K41" s="1955"/>
      <c r="L41" s="1864"/>
      <c r="M41" s="1864"/>
    </row>
    <row r="42" spans="1:18" ht="18" customHeight="1">
      <c r="A42" s="1800"/>
      <c r="B42" s="1865"/>
      <c r="C42" s="1813"/>
      <c r="D42" s="1851"/>
      <c r="E42" s="1787" t="s">
        <v>1203</v>
      </c>
      <c r="F42" s="1795">
        <f ca="1">INDIRECT("'数据-取费表'!v"&amp;$G$1)</f>
        <v>0.02</v>
      </c>
      <c r="G42" s="773"/>
      <c r="H42" s="1864"/>
      <c r="I42" s="1947"/>
      <c r="J42" s="1948"/>
      <c r="K42" s="1955"/>
      <c r="L42" s="1864"/>
      <c r="M42" s="1864"/>
    </row>
    <row r="43" spans="1:18" ht="18" customHeight="1">
      <c r="A43" s="1836" t="s">
        <v>1206</v>
      </c>
      <c r="B43" s="1866" t="s">
        <v>1213</v>
      </c>
      <c r="C43" s="1867">
        <f ca="1">ROUND(C40*10000/F43,0)</f>
        <v>10833</v>
      </c>
      <c r="D43" s="1868" t="s">
        <v>1214</v>
      </c>
      <c r="E43" s="1869" t="s">
        <v>1215</v>
      </c>
      <c r="F43" s="1870">
        <f ca="1">INDIRECT("'数据-取费表'!k"&amp;$G$1)</f>
        <v>842.81</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1216</v>
      </c>
      <c r="P45" s="1860"/>
      <c r="Q45" s="1860"/>
      <c r="R45" s="1860"/>
    </row>
    <row r="46" spans="1:18" s="773" customFormat="1">
      <c r="A46" s="1875" t="s">
        <v>1217</v>
      </c>
      <c r="C46" s="1876">
        <f ca="1">C68-C40</f>
        <v>-1483</v>
      </c>
      <c r="D46" s="1877" t="str">
        <f>C2</f>
        <v>万元</v>
      </c>
      <c r="E46" s="1871"/>
      <c r="F46" s="1871"/>
      <c r="I46" s="1959" t="s">
        <v>1218</v>
      </c>
      <c r="J46" s="1960"/>
      <c r="K46" s="1961"/>
      <c r="L46" s="1962" t="str">
        <f ca="1">IF(M47="住宅",0,IF(L48&gt;J51,L60,J60))</f>
        <v>0</v>
      </c>
      <c r="O46" s="1963" t="s">
        <v>1219</v>
      </c>
      <c r="P46" s="1964" t="s">
        <v>1220</v>
      </c>
      <c r="Q46" s="2008" t="s">
        <v>1221</v>
      </c>
      <c r="R46" s="2008" t="s">
        <v>1222</v>
      </c>
    </row>
    <row r="47" spans="1:18" s="773" customFormat="1">
      <c r="A47" s="1878" t="s">
        <v>1116</v>
      </c>
      <c r="B47" s="1879" t="s">
        <v>1117</v>
      </c>
      <c r="C47" s="2145" t="s">
        <v>1118</v>
      </c>
      <c r="D47" s="1879" t="s">
        <v>1119</v>
      </c>
      <c r="E47" s="1880" t="s">
        <v>1120</v>
      </c>
      <c r="F47" s="286"/>
      <c r="G47" s="1881"/>
      <c r="I47" s="1965" t="s">
        <v>1223</v>
      </c>
      <c r="J47" s="1966" t="s">
        <v>1224</v>
      </c>
      <c r="K47" s="1967" t="s">
        <v>1225</v>
      </c>
      <c r="L47" s="1968">
        <f ca="1">INDIRECT("'数据-取费表'!d"&amp;$G$1)</f>
        <v>50</v>
      </c>
      <c r="M47" s="1969" t="str">
        <f>IF(ISNUMBER(FIND("住宅",C1)),"住宅","非住宅")</f>
        <v>非住宅</v>
      </c>
      <c r="O47" s="1970" t="s">
        <v>928</v>
      </c>
      <c r="P47" s="1971" t="s">
        <v>1226</v>
      </c>
      <c r="Q47" s="2009">
        <f ca="1">C40+J29</f>
        <v>913</v>
      </c>
      <c r="R47" s="2009" t="s">
        <v>1227</v>
      </c>
    </row>
    <row r="48" spans="1:18" s="773" customFormat="1" ht="27.75">
      <c r="A48" s="1882" t="s">
        <v>1228</v>
      </c>
      <c r="B48" s="1779" t="s">
        <v>1121</v>
      </c>
      <c r="C48" s="294">
        <f ca="1">C49+C53+C55</f>
        <v>0</v>
      </c>
      <c r="D48" s="1883"/>
      <c r="E48" s="1884"/>
      <c r="F48" s="1885"/>
      <c r="G48" s="1881"/>
      <c r="H48" s="1886"/>
      <c r="I48" s="834" t="s">
        <v>1229</v>
      </c>
      <c r="J48" s="1972" t="s">
        <v>1230</v>
      </c>
      <c r="K48" s="1973" t="s">
        <v>1231</v>
      </c>
      <c r="L48" s="1974">
        <f ca="1">INDIRECT("'数据-取费表'!f"&amp;$G$1)</f>
        <v>32.5</v>
      </c>
      <c r="O48" s="1970" t="s">
        <v>932</v>
      </c>
      <c r="P48" s="1971" t="s">
        <v>1232</v>
      </c>
      <c r="Q48" s="2009" t="str">
        <f ca="1">J60</f>
        <v>0</v>
      </c>
      <c r="R48" s="2009" t="s">
        <v>1233</v>
      </c>
    </row>
    <row r="49" spans="1:18" s="773" customFormat="1">
      <c r="A49" s="1887" t="s">
        <v>1234</v>
      </c>
      <c r="B49" s="1888" t="s">
        <v>1235</v>
      </c>
      <c r="C49" s="1889">
        <f ca="1">ROUND(F49*F51*F50*(1-F52)/10000,0)</f>
        <v>0</v>
      </c>
      <c r="D49" s="1890" t="s">
        <v>1126</v>
      </c>
      <c r="E49" s="1891" t="s">
        <v>1236</v>
      </c>
      <c r="F49" s="1892"/>
      <c r="G49" s="1893"/>
      <c r="H49" s="1886"/>
      <c r="I49" s="834" t="s">
        <v>1237</v>
      </c>
      <c r="J49" s="1975">
        <v>2015</v>
      </c>
      <c r="K49" s="1973" t="s">
        <v>1238</v>
      </c>
      <c r="L49" s="1976"/>
      <c r="O49" s="1977" t="s">
        <v>1239</v>
      </c>
      <c r="P49" s="1971" t="s">
        <v>1240</v>
      </c>
      <c r="Q49" s="2009">
        <f ca="1">C29</f>
        <v>402</v>
      </c>
      <c r="R49" s="2009" t="s">
        <v>1227</v>
      </c>
    </row>
    <row r="50" spans="1:18" s="773" customFormat="1">
      <c r="A50" s="1894"/>
      <c r="B50" s="1895"/>
      <c r="C50" s="2146"/>
      <c r="D50" s="1897"/>
      <c r="E50" s="1898" t="s">
        <v>1127</v>
      </c>
      <c r="F50" s="1899">
        <f ca="1">F7</f>
        <v>842.81</v>
      </c>
      <c r="H50" s="1886"/>
      <c r="I50" s="834" t="s">
        <v>1241</v>
      </c>
      <c r="J50" s="1978">
        <f>SUMPRODUCT((I63:I65=J47)*(J62:L62=J48)*(J63:L65))</f>
        <v>60</v>
      </c>
      <c r="K50" s="1973" t="s">
        <v>1242</v>
      </c>
      <c r="L50" s="1976"/>
      <c r="M50" s="1979"/>
      <c r="O50" s="1977" t="s">
        <v>1243</v>
      </c>
      <c r="P50" s="1971" t="s">
        <v>1244</v>
      </c>
      <c r="Q50" s="2010" t="e">
        <f ca="1">J58</f>
        <v>#VALUE!</v>
      </c>
      <c r="R50" s="2009"/>
    </row>
    <row r="51" spans="1:18" s="773" customFormat="1">
      <c r="A51" s="1900"/>
      <c r="B51" s="1895"/>
      <c r="C51" s="1896"/>
      <c r="D51" s="1897"/>
      <c r="E51" s="1901" t="s">
        <v>1128</v>
      </c>
      <c r="F51" s="1788">
        <f ca="1">F8</f>
        <v>365</v>
      </c>
      <c r="I51" s="1980" t="s">
        <v>1245</v>
      </c>
      <c r="J51" s="1981">
        <f>IF(J49="",J50,J49+J50-YEAR('数据-取费表'!B2))</f>
        <v>53</v>
      </c>
      <c r="K51" s="1982" t="s">
        <v>1246</v>
      </c>
      <c r="L51" s="1983">
        <f ca="1">ROUND(-PV(INDIRECT("'数据-取费表'!h"&amp;$G$1),J51,(C39-C13*C76),0),0)</f>
        <v>888</v>
      </c>
      <c r="M51" s="1984"/>
      <c r="O51" s="1977" t="s">
        <v>1247</v>
      </c>
      <c r="P51" s="1971" t="s">
        <v>1248</v>
      </c>
      <c r="Q51" s="2010">
        <f>J52</f>
        <v>0</v>
      </c>
      <c r="R51" s="2009"/>
    </row>
    <row r="52" spans="1:18" s="773" customFormat="1">
      <c r="A52" s="1900"/>
      <c r="B52" s="1895"/>
      <c r="C52" s="1896"/>
      <c r="D52" s="1897"/>
      <c r="E52" s="1901" t="s">
        <v>1129</v>
      </c>
      <c r="F52" s="1902"/>
      <c r="I52" s="1985" t="s">
        <v>1249</v>
      </c>
      <c r="J52" s="1986"/>
      <c r="K52" s="1985" t="s">
        <v>1250</v>
      </c>
      <c r="L52" s="1986"/>
      <c r="O52" s="1977" t="s">
        <v>1251</v>
      </c>
      <c r="P52" s="1971" t="s">
        <v>1252</v>
      </c>
      <c r="Q52" s="2009">
        <f ca="1">J53</f>
        <v>32.5</v>
      </c>
      <c r="R52" s="2009" t="s">
        <v>1253</v>
      </c>
    </row>
    <row r="53" spans="1:18" s="773" customFormat="1" ht="24">
      <c r="A53" s="2147" t="s">
        <v>1254</v>
      </c>
      <c r="B53" s="2148" t="s">
        <v>1130</v>
      </c>
      <c r="C53" s="292">
        <f ca="1">ROUND(IF(F53="押一",C49/12*F11,IF(F53="押二",C49/12*2*F11,IF(F53="押三",C49/12*3*F11,C54*F11))),0)</f>
        <v>0</v>
      </c>
      <c r="D53" s="1797" t="s">
        <v>1131</v>
      </c>
      <c r="E53" s="1798" t="s">
        <v>1132</v>
      </c>
      <c r="F53" s="1799"/>
      <c r="I53" s="1987" t="s">
        <v>1255</v>
      </c>
      <c r="J53" s="1988">
        <f ca="1">IF(M47="住宅",IF(D1="——",MAX(J51,L48),MAX(J51,L48-'数据-取费表'!B24)),IF(D1="——",MIN(J51,L48),MIN(J51,L48-'数据-取费表'!B24)))</f>
        <v>32.5</v>
      </c>
      <c r="K53" s="3466" t="s">
        <v>1256</v>
      </c>
      <c r="L53" s="3467"/>
      <c r="O53" s="1970" t="s">
        <v>1257</v>
      </c>
      <c r="P53" s="1971" t="s">
        <v>1258</v>
      </c>
      <c r="Q53" s="2009">
        <f ca="1">Q47+Q48</f>
        <v>913</v>
      </c>
      <c r="R53" s="2009" t="s">
        <v>1259</v>
      </c>
    </row>
    <row r="54" spans="1:18" s="773" customFormat="1">
      <c r="A54" s="2149"/>
      <c r="B54" s="1801" t="s">
        <v>1135</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1260</v>
      </c>
      <c r="P54" s="1991"/>
      <c r="Q54" s="1991"/>
      <c r="R54" s="1991"/>
    </row>
    <row r="55" spans="1:18" s="773" customFormat="1">
      <c r="A55" s="1805" t="s">
        <v>872</v>
      </c>
      <c r="B55" s="1806" t="s">
        <v>1137</v>
      </c>
      <c r="C55" s="1807"/>
      <c r="D55" s="1797"/>
      <c r="E55" s="1905"/>
      <c r="F55" s="1906"/>
      <c r="I55" s="1992" t="s">
        <v>1261</v>
      </c>
      <c r="J55" s="1993" t="e">
        <f ca="1">ROUND(IF(J47="钢混",J57/J50,1-(1-2%)*(J50-J57)/J50),3)</f>
        <v>#VALUE!</v>
      </c>
      <c r="K55" s="1994" t="s">
        <v>1262</v>
      </c>
      <c r="L55" s="1995" t="s">
        <v>1263</v>
      </c>
      <c r="O55" s="1963" t="s">
        <v>1219</v>
      </c>
      <c r="P55" s="1964" t="s">
        <v>1220</v>
      </c>
      <c r="Q55" s="2008" t="s">
        <v>1221</v>
      </c>
      <c r="R55" s="2008" t="s">
        <v>1222</v>
      </c>
    </row>
    <row r="56" spans="1:18" s="773" customFormat="1" ht="24">
      <c r="A56" s="1907">
        <v>2</v>
      </c>
      <c r="B56" s="1908" t="s">
        <v>1138</v>
      </c>
      <c r="C56" s="186">
        <f ca="1">C13</f>
        <v>354</v>
      </c>
      <c r="D56" s="1909"/>
      <c r="E56" s="1910"/>
      <c r="F56" s="1906"/>
      <c r="I56" s="1996" t="s">
        <v>1264</v>
      </c>
      <c r="J56" s="1997" t="s">
        <v>468</v>
      </c>
      <c r="K56" s="834" t="s">
        <v>1265</v>
      </c>
      <c r="L56" s="1974" t="str">
        <f ca="1">IF(L48&lt;J51,"——",L48-J53)</f>
        <v>——</v>
      </c>
      <c r="O56" s="1970" t="s">
        <v>928</v>
      </c>
      <c r="P56" s="1971" t="s">
        <v>1226</v>
      </c>
      <c r="Q56" s="2009">
        <f ca="1">C40+J29</f>
        <v>913</v>
      </c>
      <c r="R56" s="2009" t="s">
        <v>1227</v>
      </c>
    </row>
    <row r="57" spans="1:18" s="773" customFormat="1" ht="24">
      <c r="A57" s="1911"/>
      <c r="B57" s="1912" t="s">
        <v>1205</v>
      </c>
      <c r="C57" s="196">
        <f ca="1">C29</f>
        <v>402</v>
      </c>
      <c r="D57" s="1913"/>
      <c r="E57" s="1914"/>
      <c r="F57" s="1915"/>
      <c r="I57" s="1998" t="s">
        <v>1266</v>
      </c>
      <c r="J57" s="1999" t="str">
        <f ca="1">IF(OR(M47="住宅",J51&lt;L48,J56="是"),"——",J51-L48)</f>
        <v>——</v>
      </c>
      <c r="K57" s="834" t="s">
        <v>1267</v>
      </c>
      <c r="L57" s="1974" t="str">
        <f ca="1">IF(L48&lt;J51,"——",IF(L55="比较法",L49,IF(L55="基准地价",L50,L51)))</f>
        <v>——</v>
      </c>
      <c r="O57" s="1970" t="s">
        <v>932</v>
      </c>
      <c r="P57" s="1971" t="s">
        <v>1268</v>
      </c>
      <c r="Q57" s="2009">
        <f ca="1">L60</f>
        <v>0</v>
      </c>
      <c r="R57" s="2009" t="s">
        <v>1269</v>
      </c>
    </row>
    <row r="58" spans="1:18" s="773" customFormat="1" ht="24">
      <c r="A58" s="1916" t="s">
        <v>1148</v>
      </c>
      <c r="B58" s="1908" t="s">
        <v>1149</v>
      </c>
      <c r="C58" s="292">
        <f ca="1">ROUND(C59+C64+C65+C66,0)</f>
        <v>38</v>
      </c>
      <c r="D58" s="1917" t="s">
        <v>1150</v>
      </c>
      <c r="E58" s="1918"/>
      <c r="F58" s="1885"/>
      <c r="I58" s="1998" t="s">
        <v>1270</v>
      </c>
      <c r="J58" s="2000" t="e">
        <f ca="1">IF(J55&lt;0.4,0.4,J55)</f>
        <v>#VALUE!</v>
      </c>
      <c r="K58" s="1982" t="s">
        <v>1271</v>
      </c>
      <c r="L58" s="1974" t="e">
        <f ca="1">ROUND(POWER(1+L52,L47-L48)*(POWER(1+L52,L48)-1)/(POWER(1+L52,L47)-1),4)</f>
        <v>#DIV/0!</v>
      </c>
      <c r="O58" s="1977" t="s">
        <v>1239</v>
      </c>
      <c r="P58" s="1971" t="s">
        <v>1272</v>
      </c>
      <c r="Q58" s="2009">
        <f>IF(L55="比较法",L49,IF(L55="基准地价",L50,0))</f>
        <v>0</v>
      </c>
      <c r="R58" s="2009" t="s">
        <v>1227</v>
      </c>
    </row>
    <row r="59" spans="1:18" s="773" customFormat="1" ht="24">
      <c r="A59" s="1816" t="s">
        <v>822</v>
      </c>
      <c r="B59" s="1912" t="s">
        <v>1155</v>
      </c>
      <c r="C59" s="1840">
        <f ca="1">ROUND(IF(AND(项目基本情况!B11="自然人",项目基本情况!B10="北京市"),C49*F59/(1+'数据-取费表'!C42),C60+C61+C62),0)</f>
        <v>34</v>
      </c>
      <c r="D59" s="1919" t="s">
        <v>1156</v>
      </c>
      <c r="E59" s="1920" t="s">
        <v>1157</v>
      </c>
      <c r="F59" s="1842" t="str">
        <f>IF(项目基本情况!B11="企业","——",IF('数据-取费表'!B10="住宅",IF(F49*F50*F51/12/(1+'数据-取费表'!F30)&gt;100000,4%,2.5%),IF(F49*F50*F51/12/(1+'数据-取费表'!F30)&gt;100000,12%,7%)))</f>
        <v>——</v>
      </c>
      <c r="I59" s="1998" t="s">
        <v>1273</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1243</v>
      </c>
      <c r="P59" s="1971" t="s">
        <v>1274</v>
      </c>
      <c r="Q59" s="2010">
        <f>L52</f>
        <v>0</v>
      </c>
      <c r="R59" s="2009"/>
    </row>
    <row r="60" spans="1:18" s="773" customFormat="1" ht="15.75">
      <c r="A60" s="1816" t="s">
        <v>845</v>
      </c>
      <c r="B60" s="1912" t="s">
        <v>1160</v>
      </c>
      <c r="C60" s="293">
        <f ca="1">IF(项目基本情况!B11="自然人","——",ROUND(C48*F60/(1+'数据-取费表'!C42),2))</f>
        <v>0</v>
      </c>
      <c r="D60" s="1920" t="s">
        <v>1161</v>
      </c>
      <c r="E60" s="1912" t="s">
        <v>1146</v>
      </c>
      <c r="F60" s="1832">
        <f t="shared" ref="F60:F66" si="0">F32</f>
        <v>5.5000000000000007E-2</v>
      </c>
      <c r="I60" s="2001" t="s">
        <v>1275</v>
      </c>
      <c r="J60" s="2002" t="str">
        <f ca="1">IF(OR(M47="住宅",J51&lt;L48,J56="是"),"0",ROUND(J59/(1+J52)^J53,0))</f>
        <v>0</v>
      </c>
      <c r="K60" s="2003" t="s">
        <v>1276</v>
      </c>
      <c r="L60" s="2002">
        <f ca="1">IF(OR(M47="住宅",L48&lt;J51),0,ROUND(L57*(L58/L59-1),0))</f>
        <v>0</v>
      </c>
      <c r="O60" s="1977" t="s">
        <v>1247</v>
      </c>
      <c r="P60" s="1971" t="s">
        <v>1277</v>
      </c>
      <c r="Q60" s="2009" t="e">
        <f ca="1">L58</f>
        <v>#DIV/0!</v>
      </c>
      <c r="R60" s="2009" t="s">
        <v>1278</v>
      </c>
    </row>
    <row r="61" spans="1:18" s="773" customFormat="1">
      <c r="A61" s="1816" t="s">
        <v>849</v>
      </c>
      <c r="B61" s="1912" t="s">
        <v>1164</v>
      </c>
      <c r="C61" s="293">
        <f ca="1">IF(项目基本情况!B11="自然人","——",IF(D61="按租金收入计税",ROUND(C49*F61/(1+'数据-取费表'!C42),2),IF(D61="按房产原值计税",ROUND(C57*F61*0.7,2),INDIRECT("'数据-取费表'!Aj"&amp;$G$1))))</f>
        <v>33.770000000000003</v>
      </c>
      <c r="D61" s="1844" t="s">
        <v>1165</v>
      </c>
      <c r="E61" s="1912" t="s">
        <v>1146</v>
      </c>
      <c r="F61" s="1825">
        <f t="shared" si="0"/>
        <v>0.12</v>
      </c>
      <c r="I61" s="1860"/>
      <c r="J61" s="1860"/>
      <c r="K61" s="1860"/>
      <c r="L61" s="1860"/>
      <c r="O61" s="1977" t="s">
        <v>1251</v>
      </c>
      <c r="P61" s="1971" t="str">
        <f>K59</f>
        <v>建筑物剩余耐用年限下的土地年期修正系数Kn</v>
      </c>
      <c r="Q61" s="2009" t="e">
        <f ca="1">L59</f>
        <v>#DIV/0!</v>
      </c>
      <c r="R61" s="2009" t="s">
        <v>1279</v>
      </c>
    </row>
    <row r="62" spans="1:18" s="773" customFormat="1">
      <c r="A62" s="1816" t="s">
        <v>852</v>
      </c>
      <c r="B62" s="1921" t="s">
        <v>1168</v>
      </c>
      <c r="C62" s="1846">
        <f ca="1">IF(项目基本情况!B11="自然人","——",ROUND(F62*F63/10000,2))</f>
        <v>0</v>
      </c>
      <c r="D62" s="1922" t="s">
        <v>1169</v>
      </c>
      <c r="E62" s="1912" t="s">
        <v>1170</v>
      </c>
      <c r="F62" s="1831">
        <f t="shared" si="0"/>
        <v>1.5</v>
      </c>
      <c r="I62" s="2004" t="s">
        <v>1280</v>
      </c>
      <c r="J62" s="2005" t="s">
        <v>1281</v>
      </c>
      <c r="K62" s="2005" t="s">
        <v>1282</v>
      </c>
      <c r="L62" s="2005" t="s">
        <v>1283</v>
      </c>
      <c r="M62" s="2006" t="s">
        <v>1284</v>
      </c>
      <c r="O62" s="1970" t="s">
        <v>1257</v>
      </c>
      <c r="P62" s="1971" t="s">
        <v>1258</v>
      </c>
      <c r="Q62" s="2009">
        <f ca="1">Q56+Q57</f>
        <v>913</v>
      </c>
      <c r="R62" s="2009" t="s">
        <v>1259</v>
      </c>
    </row>
    <row r="63" spans="1:18" s="773" customFormat="1">
      <c r="A63" s="1829"/>
      <c r="B63" s="1923"/>
      <c r="C63" s="1850"/>
      <c r="D63" s="1924"/>
      <c r="E63" s="1912" t="s">
        <v>1174</v>
      </c>
      <c r="F63" s="1788">
        <f t="shared" ca="1" si="0"/>
        <v>0</v>
      </c>
      <c r="I63" s="2004" t="s">
        <v>1285</v>
      </c>
      <c r="J63" s="2005">
        <v>70</v>
      </c>
      <c r="K63" s="2005">
        <v>50</v>
      </c>
      <c r="L63" s="2005">
        <v>80</v>
      </c>
      <c r="M63" s="2007">
        <v>0.02</v>
      </c>
      <c r="O63" s="1958" t="s">
        <v>1286</v>
      </c>
      <c r="P63" s="1991"/>
      <c r="Q63" s="1991"/>
      <c r="R63" s="1991"/>
    </row>
    <row r="64" spans="1:18" s="773" customFormat="1">
      <c r="A64" s="1816" t="s">
        <v>826</v>
      </c>
      <c r="B64" s="1912" t="s">
        <v>1176</v>
      </c>
      <c r="C64" s="293">
        <f ca="1">ROUND(C57*F64,1)</f>
        <v>4</v>
      </c>
      <c r="D64" s="1920" t="s">
        <v>1211</v>
      </c>
      <c r="E64" s="1912" t="s">
        <v>1146</v>
      </c>
      <c r="F64" s="1853">
        <f t="shared" ca="1" si="0"/>
        <v>0.01</v>
      </c>
      <c r="I64" s="2004" t="s">
        <v>1287</v>
      </c>
      <c r="J64" s="2005">
        <v>50</v>
      </c>
      <c r="K64" s="2005">
        <v>35</v>
      </c>
      <c r="L64" s="2005">
        <v>60</v>
      </c>
      <c r="M64" s="2006">
        <v>0</v>
      </c>
      <c r="O64" s="1963" t="s">
        <v>1219</v>
      </c>
      <c r="P64" s="1964" t="s">
        <v>1220</v>
      </c>
      <c r="Q64" s="2008" t="s">
        <v>1221</v>
      </c>
      <c r="R64" s="2008" t="s">
        <v>1222</v>
      </c>
    </row>
    <row r="65" spans="1:18" s="773" customFormat="1">
      <c r="A65" s="1816" t="s">
        <v>872</v>
      </c>
      <c r="B65" s="1912" t="s">
        <v>1180</v>
      </c>
      <c r="C65" s="293">
        <f ca="1">ROUND(C56*F65,1)</f>
        <v>0.4</v>
      </c>
      <c r="D65" s="1920" t="s">
        <v>1181</v>
      </c>
      <c r="E65" s="1912" t="s">
        <v>1146</v>
      </c>
      <c r="F65" s="1854">
        <f t="shared" ca="1" si="0"/>
        <v>1E-3</v>
      </c>
      <c r="I65" s="2004" t="s">
        <v>1288</v>
      </c>
      <c r="J65" s="2005">
        <v>40</v>
      </c>
      <c r="K65" s="2005">
        <v>30</v>
      </c>
      <c r="L65" s="2005">
        <v>50</v>
      </c>
      <c r="M65" s="2007">
        <v>0.02</v>
      </c>
      <c r="O65" s="1970" t="s">
        <v>928</v>
      </c>
      <c r="P65" s="1971" t="s">
        <v>1226</v>
      </c>
      <c r="Q65" s="2009">
        <f ca="1">C40+J29</f>
        <v>913</v>
      </c>
      <c r="R65" s="2009" t="s">
        <v>1227</v>
      </c>
    </row>
    <row r="66" spans="1:18" s="773" customFormat="1" ht="15.75">
      <c r="A66" s="1816" t="s">
        <v>875</v>
      </c>
      <c r="B66" s="1912" t="s">
        <v>1166</v>
      </c>
      <c r="C66" s="293">
        <f ca="1">ROUND(C48*F66,1)</f>
        <v>0</v>
      </c>
      <c r="D66" s="1920" t="s">
        <v>1184</v>
      </c>
      <c r="E66" s="1912" t="s">
        <v>1146</v>
      </c>
      <c r="F66" s="1795">
        <f t="shared" ca="1" si="0"/>
        <v>0.01</v>
      </c>
      <c r="O66" s="1970" t="s">
        <v>932</v>
      </c>
      <c r="P66" s="1971" t="s">
        <v>1268</v>
      </c>
      <c r="Q66" s="2009">
        <f ca="1">L60</f>
        <v>0</v>
      </c>
      <c r="R66" s="2009" t="s">
        <v>1269</v>
      </c>
    </row>
    <row r="67" spans="1:18" s="773" customFormat="1" ht="15.75">
      <c r="A67" s="1907" t="s">
        <v>1187</v>
      </c>
      <c r="B67" s="2011" t="s">
        <v>1188</v>
      </c>
      <c r="C67" s="292">
        <f ca="1">C48-C58</f>
        <v>-38</v>
      </c>
      <c r="D67" s="1919" t="s">
        <v>1189</v>
      </c>
      <c r="E67" s="2012"/>
      <c r="F67" s="2013"/>
      <c r="O67" s="1977" t="s">
        <v>1239</v>
      </c>
      <c r="P67" s="1971" t="s">
        <v>1272</v>
      </c>
      <c r="Q67" s="2033">
        <f ca="1">L51</f>
        <v>888</v>
      </c>
      <c r="R67" s="2009" t="s">
        <v>1289</v>
      </c>
    </row>
    <row r="68" spans="1:18" s="773" customFormat="1" ht="15.75">
      <c r="A68" s="2014" t="s">
        <v>1193</v>
      </c>
      <c r="B68" s="2015" t="s">
        <v>1212</v>
      </c>
      <c r="C68" s="1859">
        <f ca="1">ROUND(C67*(1-((1+F70)/(1+F68))^F69)/(F68-F70),0)</f>
        <v>-570</v>
      </c>
      <c r="D68" s="1922" t="s">
        <v>1195</v>
      </c>
      <c r="E68" s="1912" t="s">
        <v>1196</v>
      </c>
      <c r="F68" s="1795">
        <f ca="1">F40</f>
        <v>5.5E-2</v>
      </c>
      <c r="O68" s="1977" t="s">
        <v>1243</v>
      </c>
      <c r="P68" s="2032" t="s">
        <v>1290</v>
      </c>
      <c r="Q68" s="2009">
        <f ca="1">ROUND(Q69-Q70*Q71,0)</f>
        <v>48</v>
      </c>
      <c r="R68" s="2009" t="s">
        <v>1291</v>
      </c>
    </row>
    <row r="69" spans="1:18" s="773" customFormat="1">
      <c r="A69" s="2016"/>
      <c r="B69" s="2017"/>
      <c r="C69" s="1794"/>
      <c r="D69" s="2018" t="s">
        <v>1199</v>
      </c>
      <c r="E69" s="1912" t="s">
        <v>1200</v>
      </c>
      <c r="F69" s="1863">
        <f ca="1">F41</f>
        <v>32.5</v>
      </c>
      <c r="O69" s="1977" t="s">
        <v>1292</v>
      </c>
      <c r="P69" s="2032" t="s">
        <v>1293</v>
      </c>
      <c r="Q69" s="2009">
        <f ca="1">C39</f>
        <v>48</v>
      </c>
      <c r="R69" s="2009" t="s">
        <v>1227</v>
      </c>
    </row>
    <row r="70" spans="1:18" s="773" customFormat="1">
      <c r="A70" s="2019"/>
      <c r="B70" s="2020"/>
      <c r="C70" s="1813"/>
      <c r="D70" s="1924"/>
      <c r="E70" s="1912" t="s">
        <v>1203</v>
      </c>
      <c r="F70" s="1902"/>
      <c r="O70" s="1977" t="s">
        <v>1294</v>
      </c>
      <c r="P70" s="2032" t="s">
        <v>1295</v>
      </c>
      <c r="Q70" s="2009">
        <f ca="1">C13</f>
        <v>354</v>
      </c>
      <c r="R70" s="2009" t="s">
        <v>1227</v>
      </c>
    </row>
    <row r="71" spans="1:18" s="773" customFormat="1">
      <c r="A71" s="2021" t="s">
        <v>1206</v>
      </c>
      <c r="B71" s="2022" t="s">
        <v>1213</v>
      </c>
      <c r="C71" s="1867">
        <f ca="1">ROUND(C68*10000/F71,0)</f>
        <v>-6763</v>
      </c>
      <c r="D71" s="2023" t="s">
        <v>1214</v>
      </c>
      <c r="E71" s="2024" t="s">
        <v>1215</v>
      </c>
      <c r="F71" s="1870">
        <f ca="1">F43</f>
        <v>842.81</v>
      </c>
      <c r="O71" s="1977" t="s">
        <v>1296</v>
      </c>
      <c r="P71" s="2032" t="s">
        <v>1297</v>
      </c>
      <c r="Q71" s="2010">
        <f ca="1">C76</f>
        <v>0</v>
      </c>
      <c r="R71" s="2009"/>
    </row>
    <row r="72" spans="1:18" s="773" customFormat="1">
      <c r="B72" s="327"/>
      <c r="C72" s="327"/>
      <c r="O72" s="1977" t="s">
        <v>1247</v>
      </c>
      <c r="P72" s="1971" t="s">
        <v>1274</v>
      </c>
      <c r="Q72" s="2010">
        <f>L52</f>
        <v>0</v>
      </c>
      <c r="R72" s="2009"/>
    </row>
    <row r="73" spans="1:18" ht="15.75">
      <c r="A73" s="773"/>
      <c r="B73" s="327"/>
      <c r="C73" s="327"/>
      <c r="D73" s="773"/>
      <c r="E73" s="773"/>
      <c r="F73" s="773"/>
      <c r="O73" s="1977" t="s">
        <v>1251</v>
      </c>
      <c r="P73" s="1971" t="s">
        <v>1277</v>
      </c>
      <c r="Q73" s="2009" t="e">
        <f ca="1">L58</f>
        <v>#DIV/0!</v>
      </c>
      <c r="R73" s="2009" t="s">
        <v>1278</v>
      </c>
    </row>
    <row r="74" spans="1:18">
      <c r="A74" s="773"/>
      <c r="B74" s="228" t="s">
        <v>1298</v>
      </c>
      <c r="C74" s="2025"/>
      <c r="D74" s="773"/>
      <c r="E74" s="773"/>
      <c r="F74" s="773"/>
      <c r="O74" s="1977" t="s">
        <v>1299</v>
      </c>
      <c r="P74" s="1971" t="str">
        <f>K59</f>
        <v>建筑物剩余耐用年限下的土地年期修正系数Kn</v>
      </c>
      <c r="Q74" s="2009" t="e">
        <f ca="1">L59</f>
        <v>#DIV/0!</v>
      </c>
      <c r="R74" s="2009" t="s">
        <v>1279</v>
      </c>
    </row>
    <row r="75" spans="1:18">
      <c r="A75" s="773"/>
      <c r="B75" s="2026" t="s">
        <v>1300</v>
      </c>
      <c r="C75" s="2027">
        <f ca="1">ROUND(C13*C76,0)</f>
        <v>0</v>
      </c>
      <c r="D75" s="773"/>
      <c r="E75" s="773"/>
      <c r="F75" s="773"/>
      <c r="K75" s="1957"/>
      <c r="L75" s="773"/>
      <c r="O75" s="1970" t="s">
        <v>1257</v>
      </c>
      <c r="P75" s="1971" t="s">
        <v>1258</v>
      </c>
      <c r="Q75" s="2009">
        <f ca="1">Q65+Q66</f>
        <v>913</v>
      </c>
      <c r="R75" s="2009" t="s">
        <v>1259</v>
      </c>
    </row>
    <row r="76" spans="1:18">
      <c r="B76" s="592" t="s">
        <v>1301</v>
      </c>
      <c r="C76" s="2028">
        <f ca="1">INDIRECT("'数据-取费表'!j"&amp;$G$1)</f>
        <v>0</v>
      </c>
      <c r="I76" s="773"/>
      <c r="J76" s="773"/>
      <c r="K76" s="1957"/>
      <c r="L76" s="773"/>
    </row>
    <row r="77" spans="1:18">
      <c r="B77" s="2029" t="s">
        <v>1302</v>
      </c>
      <c r="C77" s="2030"/>
      <c r="I77" s="773"/>
      <c r="J77" s="773"/>
      <c r="K77" s="1957"/>
      <c r="L77" s="773"/>
    </row>
    <row r="78" spans="1:18">
      <c r="B78" s="226" t="s">
        <v>1303</v>
      </c>
      <c r="C78" s="2031"/>
    </row>
    <row r="79" spans="1:18">
      <c r="B79" s="2026" t="s">
        <v>1304</v>
      </c>
      <c r="C79" s="229">
        <f ca="1">1-C80</f>
        <v>1</v>
      </c>
    </row>
    <row r="80" spans="1:18">
      <c r="B80" s="2026" t="s">
        <v>1305</v>
      </c>
      <c r="C80" s="229">
        <f ca="1">ROUND(C75/C39,3)</f>
        <v>0</v>
      </c>
    </row>
    <row r="81" spans="2:3">
      <c r="B81" s="226" t="s">
        <v>1306</v>
      </c>
      <c r="C81" s="196"/>
    </row>
    <row r="82" spans="2:3">
      <c r="B82" s="228" t="s">
        <v>1009</v>
      </c>
      <c r="C82" s="230">
        <f ca="1">1-C83</f>
        <v>0.61199999999999999</v>
      </c>
    </row>
    <row r="83" spans="2:3">
      <c r="B83" s="228" t="s">
        <v>1010</v>
      </c>
      <c r="C83" s="229">
        <f ca="1">ROUND(C13/C40,3)</f>
        <v>0.38800000000000001</v>
      </c>
    </row>
  </sheetData>
  <sheetProtection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19" zoomScaleSheetLayoutView="80" zoomScalePageLayoutView="80" workbookViewId="0">
      <selection activeCell="G26" sqref="G26"/>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692</v>
      </c>
      <c r="B1" s="2160"/>
      <c r="C1" s="2161" t="s">
        <v>478</v>
      </c>
      <c r="D1" s="2160"/>
      <c r="E1" s="2160"/>
      <c r="F1" s="2162" t="s">
        <v>693</v>
      </c>
      <c r="G1" s="2163"/>
      <c r="H1" s="2164" t="str">
        <f>IF(G1="现房","——","估价对象范围")</f>
        <v>估价对象范围</v>
      </c>
      <c r="I1" s="2297"/>
    </row>
    <row r="2" spans="1:12" ht="21.75" customHeight="1">
      <c r="A2" s="3402" t="str">
        <f>项目基本情况!S2</f>
        <v>北京市通州区口子村东1号院72号楼-1至3层101房地产</v>
      </c>
      <c r="B2" s="3403"/>
      <c r="C2" s="3403"/>
      <c r="D2" s="3403"/>
      <c r="E2" s="3403"/>
      <c r="F2" s="3403"/>
      <c r="G2" s="3403"/>
      <c r="H2" s="3403"/>
      <c r="I2" s="3404"/>
    </row>
    <row r="3" spans="1:12" ht="12.75">
      <c r="A3" s="3405" t="s">
        <v>694</v>
      </c>
      <c r="B3" s="3406"/>
      <c r="C3" s="3406"/>
      <c r="D3" s="3406"/>
      <c r="E3" s="3406"/>
      <c r="F3" s="3406"/>
      <c r="G3" s="3406"/>
      <c r="H3" s="3406"/>
      <c r="I3" s="3406"/>
    </row>
    <row r="4" spans="1:12" ht="14.25">
      <c r="A4" s="2165" t="s">
        <v>695</v>
      </c>
      <c r="B4" s="2166" t="s">
        <v>696</v>
      </c>
      <c r="C4" s="2167" t="s">
        <v>310</v>
      </c>
      <c r="D4" s="2167" t="s">
        <v>309</v>
      </c>
      <c r="E4" s="3407" t="s">
        <v>697</v>
      </c>
      <c r="F4" s="3408"/>
      <c r="G4" s="3408"/>
      <c r="H4" s="3408"/>
      <c r="I4" s="3409"/>
      <c r="K4" s="240" t="str">
        <f>IF(ISNUMBER(FIND("比较法",'结果表 (地下)'!C4)),"比较法",IF(ISNUMBER(FIND("成本法",'结果表 (地下)'!C4)),"成本法",IF(ISNUMBER(FIND("假设开发法",'结果表 (地下)'!C4)),"假设开发法",IF(ISNUMBER(FIND("收益法",'结果表 (地下)'!C4)),"收益法","基准地价系数修正法"))))</f>
        <v>成本法</v>
      </c>
      <c r="L4" s="240" t="str">
        <f>IF(ISNUMBER(FIND("比较法",'结果表 (地下)'!D4)),"比较法",IF(ISNUMBER(FIND("成本法",'结果表 (地下)'!D4)),"成本法",IF(ISNUMBER(FIND("假设开发法",'结果表 (地下)'!D4)),"假设开发法",IF(ISNUMBER(FIND("收益法",'结果表 (地下)'!D4)),"收益法","基准地价系数修正法"))))</f>
        <v>收益法</v>
      </c>
    </row>
    <row r="5" spans="1:12" ht="12.75">
      <c r="A5" s="3326" t="s">
        <v>698</v>
      </c>
      <c r="B5" s="3334">
        <v>25</v>
      </c>
      <c r="C5" s="3419"/>
      <c r="D5" s="3337"/>
      <c r="E5" s="1827" t="s">
        <v>699</v>
      </c>
      <c r="F5" s="2172"/>
      <c r="G5" s="2172"/>
      <c r="H5" s="2172"/>
      <c r="I5" s="2148"/>
    </row>
    <row r="6" spans="1:12" ht="12.75">
      <c r="A6" s="3326"/>
      <c r="B6" s="3334"/>
      <c r="C6" s="3420"/>
      <c r="D6" s="3337"/>
      <c r="E6" s="1827" t="s">
        <v>700</v>
      </c>
      <c r="F6" s="2172"/>
      <c r="G6" s="2172"/>
      <c r="H6" s="2172"/>
      <c r="I6" s="2148"/>
    </row>
    <row r="7" spans="1:12" ht="12.75">
      <c r="A7" s="3326"/>
      <c r="B7" s="3334"/>
      <c r="C7" s="3421"/>
      <c r="D7" s="3337"/>
      <c r="E7" s="1827" t="s">
        <v>701</v>
      </c>
      <c r="F7" s="2172"/>
      <c r="G7" s="2172"/>
      <c r="H7" s="2172"/>
      <c r="I7" s="2148"/>
    </row>
    <row r="8" spans="1:12" ht="12.75">
      <c r="A8" s="3326" t="s">
        <v>702</v>
      </c>
      <c r="B8" s="3334">
        <v>15</v>
      </c>
      <c r="C8" s="3419"/>
      <c r="D8" s="3337"/>
      <c r="E8" s="1827" t="s">
        <v>703</v>
      </c>
      <c r="F8" s="2172"/>
      <c r="G8" s="2172"/>
      <c r="H8" s="2172"/>
      <c r="I8" s="2148"/>
    </row>
    <row r="9" spans="1:12" ht="12.75">
      <c r="A9" s="3326"/>
      <c r="B9" s="3334"/>
      <c r="C9" s="3421"/>
      <c r="D9" s="3337"/>
      <c r="E9" s="1827" t="s">
        <v>704</v>
      </c>
      <c r="F9" s="2172"/>
      <c r="G9" s="2172"/>
      <c r="H9" s="2172"/>
      <c r="I9" s="2148"/>
    </row>
    <row r="10" spans="1:12" ht="12.75">
      <c r="A10" s="3326" t="s">
        <v>705</v>
      </c>
      <c r="B10" s="3334">
        <v>15</v>
      </c>
      <c r="C10" s="3419"/>
      <c r="D10" s="3337"/>
      <c r="E10" s="1827" t="s">
        <v>706</v>
      </c>
      <c r="F10" s="2172"/>
      <c r="G10" s="2172"/>
      <c r="H10" s="2172"/>
      <c r="I10" s="2148"/>
    </row>
    <row r="11" spans="1:12" ht="12.75">
      <c r="A11" s="3326"/>
      <c r="B11" s="3334"/>
      <c r="C11" s="3421"/>
      <c r="D11" s="3337"/>
      <c r="E11" s="1827" t="s">
        <v>707</v>
      </c>
      <c r="F11" s="2172"/>
      <c r="G11" s="2172"/>
      <c r="H11" s="2172"/>
      <c r="I11" s="2148"/>
    </row>
    <row r="12" spans="1:12" ht="12.75">
      <c r="A12" s="3326" t="s">
        <v>708</v>
      </c>
      <c r="B12" s="3334">
        <v>15</v>
      </c>
      <c r="C12" s="3419"/>
      <c r="D12" s="3337"/>
      <c r="E12" s="1827" t="s">
        <v>709</v>
      </c>
      <c r="F12" s="2172"/>
      <c r="G12" s="2172"/>
      <c r="H12" s="2172"/>
      <c r="I12" s="2148"/>
    </row>
    <row r="13" spans="1:12" ht="12.75">
      <c r="A13" s="3326"/>
      <c r="B13" s="3334"/>
      <c r="C13" s="3421"/>
      <c r="D13" s="3337"/>
      <c r="E13" s="1827" t="s">
        <v>710</v>
      </c>
      <c r="F13" s="2172"/>
      <c r="G13" s="2172"/>
      <c r="H13" s="2172"/>
      <c r="I13" s="2148"/>
    </row>
    <row r="14" spans="1:12" ht="12.75">
      <c r="A14" s="3326" t="s">
        <v>711</v>
      </c>
      <c r="B14" s="3334">
        <v>30</v>
      </c>
      <c r="C14" s="3419">
        <v>6</v>
      </c>
      <c r="D14" s="3337">
        <v>4</v>
      </c>
      <c r="E14" s="1827" t="s">
        <v>712</v>
      </c>
      <c r="F14" s="2172"/>
      <c r="G14" s="2172"/>
      <c r="H14" s="2172"/>
      <c r="I14" s="2148"/>
    </row>
    <row r="15" spans="1:12" ht="12.75">
      <c r="A15" s="3326"/>
      <c r="B15" s="3334"/>
      <c r="C15" s="3420"/>
      <c r="D15" s="3337"/>
      <c r="E15" s="1827" t="s">
        <v>713</v>
      </c>
      <c r="F15" s="2172"/>
      <c r="G15" s="2172"/>
      <c r="H15" s="2172"/>
      <c r="I15" s="2148"/>
    </row>
    <row r="16" spans="1:12" ht="12.75">
      <c r="A16" s="3326"/>
      <c r="B16" s="3334"/>
      <c r="C16" s="3421"/>
      <c r="D16" s="3337"/>
      <c r="E16" s="1827" t="s">
        <v>714</v>
      </c>
      <c r="F16" s="2172"/>
      <c r="G16" s="2172"/>
      <c r="H16" s="2172"/>
      <c r="I16" s="2148"/>
    </row>
    <row r="17" spans="1:36" ht="15">
      <c r="A17" s="2173" t="s">
        <v>715</v>
      </c>
      <c r="B17" s="2174"/>
      <c r="C17" s="2175">
        <f>SUM(C5:C16)</f>
        <v>6</v>
      </c>
      <c r="D17" s="2175">
        <f>SUM(D5:D16)</f>
        <v>4</v>
      </c>
      <c r="E17" s="282"/>
      <c r="F17" s="282"/>
      <c r="G17" s="282"/>
      <c r="H17" s="282"/>
      <c r="I17" s="282"/>
      <c r="K17" s="1787"/>
      <c r="L17" s="1787" t="s">
        <v>716</v>
      </c>
      <c r="M17" s="1787" t="s">
        <v>717</v>
      </c>
    </row>
    <row r="18" spans="1:36" ht="31.9" customHeight="1">
      <c r="A18" s="2176" t="s">
        <v>718</v>
      </c>
      <c r="B18" s="2177"/>
      <c r="C18" s="2178">
        <f>ROUND(C17/SUM(C17:D17),2)</f>
        <v>0.6</v>
      </c>
      <c r="D18" s="2178">
        <f>1-C18</f>
        <v>0.4</v>
      </c>
      <c r="E18" s="3410" t="s">
        <v>719</v>
      </c>
      <c r="F18" s="3411"/>
      <c r="G18" s="3411"/>
      <c r="H18" s="3411"/>
      <c r="I18" s="3411"/>
      <c r="K18" s="1787" t="s">
        <v>362</v>
      </c>
      <c r="L18" s="1787">
        <f>IF(C1="",'数据-汇总表'!E3,SUMIF(项目类型,C1,'数据-汇总表'!E17:E26)+SUMIF(项目类型,C1,'数据-汇总表'!I17:I26))</f>
        <v>0</v>
      </c>
      <c r="M18" s="1787">
        <f>IF(C1="",'数据-汇总表'!E3,SUMIF(项目类型,C1,'数据-汇总表'!E17:E26))</f>
        <v>0</v>
      </c>
    </row>
    <row r="19" spans="1:36" ht="15">
      <c r="A19" s="2179" t="s">
        <v>720</v>
      </c>
      <c r="B19" s="2180" t="s">
        <v>721</v>
      </c>
      <c r="C19" s="2181" t="e">
        <f ca="1">SUMIF(INDIRECT("'"&amp;C4&amp;"'"&amp;"!A:A"),'结果表 (地下)'!B19,INDIRECT("'"&amp;C4&amp;"'"&amp;"!B:B"))</f>
        <v>#N/A</v>
      </c>
      <c r="D19" s="1268" t="e">
        <f ca="1">SUMIF(INDIRECT("'"&amp;D4&amp;"'"&amp;"!A:A"),'结果表 (地下)'!B19,INDIRECT("'"&amp;D4&amp;"'"&amp;"!B:B"))</f>
        <v>#N/A</v>
      </c>
      <c r="E19" s="2179" t="s">
        <v>722</v>
      </c>
      <c r="F19" s="2180" t="s">
        <v>721</v>
      </c>
      <c r="G19" s="2182" t="e">
        <f ca="1">ROUND(C19*$C$18+D19*$D$18,0)</f>
        <v>#N/A</v>
      </c>
      <c r="H19" s="2183" t="s">
        <v>723</v>
      </c>
      <c r="I19" s="282"/>
      <c r="K19" s="1787" t="s">
        <v>365</v>
      </c>
      <c r="L19" s="1787">
        <f>IF(C1="",'数据-汇总表'!D3,SUMIF(项目类型,C1,'数据-汇总表'!D17:D26)+SUMIF(项目类型,C1,'数据-汇总表'!H17:H27))</f>
        <v>0</v>
      </c>
      <c r="M19" s="1787">
        <f>IF(C1="",'数据-汇总表'!D3,SUMIF(项目类型,C1,'数据-汇总表'!D17:D26))</f>
        <v>0</v>
      </c>
    </row>
    <row r="20" spans="1:36" ht="15">
      <c r="A20" s="2184"/>
      <c r="B20" s="2185" t="s">
        <v>724</v>
      </c>
      <c r="C20" s="1523" t="e">
        <f ca="1">SUMIF(INDIRECT("'"&amp;C4&amp;"'"&amp;"!A:A"),'结果表 (地下)'!B20,INDIRECT("'"&amp;C4&amp;"'"&amp;"!B:B"))</f>
        <v>#N/A</v>
      </c>
      <c r="D20" s="1526">
        <f ca="1">SUMIF(INDIRECT("'"&amp;D4&amp;"'"&amp;"!A:A"),'结果表 (地下)'!B20,INDIRECT("'"&amp;D4&amp;"'"&amp;"!B:B"))</f>
        <v>0</v>
      </c>
      <c r="E20" s="2184"/>
      <c r="F20" s="2185" t="s">
        <v>724</v>
      </c>
      <c r="G20" s="2186" t="e">
        <f ca="1">ROUND(C20*$C$18+D20*$D$18,0)</f>
        <v>#N/A</v>
      </c>
      <c r="H20" s="1942" t="s">
        <v>725</v>
      </c>
      <c r="I20" s="282"/>
    </row>
    <row r="21" spans="1:36" ht="15" customHeight="1">
      <c r="A21" s="2113"/>
      <c r="B21" s="2187" t="s">
        <v>726</v>
      </c>
      <c r="C21" s="2188" t="e">
        <f ca="1">ROUND(C19*10000/L19,0)</f>
        <v>#N/A</v>
      </c>
      <c r="D21" s="2189" t="e">
        <f ca="1">ROUND(D19*10000/L19,0)</f>
        <v>#N/A</v>
      </c>
      <c r="E21" s="2113"/>
      <c r="F21" s="2187" t="s">
        <v>726</v>
      </c>
      <c r="G21" s="2190" t="e">
        <f ca="1">ROUND(G19*10000/L19,0)</f>
        <v>#N/A</v>
      </c>
      <c r="H21" s="2191" t="s">
        <v>725</v>
      </c>
      <c r="I21" s="282"/>
    </row>
    <row r="22" spans="1:36" ht="14.25">
      <c r="A22" s="2192" t="s">
        <v>727</v>
      </c>
      <c r="B22" s="2193"/>
      <c r="C22" s="2194"/>
      <c r="D22" s="2195" t="e">
        <f ca="1">IF(C19&lt;D19,D19/C19-1,C19/D19-1)</f>
        <v>#N/A</v>
      </c>
      <c r="E22" s="282"/>
      <c r="F22" s="282"/>
      <c r="G22" s="282"/>
      <c r="H22" s="282"/>
      <c r="I22" s="282"/>
    </row>
    <row r="23" spans="1:36" ht="12.75">
      <c r="A23" s="2160"/>
      <c r="B23" s="2160"/>
      <c r="C23" s="2160"/>
      <c r="D23" s="2160"/>
      <c r="E23" s="282"/>
      <c r="F23" s="282"/>
      <c r="G23" s="282"/>
      <c r="H23" s="282"/>
      <c r="I23" s="282"/>
    </row>
    <row r="24" spans="1:36" ht="14.25">
      <c r="A24" s="3327" t="s">
        <v>728</v>
      </c>
      <c r="B24" s="2180" t="s">
        <v>721</v>
      </c>
      <c r="C24" s="2182">
        <f>IF(B30=0,0,D30)</f>
        <v>0</v>
      </c>
      <c r="D24" s="2196"/>
      <c r="E24" s="282"/>
      <c r="F24" s="282"/>
      <c r="G24" s="282"/>
      <c r="H24" s="282"/>
      <c r="I24" s="282"/>
    </row>
    <row r="25" spans="1:36" ht="14.25">
      <c r="A25" s="3328"/>
      <c r="B25" s="2185" t="s">
        <v>724</v>
      </c>
      <c r="C25" s="2197">
        <f>IF(B30=0,0,C30)</f>
        <v>0</v>
      </c>
      <c r="D25" s="2198"/>
      <c r="E25" s="282"/>
      <c r="F25" s="282"/>
      <c r="G25" s="282"/>
      <c r="H25" s="282"/>
      <c r="I25" s="282"/>
    </row>
    <row r="26" spans="1:36" ht="13.5" customHeight="1">
      <c r="A26" s="2199" t="s">
        <v>729</v>
      </c>
      <c r="B26" s="2200" t="s">
        <v>730</v>
      </c>
      <c r="C26" s="2200" t="s">
        <v>731</v>
      </c>
      <c r="D26" s="2201" t="s">
        <v>732</v>
      </c>
      <c r="E26" s="282"/>
      <c r="F26" s="282"/>
      <c r="G26" s="282"/>
      <c r="H26" s="282"/>
      <c r="I26" s="282"/>
    </row>
    <row r="27" spans="1:36" ht="14.25">
      <c r="A27" s="2199"/>
      <c r="B27" s="2200">
        <v>0</v>
      </c>
      <c r="C27" s="2200">
        <v>0</v>
      </c>
      <c r="D27" s="2201"/>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733</v>
      </c>
      <c r="B30" s="2200"/>
      <c r="C30" s="2200"/>
      <c r="D30" s="2200"/>
      <c r="E30" s="2202" t="s">
        <v>734</v>
      </c>
      <c r="F30" s="282"/>
      <c r="G30" s="282"/>
      <c r="H30" s="282"/>
      <c r="I30" s="282"/>
    </row>
    <row r="31" spans="1:36" s="2154" customFormat="1" ht="26.45" customHeight="1">
      <c r="A31" s="2203"/>
      <c r="B31" s="2204"/>
      <c r="C31" s="2204"/>
      <c r="D31" s="2204"/>
      <c r="E31" s="2204"/>
      <c r="F31" s="2204"/>
      <c r="G31" s="2204"/>
      <c r="H31" s="2204"/>
      <c r="I31" s="2299" t="s">
        <v>735</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736</v>
      </c>
      <c r="B32" s="2206"/>
      <c r="C32" s="2207" t="e">
        <f ca="1">IF(D32="总价",G19-C24,G20-C25)</f>
        <v>#N/A</v>
      </c>
      <c r="D32" s="2208" t="s">
        <v>737</v>
      </c>
      <c r="E32" s="282"/>
      <c r="F32" s="282"/>
      <c r="G32" s="282"/>
      <c r="H32" s="282"/>
      <c r="I32" s="282"/>
    </row>
    <row r="33" spans="1:15" ht="15">
      <c r="A33" s="2053" t="s">
        <v>738</v>
      </c>
      <c r="B33" s="2209"/>
      <c r="C33" s="2210" t="s">
        <v>739</v>
      </c>
      <c r="D33" s="2211" t="s">
        <v>740</v>
      </c>
      <c r="E33" s="2212" t="s">
        <v>741</v>
      </c>
      <c r="F33" s="2213" t="str">
        <f>IF(D32="楼面单价","取值（单价）","取值（总价）")</f>
        <v>取值（总价）</v>
      </c>
      <c r="G33" s="282"/>
      <c r="H33" s="282"/>
      <c r="I33" s="282"/>
    </row>
    <row r="34" spans="1:15" ht="15">
      <c r="A34" s="2214"/>
      <c r="B34" s="2215" t="s">
        <v>742</v>
      </c>
      <c r="C34" s="2216" t="e">
        <f ca="1">IF(C33="自定义",F34,C32-C35)</f>
        <v>#N/A</v>
      </c>
      <c r="D34" s="2217">
        <f ca="1">IF(C33="自定义",ROUND(C34/C32,3),IF(C33="收益比率",SUMIF(INDIRECT("'"&amp;D33&amp;"'"&amp;"!b:b"),"土地收益比率",INDIRECT("'"&amp;D33&amp;"'"&amp;"!c:c")),SUMIF(INDIRECT("'"&amp;D33&amp;"'"&amp;"!b:b"),"土地成本比率",INDIRECT("'"&amp;D33&amp;"'"&amp;"!c:c"))))</f>
        <v>5.9000000000000052E-2</v>
      </c>
      <c r="E34" s="2218" t="s">
        <v>743</v>
      </c>
      <c r="F34" s="2219"/>
      <c r="G34" s="282"/>
      <c r="H34" s="282"/>
      <c r="I34" s="282"/>
    </row>
    <row r="35" spans="1:15" ht="15">
      <c r="A35" s="2220"/>
      <c r="B35" s="2221" t="s">
        <v>744</v>
      </c>
      <c r="C35" s="2222" t="e">
        <f ca="1">IF(C33="自定义",F35,ROUND(C32*D35,0))</f>
        <v>#N/A</v>
      </c>
      <c r="D35" s="2223">
        <f ca="1">IF(C33="自定义",ROUND(C35/C32,3),IF(C33="收益比率",SUMIF(INDIRECT("'"&amp;D33&amp;"'"&amp;"!b:b"),"建筑物收益比率",INDIRECT("'"&amp;D33&amp;"'"&amp;"!c:c")),SUMIF(INDIRECT("'"&amp;D33&amp;"'"&amp;"!b:b"),"建筑物成本比率",INDIRECT("'"&amp;D33&amp;"'"&amp;"!c:c"))))</f>
        <v>0.94099999999999995</v>
      </c>
      <c r="E35" s="2224" t="s">
        <v>745</v>
      </c>
      <c r="F35" s="2225"/>
      <c r="G35" s="282"/>
      <c r="H35" s="282"/>
      <c r="I35" s="282"/>
    </row>
    <row r="36" spans="1:15" ht="15">
      <c r="A36" s="3329" t="s">
        <v>746</v>
      </c>
      <c r="B36" s="2226" t="s">
        <v>747</v>
      </c>
      <c r="C36" s="2227"/>
      <c r="D36" s="2228"/>
      <c r="E36" s="2229"/>
      <c r="F36" s="2230"/>
      <c r="G36" s="282"/>
      <c r="H36" s="282"/>
      <c r="I36" s="282"/>
    </row>
    <row r="37" spans="1:15" ht="15">
      <c r="A37" s="3330"/>
      <c r="B37" s="2231" t="s">
        <v>748</v>
      </c>
      <c r="C37" s="2232"/>
      <c r="D37" s="2233"/>
      <c r="E37" s="2233"/>
      <c r="F37" s="2230"/>
      <c r="G37" s="282"/>
      <c r="H37" s="282"/>
      <c r="I37" s="282"/>
    </row>
    <row r="38" spans="1:15" ht="15">
      <c r="A38" s="3331"/>
      <c r="B38" s="2234" t="s">
        <v>749</v>
      </c>
      <c r="C38" s="2235"/>
      <c r="D38" s="2236" t="s">
        <v>750</v>
      </c>
      <c r="E38" s="2233"/>
      <c r="F38" s="2230"/>
      <c r="G38" s="282"/>
      <c r="H38" s="282"/>
      <c r="I38" s="282"/>
    </row>
    <row r="39" spans="1:15" ht="15">
      <c r="A39" s="2184" t="s">
        <v>751</v>
      </c>
      <c r="B39" s="2237" t="s">
        <v>730</v>
      </c>
      <c r="C39" s="2238" t="s">
        <v>731</v>
      </c>
      <c r="D39" s="2238" t="s">
        <v>752</v>
      </c>
      <c r="E39" s="2239" t="s">
        <v>732</v>
      </c>
      <c r="F39" s="2230"/>
      <c r="G39" s="282"/>
      <c r="H39" s="282"/>
      <c r="I39" s="282"/>
    </row>
    <row r="40" spans="1:15" ht="14.25">
      <c r="A40" s="2240" t="s">
        <v>753</v>
      </c>
      <c r="B40" s="2241"/>
      <c r="C40" s="300"/>
      <c r="D40" s="300"/>
      <c r="E40" s="2242"/>
      <c r="F40" s="2230"/>
      <c r="G40" s="282"/>
      <c r="H40" s="282"/>
      <c r="I40" s="282"/>
    </row>
    <row r="41" spans="1:15" ht="14.25">
      <c r="A41" s="2240" t="s">
        <v>754</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755</v>
      </c>
      <c r="B44" s="2249"/>
      <c r="C44" s="2249"/>
      <c r="D44" s="2250"/>
      <c r="E44" s="2250"/>
      <c r="F44" s="2251"/>
      <c r="G44" s="2251"/>
      <c r="H44" s="2251"/>
      <c r="I44" s="2251"/>
      <c r="J44" s="2303" t="s">
        <v>756</v>
      </c>
      <c r="K44" s="2304"/>
      <c r="L44" s="2304"/>
      <c r="M44" s="2304"/>
      <c r="N44" s="2304"/>
      <c r="O44" s="2304"/>
    </row>
    <row r="45" spans="1:15" ht="14.25" customHeight="1">
      <c r="A45" s="3412" t="s">
        <v>757</v>
      </c>
      <c r="B45" s="3413"/>
      <c r="C45" s="3414"/>
      <c r="D45" s="1786" t="e">
        <f ca="1">ROUND(H101*F45,0)</f>
        <v>#N/A</v>
      </c>
      <c r="E45" s="2252" t="s">
        <v>758</v>
      </c>
      <c r="F45" s="2253">
        <v>1</v>
      </c>
      <c r="G45" s="2254" t="s">
        <v>759</v>
      </c>
      <c r="H45" s="282"/>
      <c r="I45" s="282"/>
      <c r="J45" s="3401" t="s">
        <v>760</v>
      </c>
      <c r="K45" s="3401"/>
      <c r="L45" s="3401"/>
      <c r="M45" s="3401"/>
      <c r="N45" s="3401"/>
      <c r="O45" s="3401"/>
    </row>
    <row r="46" spans="1:15" ht="14.25" customHeight="1">
      <c r="A46" s="3415" t="s">
        <v>761</v>
      </c>
      <c r="B46" s="3416"/>
      <c r="C46" s="3416"/>
      <c r="D46" s="3416"/>
      <c r="E46" s="3416"/>
      <c r="F46" s="3416"/>
      <c r="G46" s="3417"/>
      <c r="H46" s="2255"/>
      <c r="I46" s="283"/>
      <c r="J46" s="2305">
        <v>1</v>
      </c>
      <c r="K46" s="3391" t="s">
        <v>762</v>
      </c>
      <c r="L46" s="3391"/>
      <c r="M46" s="3418"/>
      <c r="N46" s="3418"/>
      <c r="O46" s="3418"/>
    </row>
    <row r="47" spans="1:15" ht="12" customHeight="1">
      <c r="A47" s="2256" t="s">
        <v>763</v>
      </c>
      <c r="B47" s="2257"/>
      <c r="C47" s="2258"/>
      <c r="D47" s="1837" t="s">
        <v>764</v>
      </c>
      <c r="E47" s="1787" t="s">
        <v>765</v>
      </c>
      <c r="F47" s="2259" t="s">
        <v>766</v>
      </c>
      <c r="G47" s="2260" t="s">
        <v>767</v>
      </c>
      <c r="H47" s="2261"/>
      <c r="I47" s="283"/>
      <c r="J47" s="2305">
        <v>2</v>
      </c>
      <c r="K47" s="3391" t="s">
        <v>768</v>
      </c>
      <c r="L47" s="3391"/>
      <c r="M47" s="3398">
        <f>'数据-取费表'!B2</f>
        <v>44725</v>
      </c>
      <c r="N47" s="3398"/>
      <c r="O47" s="3398"/>
    </row>
    <row r="48" spans="1:15" ht="25.5">
      <c r="A48" s="3399" t="s">
        <v>769</v>
      </c>
      <c r="B48" s="3393"/>
      <c r="C48" s="3393"/>
      <c r="D48" s="1940" t="b">
        <f>IF(H48="情况1",0,IF(H48="情况2",D52,IF(H48="情况3",D53,IF(H48="情况4",D54))))</f>
        <v>0</v>
      </c>
      <c r="E48" s="1841" t="str">
        <f>IF(H48="情况4","(销售额-原购置价)×税（费）率","销售额×税（费）率")</f>
        <v>销售额×税（费）率</v>
      </c>
      <c r="F48" s="2263">
        <f>IF(H48="情况1","免征",'数据-取费表'!B41)</f>
        <v>5.5000000000000007E-2</v>
      </c>
      <c r="G48" s="2264" t="s">
        <v>770</v>
      </c>
      <c r="H48" s="2265"/>
      <c r="I48" s="2255"/>
      <c r="J48" s="2305">
        <v>3</v>
      </c>
      <c r="K48" s="3391" t="s">
        <v>772</v>
      </c>
      <c r="L48" s="3391"/>
      <c r="M48" s="3400" t="e">
        <f ca="1">H101</f>
        <v>#N/A</v>
      </c>
      <c r="N48" s="3400"/>
      <c r="O48" s="3400"/>
    </row>
    <row r="49" spans="1:35" ht="25.5" customHeight="1">
      <c r="A49" s="2262" t="s">
        <v>773</v>
      </c>
      <c r="B49" s="3364" t="s">
        <v>774</v>
      </c>
      <c r="C49" s="3364"/>
      <c r="D49" s="2266">
        <v>0</v>
      </c>
      <c r="E49" s="1847" t="s">
        <v>775</v>
      </c>
      <c r="F49" s="2267" t="s">
        <v>124</v>
      </c>
      <c r="G49" s="3394"/>
      <c r="H49" s="2268" t="s">
        <v>776</v>
      </c>
      <c r="I49" s="2307"/>
      <c r="J49" s="2305">
        <v>4</v>
      </c>
      <c r="K49" s="3391" t="str">
        <f>IF(项目基本情况!E8="房地产抵押价值","房地产抵押价值","抵押担保权已注销时的房地产抵押价值")</f>
        <v>房地产抵押价值</v>
      </c>
      <c r="L49" s="3391"/>
      <c r="M49" s="3400" t="e">
        <f ca="1">IF(项目基本情况!E8="房地产抵押价值",H107,H109)</f>
        <v>#N/A</v>
      </c>
      <c r="N49" s="3400"/>
      <c r="O49" s="3400"/>
    </row>
    <row r="50" spans="1:35" ht="25.5" customHeight="1">
      <c r="A50" s="2269"/>
      <c r="B50" s="3364" t="s">
        <v>777</v>
      </c>
      <c r="C50" s="3364"/>
      <c r="D50" s="2270"/>
      <c r="E50" s="1862"/>
      <c r="F50" s="2267"/>
      <c r="G50" s="3395"/>
      <c r="H50" s="2271" t="s">
        <v>778</v>
      </c>
      <c r="I50" s="2307"/>
      <c r="J50" s="3401" t="s">
        <v>779</v>
      </c>
      <c r="K50" s="3401"/>
      <c r="L50" s="3401"/>
      <c r="M50" s="3401"/>
      <c r="N50" s="3401"/>
      <c r="O50" s="3401"/>
    </row>
    <row r="51" spans="1:35" ht="20.45" customHeight="1">
      <c r="A51" s="2272"/>
      <c r="B51" s="3364" t="s">
        <v>780</v>
      </c>
      <c r="C51" s="3364"/>
      <c r="D51" s="1837"/>
      <c r="E51" s="1851"/>
      <c r="F51" s="2267"/>
      <c r="G51" s="3396"/>
      <c r="H51" s="2271" t="s">
        <v>781</v>
      </c>
      <c r="I51" s="2307"/>
      <c r="J51" s="2306" t="s">
        <v>782</v>
      </c>
      <c r="K51" s="3391" t="s">
        <v>783</v>
      </c>
      <c r="L51" s="3391"/>
      <c r="M51" s="2306" t="s">
        <v>784</v>
      </c>
      <c r="N51" s="2306" t="s">
        <v>785</v>
      </c>
      <c r="O51" s="2306" t="s">
        <v>786</v>
      </c>
    </row>
    <row r="52" spans="1:35" ht="24" customHeight="1">
      <c r="A52" s="2273" t="s">
        <v>787</v>
      </c>
      <c r="B52" s="3364" t="s">
        <v>788</v>
      </c>
      <c r="C52" s="3364"/>
      <c r="D52" s="1837" t="e">
        <f ca="1">ROUND(D45*'数据-取费表'!B41/(1+'数据-取费表'!C42),0)</f>
        <v>#N/A</v>
      </c>
      <c r="E52" s="1841" t="s">
        <v>789</v>
      </c>
      <c r="F52" s="2274">
        <f>'数据-取费表'!B41</f>
        <v>5.5000000000000007E-2</v>
      </c>
      <c r="G52" s="2275"/>
      <c r="H52" s="1955"/>
      <c r="I52" s="2308"/>
      <c r="J52" s="2305">
        <v>1</v>
      </c>
      <c r="K52" s="3387" t="s">
        <v>790</v>
      </c>
      <c r="L52" s="3387"/>
      <c r="M52" s="2309" t="b">
        <f>D48</f>
        <v>0</v>
      </c>
      <c r="N52" s="2305" t="str">
        <f>E48</f>
        <v>销售额×税（费）率</v>
      </c>
      <c r="O52" s="2310">
        <f>F48</f>
        <v>5.5000000000000007E-2</v>
      </c>
    </row>
    <row r="53" spans="1:35" ht="12" customHeight="1">
      <c r="A53" s="2273" t="s">
        <v>791</v>
      </c>
      <c r="B53" s="3363" t="s">
        <v>792</v>
      </c>
      <c r="C53" s="3383"/>
      <c r="D53" s="1837" t="e">
        <f ca="1">ROUND(D45*'数据-取费表'!B41/(1+'数据-取费表'!C42),0)</f>
        <v>#N/A</v>
      </c>
      <c r="E53" s="1841" t="s">
        <v>789</v>
      </c>
      <c r="F53" s="2274">
        <f>'数据-取费表'!B41</f>
        <v>5.5000000000000007E-2</v>
      </c>
      <c r="G53" s="2275"/>
      <c r="H53" s="1955"/>
      <c r="I53" s="2308"/>
      <c r="J53" s="2305">
        <v>2</v>
      </c>
      <c r="K53" s="3387" t="s">
        <v>793</v>
      </c>
      <c r="L53" s="3387"/>
      <c r="M53" s="2309" t="e">
        <f t="shared" ref="M53:O54" ca="1" si="0">D55</f>
        <v>#N/A</v>
      </c>
      <c r="N53" s="2305" t="str">
        <f t="shared" si="0"/>
        <v>销售额×税（费）率</v>
      </c>
      <c r="O53" s="2310" t="str">
        <f t="shared" si="0"/>
        <v>免征</v>
      </c>
    </row>
    <row r="54" spans="1:35" ht="12" customHeight="1">
      <c r="A54" s="2273" t="s">
        <v>794</v>
      </c>
      <c r="B54" s="3363" t="s">
        <v>795</v>
      </c>
      <c r="C54" s="3383"/>
      <c r="D54" s="1837" t="e">
        <f ca="1">C68</f>
        <v>#N/A</v>
      </c>
      <c r="E54" s="1851" t="s">
        <v>796</v>
      </c>
      <c r="F54" s="2274">
        <f>'数据-取费表'!B41</f>
        <v>5.5000000000000007E-2</v>
      </c>
      <c r="G54" s="2275"/>
      <c r="H54" s="2276"/>
      <c r="I54" s="2308"/>
      <c r="J54" s="2305">
        <v>3</v>
      </c>
      <c r="K54" s="3387" t="s">
        <v>797</v>
      </c>
      <c r="L54" s="3387"/>
      <c r="M54" s="2309" t="e">
        <f t="shared" ca="1" si="0"/>
        <v>#N/A</v>
      </c>
      <c r="N54" s="2305" t="str">
        <f t="shared" si="0"/>
        <v>增值额×税（费）率</v>
      </c>
      <c r="O54" s="2311" t="str">
        <f t="shared" si="0"/>
        <v>免征</v>
      </c>
    </row>
    <row r="55" spans="1:35" ht="24" customHeight="1">
      <c r="A55" s="3392" t="s">
        <v>798</v>
      </c>
      <c r="B55" s="3393"/>
      <c r="C55" s="3393"/>
      <c r="D55" s="1940" t="e">
        <f ca="1">IF(H55="个人住宅",0,ROUND(D45*I55,0))</f>
        <v>#N/A</v>
      </c>
      <c r="E55" s="1841" t="s">
        <v>799</v>
      </c>
      <c r="F55" s="2274" t="str">
        <f>IF(H55="正常",I55,"免征")</f>
        <v>免征</v>
      </c>
      <c r="G55" s="2275"/>
      <c r="H55" s="2265"/>
      <c r="I55" s="2312">
        <f>'数据-取费表'!B49</f>
        <v>5.0000000000000001E-4</v>
      </c>
      <c r="J55" s="2305">
        <f>IF(H59="非个人房产","",4)</f>
        <v>4</v>
      </c>
      <c r="K55" s="3387" t="str">
        <f>IF(H59="非个人房产","——","个人所得税")</f>
        <v>个人所得税</v>
      </c>
      <c r="L55" s="3387"/>
      <c r="M55" s="2313" t="e">
        <f ca="1">D59</f>
        <v>#N/A</v>
      </c>
      <c r="N55" s="635" t="str">
        <f>E59</f>
        <v>差额计税</v>
      </c>
      <c r="O55" s="2314">
        <f>F59</f>
        <v>0.01</v>
      </c>
    </row>
    <row r="56" spans="1:35" ht="24.75">
      <c r="A56" s="3392" t="s">
        <v>801</v>
      </c>
      <c r="B56" s="3393"/>
      <c r="C56" s="3393"/>
      <c r="D56" s="1940" t="e">
        <f ca="1">IF(H56="个人住宅",D57,D58)</f>
        <v>#N/A</v>
      </c>
      <c r="E56" s="1841" t="s">
        <v>802</v>
      </c>
      <c r="F56" s="2274" t="str">
        <f>IF(H56="正常",F58,"免征")</f>
        <v>免征</v>
      </c>
      <c r="G56" s="2277" t="s">
        <v>803</v>
      </c>
      <c r="H56" s="2278"/>
      <c r="I56" s="2287"/>
      <c r="J56" s="2305" t="str">
        <f>IF(项目基本情况!K6="上海银行",IF(J55="",4,J55+1),"")</f>
        <v/>
      </c>
      <c r="K56" s="3381" t="str">
        <f>IF(项目基本情况!K6="上海银行","其他处置费用","")</f>
        <v/>
      </c>
      <c r="L56" s="3397"/>
      <c r="M56" s="2309" t="str">
        <f>IF(项目基本情况!K6="上海银行",M69,"")</f>
        <v/>
      </c>
      <c r="N56" s="3381" t="str">
        <f>IF(项目基本情况!K6="上海银行","包含处置中涉及的律师、诉讼、拍卖、评估等费用","")</f>
        <v/>
      </c>
      <c r="O56" s="3382"/>
    </row>
    <row r="57" spans="1:35" ht="12.75">
      <c r="A57" s="2273" t="s">
        <v>773</v>
      </c>
      <c r="B57" s="3363" t="s">
        <v>804</v>
      </c>
      <c r="C57" s="3383"/>
      <c r="D57" s="2266">
        <v>0</v>
      </c>
      <c r="E57" s="1847" t="s">
        <v>775</v>
      </c>
      <c r="F57" s="1787"/>
      <c r="G57" s="2275"/>
      <c r="H57" s="2279"/>
      <c r="I57" s="2287"/>
      <c r="J57" s="3387">
        <f>IF(AND(J55="",J56=""),4,IF(项目基本情况!K6="上海银行",'结果表 (地下)'!J56+1,'结果表 (地下)'!J55+1))</f>
        <v>5</v>
      </c>
      <c r="K57" s="3387" t="s">
        <v>805</v>
      </c>
      <c r="L57" s="2315" t="s">
        <v>806</v>
      </c>
      <c r="M57" s="2316"/>
      <c r="N57" s="2317">
        <f ca="1">SUMIF(M52:M56,"&lt;9e307")</f>
        <v>0</v>
      </c>
      <c r="O57" s="2318"/>
      <c r="P57" s="2319" t="e">
        <f ca="1">N57/M49</f>
        <v>#N/A</v>
      </c>
    </row>
    <row r="58" spans="1:35" ht="24.75">
      <c r="A58" s="2273" t="s">
        <v>787</v>
      </c>
      <c r="B58" s="3363" t="s">
        <v>807</v>
      </c>
      <c r="C58" s="3364"/>
      <c r="D58" s="1940" t="e">
        <f ca="1">IF(H58="转让取得",C81,C97)</f>
        <v>#N/A</v>
      </c>
      <c r="E58" s="1841" t="s">
        <v>802</v>
      </c>
      <c r="F58" s="1787" t="s">
        <v>124</v>
      </c>
      <c r="G58" s="2275"/>
      <c r="H58" s="2278"/>
      <c r="I58" s="2287"/>
      <c r="J58" s="3387"/>
      <c r="K58" s="3387"/>
      <c r="L58" s="2315" t="s">
        <v>809</v>
      </c>
      <c r="M58" s="2320"/>
      <c r="N58" s="2321" t="str">
        <f ca="1">NUMBERSTRING(INT(N57*10000),2)&amp;"元整"</f>
        <v>零元整</v>
      </c>
      <c r="O58" s="2322"/>
    </row>
    <row r="59" spans="1:35" ht="24">
      <c r="A59" s="3384" t="s">
        <v>810</v>
      </c>
      <c r="B59" s="3385"/>
      <c r="C59" s="3385"/>
      <c r="D59" s="2280" t="e">
        <f ca="1">IF(H59="非个人房产","——",IF(H59="个人住宅（满五唯一有凭证）",0,IF(H59="个人其他（无凭证）",ROUND(D45*F59,0),ROUND(C67*F59,0))))</f>
        <v>#N/A</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803</v>
      </c>
      <c r="H59" s="2284"/>
      <c r="I59" s="2323" t="s">
        <v>812</v>
      </c>
      <c r="J59" s="3388">
        <f>J57+1</f>
        <v>6</v>
      </c>
      <c r="K59" s="3387" t="s">
        <v>813</v>
      </c>
      <c r="L59" s="2305" t="s">
        <v>806</v>
      </c>
      <c r="M59" s="2324"/>
      <c r="N59" s="2325" t="e">
        <f ca="1">M49-N57</f>
        <v>#N/A</v>
      </c>
      <c r="O59" s="2326"/>
    </row>
    <row r="60" spans="1:35" ht="12" customHeight="1">
      <c r="A60" s="2285"/>
      <c r="B60" s="2160"/>
      <c r="C60" s="2160"/>
      <c r="D60" s="2160"/>
      <c r="E60" s="2286"/>
      <c r="F60" s="2287"/>
      <c r="G60" s="2287"/>
      <c r="H60" s="2288"/>
      <c r="I60" s="282"/>
      <c r="J60" s="3389"/>
      <c r="K60" s="3387"/>
      <c r="L60" s="2315" t="s">
        <v>809</v>
      </c>
      <c r="M60" s="2320"/>
      <c r="N60" s="2321" t="e">
        <f ca="1">NUMBERSTRING(INT(N59*10000),2)&amp;"元整"</f>
        <v>#N/A</v>
      </c>
      <c r="O60" s="2322"/>
    </row>
    <row r="61" spans="1:35" ht="12.75">
      <c r="A61" s="3386" t="s">
        <v>814</v>
      </c>
      <c r="B61" s="3386"/>
      <c r="C61" s="3386"/>
      <c r="D61" s="3386"/>
      <c r="E61" s="3386"/>
      <c r="F61" s="2287"/>
      <c r="G61" s="2287"/>
      <c r="H61" s="2288"/>
      <c r="I61" s="282"/>
      <c r="J61" s="2305">
        <f>J59+1</f>
        <v>7</v>
      </c>
      <c r="K61" s="3387" t="s">
        <v>815</v>
      </c>
      <c r="L61" s="3387"/>
      <c r="M61" s="2327"/>
      <c r="N61" s="2328" t="e">
        <f ca="1">ROUND(N59*10000/'数据-汇总表'!E3,0)</f>
        <v>#N/A</v>
      </c>
      <c r="O61" s="2329"/>
    </row>
    <row r="62" spans="1:35" ht="12.75">
      <c r="A62" s="3361" t="s">
        <v>816</v>
      </c>
      <c r="B62" s="3362"/>
      <c r="C62" s="614"/>
      <c r="D62" s="614" t="s">
        <v>817</v>
      </c>
      <c r="E62" s="2289" t="s">
        <v>767</v>
      </c>
      <c r="F62" s="2287"/>
      <c r="G62" s="2287"/>
      <c r="H62" s="2288"/>
      <c r="I62" s="282"/>
    </row>
    <row r="63" spans="1:35" ht="12.75">
      <c r="A63" s="2290" t="s">
        <v>818</v>
      </c>
      <c r="B63" s="2291" t="s">
        <v>819</v>
      </c>
      <c r="C63" s="2292" t="e">
        <f ca="1">ROUND((C64+C65)/(1+'数据-取费表'!C42),0)</f>
        <v>#N/A</v>
      </c>
      <c r="D63" s="2291"/>
      <c r="E63" s="2293"/>
      <c r="F63" s="2287"/>
      <c r="G63" s="2287"/>
      <c r="H63" s="2288"/>
      <c r="I63" s="282"/>
      <c r="J63" s="3390" t="s">
        <v>820</v>
      </c>
      <c r="K63" s="2330" t="s">
        <v>821</v>
      </c>
      <c r="L63" s="2330" t="e">
        <f ca="1">IF(M49&gt;10000,M49*0.5%,IF(AND(M49&gt;1000,M49&lt;=10000),M49*1%,IF(AND(M49&gt;100,M49&lt;=1000),M49*3%,IF(AND(M49&gt;10,M49&lt;=100),M49*5%,M49*8%))))</f>
        <v>#N/A</v>
      </c>
      <c r="M63" s="1787" t="e">
        <f ca="1">ROUND(L63,1)</f>
        <v>#N/A</v>
      </c>
      <c r="N63" s="2331"/>
      <c r="Z63" s="2157"/>
      <c r="AI63" s="2158"/>
    </row>
    <row r="64" spans="1:35" ht="14.25" customHeight="1">
      <c r="A64" s="2294" t="s">
        <v>822</v>
      </c>
      <c r="B64" s="601" t="s">
        <v>823</v>
      </c>
      <c r="C64" s="2295" t="e">
        <f ca="1">D45</f>
        <v>#N/A</v>
      </c>
      <c r="D64" s="601" t="s">
        <v>124</v>
      </c>
      <c r="E64" s="2296"/>
      <c r="F64" s="2287"/>
      <c r="G64" s="2287"/>
      <c r="H64" s="2288"/>
      <c r="I64" s="282"/>
      <c r="J64" s="3390"/>
      <c r="K64" s="2330" t="s">
        <v>824</v>
      </c>
      <c r="L64" s="2330" t="e">
        <f ca="1">IF(M49&gt;2000,M49*0.5%,IF(AND(M49&gt;1000,M49&lt;=2000),M49*0.6%,IF(AND(M49&gt;500,M49&lt;=1000),M49*0.7%,IF(AND(M49&gt;200,M49&lt;=500),M49*0.8%,IF(AND(M49&gt;100,M49&lt;=200),M49*0.9%,IF(AND(M49&gt;50,M49&lt;=100),M49*1%,IF(AND(M49&gt;20,M49&lt;=50),M49*1.5%,IF(AND(M49&gt;10,M49&lt;=20),M49*2%,IF(AND(M49&gt;1,M49&lt;=10),M49*2.5%)))))))))</f>
        <v>#N/A</v>
      </c>
      <c r="M64" s="1787" t="e">
        <f t="shared" ref="M64:M65" ca="1" si="1">ROUND(L64,1)</f>
        <v>#N/A</v>
      </c>
      <c r="N64" s="1955" t="s">
        <v>825</v>
      </c>
      <c r="Z64" s="2157"/>
      <c r="AI64" s="2158"/>
    </row>
    <row r="65" spans="1:35" ht="14.25" customHeight="1">
      <c r="A65" s="2294" t="s">
        <v>826</v>
      </c>
      <c r="B65" s="601" t="s">
        <v>827</v>
      </c>
      <c r="C65" s="2333"/>
      <c r="D65" s="601"/>
      <c r="E65" s="2296"/>
      <c r="F65" s="2287"/>
      <c r="G65" s="2287"/>
      <c r="H65" s="2288"/>
      <c r="I65" s="282"/>
      <c r="J65" s="3390"/>
      <c r="K65" s="2330" t="s">
        <v>828</v>
      </c>
      <c r="L65" s="2330" t="e">
        <f ca="1">IF(M49&gt;1000,M49*0.1%,IF(AND(M49&gt;500,M49&lt;=1000),M49*0.5%,IF(AND(M49&gt;50,M49&lt;=500),M49*1%,IF(AND(M49&gt;1,M49&lt;=50),M49*1.5%))))</f>
        <v>#N/A</v>
      </c>
      <c r="M65" s="1787" t="e">
        <f t="shared" ca="1" si="1"/>
        <v>#N/A</v>
      </c>
      <c r="N65" s="1955" t="s">
        <v>825</v>
      </c>
      <c r="Z65" s="2157"/>
      <c r="AI65" s="2158"/>
    </row>
    <row r="66" spans="1:35" ht="14.25" customHeight="1">
      <c r="A66" s="2290" t="s">
        <v>829</v>
      </c>
      <c r="B66" s="2334" t="s">
        <v>830</v>
      </c>
      <c r="C66" s="2335"/>
      <c r="D66" s="2334" t="s">
        <v>124</v>
      </c>
      <c r="E66" s="2336" t="s">
        <v>831</v>
      </c>
      <c r="F66" s="2287"/>
      <c r="G66" s="2287"/>
      <c r="H66" s="2288"/>
      <c r="I66" s="282"/>
      <c r="J66" s="3390"/>
      <c r="K66" s="2330" t="s">
        <v>832</v>
      </c>
      <c r="L66" s="2330" t="e">
        <f ca="1">M49*0.5%</f>
        <v>#N/A</v>
      </c>
      <c r="M66" s="1787" t="e">
        <f ca="1">IF(L66&gt;0.5,0.5,ROUND(L66,0))</f>
        <v>#N/A</v>
      </c>
      <c r="N66" s="1955" t="s">
        <v>833</v>
      </c>
      <c r="Z66" s="2157"/>
      <c r="AI66" s="2158"/>
    </row>
    <row r="67" spans="1:35" ht="14.25" customHeight="1">
      <c r="A67" s="2290" t="s">
        <v>834</v>
      </c>
      <c r="B67" s="2334" t="s">
        <v>835</v>
      </c>
      <c r="C67" s="2337" t="e">
        <f ca="1">C63-C66</f>
        <v>#N/A</v>
      </c>
      <c r="D67" s="601" t="s">
        <v>124</v>
      </c>
      <c r="E67" s="2296"/>
      <c r="F67" s="2287"/>
      <c r="G67" s="2287"/>
      <c r="H67" s="2288"/>
      <c r="I67" s="282"/>
      <c r="J67" s="3390"/>
      <c r="K67" s="2330" t="s">
        <v>836</v>
      </c>
      <c r="L67" s="2330" t="e">
        <f ca="1">IF(M49&gt;=10000,(8.25+(M49-10000)*0.01%),IF(AND(M49&gt;=8000,M49&lt;10000),(7.85+(M49-8000)*0.02%),IF(AND(M49&gt;=5000,M49&lt;8000),(6.65+(M49-5000)*0.04%),IF(AND(M49&gt;=2000,M49&lt;5000),(4.25+(PM49-2000)*0.08%),IF(AND(M49&gt;=1000,M49&lt;2000),(2.75+(M49-1000)*0.15%),IF(AND(M49&gt;=100,M49&lt;1000),(0.5+(M49-100)*0.25%),IF(AND(M49&gt;0,M49&lt;100),M49*0.5%)))))))</f>
        <v>#N/A</v>
      </c>
      <c r="M67" s="1787" t="e">
        <f ca="1">ROUND(L67*0.9,1)</f>
        <v>#N/A</v>
      </c>
      <c r="N67" s="2331"/>
      <c r="Z67" s="2157"/>
      <c r="AI67" s="2158"/>
    </row>
    <row r="68" spans="1:35" ht="14.25" customHeight="1">
      <c r="A68" s="2338" t="s">
        <v>837</v>
      </c>
      <c r="B68" s="2339" t="s">
        <v>838</v>
      </c>
      <c r="C68" s="2340" t="e">
        <f ca="1">IF(C67&lt;=0,0,ROUND(C67*D68,0))</f>
        <v>#N/A</v>
      </c>
      <c r="D68" s="2341">
        <f>'数据-取费表'!B41</f>
        <v>5.5000000000000007E-2</v>
      </c>
      <c r="E68" s="2342"/>
      <c r="F68" s="2287"/>
      <c r="G68" s="2287"/>
      <c r="H68" s="2288"/>
      <c r="I68" s="282"/>
      <c r="J68" s="3390"/>
      <c r="K68" s="2330" t="s">
        <v>839</v>
      </c>
      <c r="L68" s="2330" t="e">
        <f ca="1">IF(M49&gt;10000,M49*0.5%,IF(AND(M49&gt;5000,M49&lt;=10000),M49*1%,IF(AND(M49&gt;1000,M49&lt;=5000),M49*2%,IF(AND(M49&gt;200,M49&lt;=1000),M49*3%,M49*5%))))</f>
        <v>#N/A</v>
      </c>
      <c r="M68" s="1787" t="e">
        <f ca="1">ROUND(L68,1)</f>
        <v>#N/A</v>
      </c>
      <c r="N68" s="2331"/>
      <c r="Z68" s="2157"/>
      <c r="AI68" s="2158"/>
    </row>
    <row r="69" spans="1:35" s="2155" customFormat="1" ht="16.5" customHeight="1">
      <c r="A69" s="2343"/>
      <c r="B69" s="2344"/>
      <c r="C69" s="2345"/>
      <c r="D69" s="752"/>
      <c r="E69" s="2346"/>
      <c r="F69" s="2286"/>
      <c r="G69" s="2286"/>
      <c r="H69" s="2246"/>
      <c r="I69" s="2160"/>
      <c r="J69" s="3390"/>
      <c r="K69" s="2330" t="s">
        <v>840</v>
      </c>
      <c r="L69" s="2330"/>
      <c r="M69" s="1787" t="e">
        <f ca="1">ROUND(SUM(M63:M68),0)</f>
        <v>#N/A</v>
      </c>
      <c r="N69" s="2410" t="e">
        <f ca="1">M69/M49</f>
        <v>#N/A</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c r="A70" s="3359" t="s">
        <v>841</v>
      </c>
      <c r="B70" s="3360"/>
      <c r="C70" s="3360"/>
      <c r="D70" s="3360"/>
      <c r="E70" s="3360"/>
      <c r="F70" s="3360"/>
      <c r="G70" s="3360"/>
      <c r="H70" s="3360"/>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c r="A71" s="3361" t="s">
        <v>816</v>
      </c>
      <c r="B71" s="3362"/>
      <c r="C71" s="614"/>
      <c r="D71" s="614" t="s">
        <v>817</v>
      </c>
      <c r="E71" s="2347" t="s">
        <v>767</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c r="A72" s="2290" t="s">
        <v>818</v>
      </c>
      <c r="B72" s="2334" t="s">
        <v>842</v>
      </c>
      <c r="C72" s="2337" t="e">
        <f ca="1">ROUND(D45/(1+'数据-取费表'!C42),0)</f>
        <v>#N/A</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c r="A73" s="2290" t="s">
        <v>829</v>
      </c>
      <c r="B73" s="2259" t="s">
        <v>843</v>
      </c>
      <c r="C73" s="2337" t="e">
        <f ca="1">C74+C78</f>
        <v>#N/A</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c r="A74" s="2294" t="s">
        <v>822</v>
      </c>
      <c r="B74" s="601" t="s">
        <v>844</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c r="A75" s="2294" t="s">
        <v>845</v>
      </c>
      <c r="B75" s="601" t="s">
        <v>846</v>
      </c>
      <c r="C75" s="2351"/>
      <c r="D75" s="601" t="s">
        <v>124</v>
      </c>
      <c r="E75" s="2352" t="s">
        <v>847</v>
      </c>
      <c r="F75" s="2353"/>
      <c r="G75" s="2352" t="s">
        <v>848</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customHeight="1">
      <c r="A76" s="2294" t="s">
        <v>849</v>
      </c>
      <c r="B76" s="2355" t="s">
        <v>850</v>
      </c>
      <c r="C76" s="601">
        <f>IF(F75="购房发票",ROUND(C75*H75*D76,0),0)</f>
        <v>0</v>
      </c>
      <c r="D76" s="2356">
        <v>0.05</v>
      </c>
      <c r="E76" s="3363" t="s">
        <v>851</v>
      </c>
      <c r="F76" s="3364"/>
      <c r="G76" s="3364"/>
      <c r="H76" s="3365"/>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customHeight="1">
      <c r="A77" s="2294" t="s">
        <v>852</v>
      </c>
      <c r="B77" s="601" t="s">
        <v>853</v>
      </c>
      <c r="C77" s="601">
        <f>ROUND(IF(G77="个人住宅",0,IF(G77="2016年5月1日前购买",C75*D77,C75*D77/(1+'数据-取费表'!C42))),0)</f>
        <v>0</v>
      </c>
      <c r="D77" s="2358">
        <f>'数据-取费表'!B48+'数据-取费表'!B49</f>
        <v>3.0499999999999999E-2</v>
      </c>
      <c r="E77" s="1940" t="s">
        <v>854</v>
      </c>
      <c r="F77" s="2359"/>
      <c r="G77" s="2360"/>
      <c r="H77" s="2357" t="str">
        <f>IF(G77="个人买卖住房","免征印花税"," ")</f>
        <v xml:space="preserve">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customHeight="1">
      <c r="A78" s="2294" t="s">
        <v>826</v>
      </c>
      <c r="B78" s="601" t="s">
        <v>855</v>
      </c>
      <c r="C78" s="2361" t="e">
        <f ca="1">ROUND(D45*D78/(1+'数据-取费表'!C42),0)</f>
        <v>#N/A</v>
      </c>
      <c r="D78" s="2362">
        <f>'数据-取费表'!B43</f>
        <v>5.000000000000001E-3</v>
      </c>
      <c r="E78" s="3341" t="s">
        <v>856</v>
      </c>
      <c r="F78" s="3342"/>
      <c r="G78" s="3342"/>
      <c r="H78" s="3343"/>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c r="A79" s="2290" t="s">
        <v>834</v>
      </c>
      <c r="B79" s="2334" t="s">
        <v>857</v>
      </c>
      <c r="C79" s="2337" t="e">
        <f ca="1">C72-C73</f>
        <v>#N/A</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c r="A80" s="2290" t="s">
        <v>837</v>
      </c>
      <c r="B80" s="2334" t="s">
        <v>858</v>
      </c>
      <c r="C80" s="2366" t="e">
        <f ca="1">IF(C79&lt;=0,0,C79/C73)</f>
        <v>#N/A</v>
      </c>
      <c r="D80" s="601" t="s">
        <v>124</v>
      </c>
      <c r="E80" s="1940" t="e">
        <f ca="1">IF(C80&gt;=200%,"增值额超过扣除项目金额200%",IF(C80&gt;=100%,"增值额超过扣除项目金额100%，未超过200%",IF(C80&gt;=50%,"增值额超过扣除项目金额50%，未超过100%",IF(C80&lt;50%,"增值额未超过扣除项目金额50%"))))</f>
        <v>#N/A</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c r="A81" s="2338" t="s">
        <v>859</v>
      </c>
      <c r="B81" s="2339" t="s">
        <v>860</v>
      </c>
      <c r="C81" s="2367" t="e">
        <f ca="1">ROUND(IF(C79&lt;=0,0,IF(C80&gt;=200%,C79*60%-C73*35%,IF(C80&gt;=100%,C79*50%-C73*15%,IF(C80&gt;=50%,C79*40%-C73*5%,IF(C80&lt;50%,C79*30%,0))))),0)</f>
        <v>#N/A</v>
      </c>
      <c r="D81" s="2368" t="s">
        <v>124</v>
      </c>
      <c r="E81" s="23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59" t="s">
        <v>861</v>
      </c>
      <c r="B83" s="3360"/>
      <c r="C83" s="3360"/>
      <c r="D83" s="3360"/>
      <c r="E83" s="3360"/>
      <c r="F83" s="3360"/>
      <c r="G83" s="3360"/>
      <c r="H83" s="3360"/>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61" t="s">
        <v>816</v>
      </c>
      <c r="B84" s="3362"/>
      <c r="C84" s="614"/>
      <c r="D84" s="614" t="s">
        <v>817</v>
      </c>
      <c r="E84" s="2347" t="s">
        <v>767</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818</v>
      </c>
      <c r="B85" s="2334" t="s">
        <v>842</v>
      </c>
      <c r="C85" s="2337" t="e">
        <f ca="1">ROUND(D45/(1+'数据-取费表'!C42),0)</f>
        <v>#N/A</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829</v>
      </c>
      <c r="B86" s="2259" t="s">
        <v>843</v>
      </c>
      <c r="C86" s="2337" t="e">
        <f ca="1">IF(H88="仅含出让金",C87+C90+C91+C92+C93+C94,C87+C91+C92+C93+C94)</f>
        <v>#N/A</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822</v>
      </c>
      <c r="B87" s="601" t="s">
        <v>862</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845</v>
      </c>
      <c r="B88" s="601" t="s">
        <v>863</v>
      </c>
      <c r="C88" s="2378">
        <v>1990.518</v>
      </c>
      <c r="D88" s="2362"/>
      <c r="E88" s="2379" t="s">
        <v>864</v>
      </c>
      <c r="F88" s="2364"/>
      <c r="G88" s="2380" t="s">
        <v>865</v>
      </c>
      <c r="H88" s="2381"/>
      <c r="I88" s="839"/>
      <c r="J88" s="2416" t="s">
        <v>867</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849</v>
      </c>
      <c r="B89" s="601" t="s">
        <v>853</v>
      </c>
      <c r="C89" s="2361">
        <f>ROUND(C88*D89,0)</f>
        <v>61</v>
      </c>
      <c r="D89" s="2362">
        <f>'数据-取费表'!B48+'数据-取费表'!B49</f>
        <v>3.0499999999999999E-2</v>
      </c>
      <c r="E89" s="2379" t="s">
        <v>868</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826</v>
      </c>
      <c r="B90" s="601" t="s">
        <v>869</v>
      </c>
      <c r="C90" s="2382"/>
      <c r="D90" s="2362"/>
      <c r="E90" s="2379" t="str">
        <f>IF(H88="-","土地取得成本中已包含该笔费用"," ")</f>
        <v xml:space="preserve"> </v>
      </c>
      <c r="F90" s="2364"/>
      <c r="G90" s="3373" t="s">
        <v>870</v>
      </c>
      <c r="H90" s="3374"/>
      <c r="I90" s="839"/>
      <c r="J90" s="2416" t="s">
        <v>871</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872</v>
      </c>
      <c r="B91" s="601" t="s">
        <v>873</v>
      </c>
      <c r="C91" s="2361">
        <f>IF(H91="——",成本法!C33,I91)</f>
        <v>0</v>
      </c>
      <c r="D91" s="2362"/>
      <c r="E91" s="3341" t="s">
        <v>874</v>
      </c>
      <c r="F91" s="3342"/>
      <c r="G91" s="3342"/>
      <c r="H91" s="2383"/>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875</v>
      </c>
      <c r="B92" s="601" t="s">
        <v>876</v>
      </c>
      <c r="C92" s="2361">
        <f>ROUND((C87+C90+C91)*D92,0)</f>
        <v>0</v>
      </c>
      <c r="D92" s="2384"/>
      <c r="E92" s="3341" t="s">
        <v>877</v>
      </c>
      <c r="F92" s="3342"/>
      <c r="G92" s="3342"/>
      <c r="H92" s="3343"/>
      <c r="I92" s="839"/>
      <c r="J92" s="2418" t="s">
        <v>878</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879</v>
      </c>
      <c r="B93" s="601" t="s">
        <v>855</v>
      </c>
      <c r="C93" s="2361" t="e">
        <f ca="1">ROUND(D45*D93/(1+'数据-取费表'!C42),0)</f>
        <v>#N/A</v>
      </c>
      <c r="D93" s="2362">
        <f>'数据-取费表'!B43</f>
        <v>5.000000000000001E-3</v>
      </c>
      <c r="E93" s="3341" t="s">
        <v>856</v>
      </c>
      <c r="F93" s="3342"/>
      <c r="G93" s="3342"/>
      <c r="H93" s="3343"/>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880</v>
      </c>
      <c r="B94" s="601" t="s">
        <v>881</v>
      </c>
      <c r="C94" s="2382">
        <f>ROUND((C87+C90+C91)*D94,0)</f>
        <v>410</v>
      </c>
      <c r="D94" s="2362">
        <v>0.2</v>
      </c>
      <c r="E94" s="3344" t="s">
        <v>882</v>
      </c>
      <c r="F94" s="3345"/>
      <c r="G94" s="3345"/>
      <c r="H94" s="3346"/>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834</v>
      </c>
      <c r="B95" s="2334" t="s">
        <v>857</v>
      </c>
      <c r="C95" s="2337" t="e">
        <f ca="1">ROUND(C85-C86,0)</f>
        <v>#N/A</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837</v>
      </c>
      <c r="B96" s="2334" t="s">
        <v>858</v>
      </c>
      <c r="C96" s="2366" t="e">
        <f ca="1">IF(C95&lt;=0,0,C95/C86)</f>
        <v>#N/A</v>
      </c>
      <c r="D96" s="601" t="s">
        <v>124</v>
      </c>
      <c r="E96" s="1940" t="e">
        <f ca="1">IF(C96&gt;=200%,"增值额超过扣除项目金额200%",IF(C96&gt;=100%,"增值额超过扣除项目金额100%，未超过200%",IF(C96&gt;=50%,"增值额超过扣除项目金额50%，未超过100%",IF(C96&lt;50%,"增值额未超过扣除项目金额50%"))))</f>
        <v>#N/A</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859</v>
      </c>
      <c r="B97" s="2339" t="s">
        <v>860</v>
      </c>
      <c r="C97" s="2367" t="e">
        <f ca="1">ROUND(IF(C95&lt;=0,0,IF(C96&gt;=200%,C95*60%-C86*35%,IF(C96&gt;=100%,C95*50%-C86*15%,IF(C96&gt;=50%,C95*40%-C86*5%,IF(C96&lt;50%,C95*30%,0))))),0)</f>
        <v>#N/A</v>
      </c>
      <c r="D97" s="2368" t="s">
        <v>124</v>
      </c>
      <c r="E97" s="23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883</v>
      </c>
      <c r="B99" s="2160"/>
      <c r="C99" s="2160"/>
      <c r="D99" s="2160"/>
      <c r="E99" s="2286"/>
      <c r="F99" s="2286"/>
      <c r="G99" s="2286"/>
      <c r="H99" s="2246"/>
      <c r="I99" s="282"/>
    </row>
    <row r="100" spans="1:35" ht="18.75" customHeight="1">
      <c r="A100" s="3319" t="s">
        <v>884</v>
      </c>
      <c r="B100" s="3320"/>
      <c r="C100" s="3320"/>
      <c r="D100" s="3347"/>
      <c r="E100" s="3320" t="s">
        <v>885</v>
      </c>
      <c r="F100" s="3320"/>
      <c r="G100" s="3320"/>
      <c r="H100" s="3347"/>
      <c r="I100" s="282"/>
    </row>
    <row r="101" spans="1:35" ht="18.75" customHeight="1">
      <c r="A101" s="3348" t="s">
        <v>886</v>
      </c>
      <c r="B101" s="3349"/>
      <c r="C101" s="2387" t="str">
        <f>C4</f>
        <v>成本法 (地下车库)</v>
      </c>
      <c r="D101" s="2388" t="str">
        <f>D4</f>
        <v>收益法 (车库)</v>
      </c>
      <c r="E101" s="3372" t="s">
        <v>887</v>
      </c>
      <c r="F101" s="3367"/>
      <c r="G101" s="2390" t="s">
        <v>888</v>
      </c>
      <c r="H101" s="2391" t="e">
        <f ca="1">H118</f>
        <v>#N/A</v>
      </c>
      <c r="I101" s="282"/>
    </row>
    <row r="102" spans="1:35" ht="18.75" customHeight="1">
      <c r="A102" s="3332" t="s">
        <v>889</v>
      </c>
      <c r="B102" s="2392" t="s">
        <v>888</v>
      </c>
      <c r="C102" s="2387" t="e">
        <f ca="1">C19</f>
        <v>#N/A</v>
      </c>
      <c r="D102" s="2388" t="e">
        <f ca="1">D19</f>
        <v>#N/A</v>
      </c>
      <c r="E102" s="3372"/>
      <c r="F102" s="3367"/>
      <c r="G102" s="2390" t="s">
        <v>99</v>
      </c>
      <c r="H102" s="2275" t="e">
        <f ca="1">I118</f>
        <v>#N/A</v>
      </c>
      <c r="I102" s="282"/>
    </row>
    <row r="103" spans="1:35" ht="42.75" customHeight="1">
      <c r="A103" s="3332"/>
      <c r="B103" s="2392" t="s">
        <v>99</v>
      </c>
      <c r="C103" s="2393" t="e">
        <f ca="1">C20</f>
        <v>#N/A</v>
      </c>
      <c r="D103" s="2394">
        <f ca="1">D20</f>
        <v>0</v>
      </c>
      <c r="E103" s="3350" t="s">
        <v>890</v>
      </c>
      <c r="F103" s="3351"/>
      <c r="G103" s="2395" t="s">
        <v>102</v>
      </c>
      <c r="H103" s="2391">
        <f>IF(D36="正常操作",H104+H105+H106,H105+H106)</f>
        <v>0</v>
      </c>
      <c r="I103" s="282"/>
    </row>
    <row r="104" spans="1:35" ht="18.75" customHeight="1">
      <c r="A104" s="3332" t="s">
        <v>891</v>
      </c>
      <c r="B104" s="2396" t="s">
        <v>888</v>
      </c>
      <c r="C104" s="2397" t="e">
        <f ca="1">H118</f>
        <v>#N/A</v>
      </c>
      <c r="D104" s="2398"/>
      <c r="E104" s="2231" t="s">
        <v>892</v>
      </c>
      <c r="F104" s="2399"/>
      <c r="G104" s="2395" t="s">
        <v>102</v>
      </c>
      <c r="H104" s="2400">
        <f>IF(D36="同一抵押权人同一抵押物续贷",C36&amp;"（续贷，未扣减，详见特别提示）",C36)</f>
        <v>0</v>
      </c>
      <c r="I104" s="282"/>
    </row>
    <row r="105" spans="1:35" ht="18.75" customHeight="1">
      <c r="A105" s="3333"/>
      <c r="B105" s="2401" t="s">
        <v>99</v>
      </c>
      <c r="C105" s="2402" t="e">
        <f ca="1">I118</f>
        <v>#N/A</v>
      </c>
      <c r="D105" s="2403"/>
      <c r="E105" s="2231" t="s">
        <v>893</v>
      </c>
      <c r="F105" s="2399"/>
      <c r="G105" s="2395" t="s">
        <v>102</v>
      </c>
      <c r="H105" s="2404">
        <f>C37</f>
        <v>0</v>
      </c>
      <c r="I105" s="282"/>
    </row>
    <row r="106" spans="1:35" ht="18.75" customHeight="1">
      <c r="A106" s="2160" t="s">
        <v>894</v>
      </c>
      <c r="B106" s="2160"/>
      <c r="C106" s="2160"/>
      <c r="D106" s="2160"/>
      <c r="E106" s="2405" t="s">
        <v>895</v>
      </c>
      <c r="F106" s="2399"/>
      <c r="G106" s="2395" t="s">
        <v>102</v>
      </c>
      <c r="H106" s="2404">
        <f>C38</f>
        <v>0</v>
      </c>
      <c r="I106" s="282"/>
    </row>
    <row r="107" spans="1:35" ht="18.75" customHeight="1">
      <c r="A107" s="282"/>
      <c r="B107" s="282"/>
      <c r="C107" s="282"/>
      <c r="D107" s="282"/>
      <c r="E107" s="3366" t="str">
        <f>IF(项目基本情况!E8="已注销","——","3.房地产抵押价值")</f>
        <v>3.房地产抵押价值</v>
      </c>
      <c r="F107" s="3367"/>
      <c r="G107" s="2390" t="s">
        <v>888</v>
      </c>
      <c r="H107" s="2391" t="e">
        <f ca="1">IF(E107="——","——",H101-H103)</f>
        <v>#N/A</v>
      </c>
      <c r="I107" s="282"/>
    </row>
    <row r="108" spans="1:35" ht="18.75" customHeight="1">
      <c r="A108" s="282"/>
      <c r="B108" s="282"/>
      <c r="C108" s="282"/>
      <c r="D108" s="282"/>
      <c r="E108" s="3366"/>
      <c r="F108" s="3367"/>
      <c r="G108" s="2390" t="s">
        <v>99</v>
      </c>
      <c r="H108" s="2275" t="e">
        <f ca="1">ROUND(H107*10000/'数据-汇总表'!E3,0)</f>
        <v>#N/A</v>
      </c>
      <c r="I108" s="282"/>
    </row>
    <row r="109" spans="1:35" ht="18.75" customHeight="1">
      <c r="A109" s="282"/>
      <c r="B109" s="282"/>
      <c r="C109" s="282"/>
      <c r="D109" s="282"/>
      <c r="E109" s="3366" t="str">
        <f>IF(项目基本情况!E8="已注销及未注销","4.抵押担保权已注销时的房地产抵押价值",IF(项目基本情况!E8="已注销","3.抵押担保权已注销时的房地产抵押价值","——"))</f>
        <v>——</v>
      </c>
      <c r="F109" s="3367"/>
      <c r="G109" s="2390" t="s">
        <v>888</v>
      </c>
      <c r="H109" s="2406" t="str">
        <f>IF(E109="——","——",H101-H105-H106)</f>
        <v>——</v>
      </c>
      <c r="I109" s="282"/>
    </row>
    <row r="110" spans="1:35" ht="18.75" customHeight="1">
      <c r="A110" s="282"/>
      <c r="B110" s="282"/>
      <c r="C110" s="282"/>
      <c r="D110" s="282"/>
      <c r="E110" s="3366"/>
      <c r="F110" s="3367"/>
      <c r="G110" s="2390" t="s">
        <v>99</v>
      </c>
      <c r="H110" s="2275" t="str">
        <f>IF(H109="——","——",ROUND(H109*10000/'数据-汇总表'!E3,0))</f>
        <v>——</v>
      </c>
      <c r="I110" s="282"/>
    </row>
    <row r="111" spans="1:35" ht="18.75" customHeight="1">
      <c r="A111" s="282"/>
      <c r="B111" s="282"/>
      <c r="C111" s="282"/>
      <c r="D111" s="282"/>
      <c r="E111" s="3368" t="str">
        <f>IF(项目基本情况!E9="抵押净值",IF(OR(项目基本情况!E8="已注销",项目基本情况!E8="房地产抵押价值"),"4.抵押净值","5.抵押净值"),"——")</f>
        <v>4.抵押净值</v>
      </c>
      <c r="F111" s="3369"/>
      <c r="G111" s="2390" t="s">
        <v>888</v>
      </c>
      <c r="H111" s="2391" t="e">
        <f ca="1">IF(E111="——","——",N59)</f>
        <v>#N/A</v>
      </c>
      <c r="I111" s="282"/>
    </row>
    <row r="112" spans="1:35" ht="18.75" customHeight="1">
      <c r="A112" s="282"/>
      <c r="B112" s="282"/>
      <c r="C112" s="282"/>
      <c r="D112" s="282"/>
      <c r="E112" s="3370"/>
      <c r="F112" s="3371"/>
      <c r="G112" s="2407" t="s">
        <v>99</v>
      </c>
      <c r="H112" s="2408" t="e">
        <f ca="1">IF(E111="——","——",N61)</f>
        <v>#N/A</v>
      </c>
      <c r="I112" s="282"/>
    </row>
    <row r="113" spans="1:27" ht="18.75" customHeight="1">
      <c r="A113" s="282"/>
      <c r="B113" s="282"/>
      <c r="C113" s="282"/>
      <c r="D113" s="282"/>
      <c r="E113" s="3352" t="s">
        <v>894</v>
      </c>
      <c r="F113" s="3352"/>
      <c r="G113" s="3352"/>
      <c r="H113" s="3352"/>
      <c r="I113" s="282"/>
    </row>
    <row r="114" spans="1:27" ht="3.75" customHeight="1">
      <c r="A114" s="2160"/>
      <c r="B114" s="2160"/>
      <c r="C114" s="2160"/>
      <c r="D114" s="2160"/>
      <c r="E114" s="2285"/>
      <c r="F114" s="2285"/>
      <c r="G114" s="2285"/>
      <c r="H114" s="2285"/>
      <c r="I114" s="2160"/>
    </row>
    <row r="115" spans="1:27" ht="18.75" customHeight="1">
      <c r="A115" s="3353" t="s">
        <v>896</v>
      </c>
      <c r="B115" s="3354"/>
      <c r="C115" s="3354"/>
      <c r="D115" s="3354"/>
      <c r="E115" s="3354"/>
      <c r="F115" s="3354"/>
      <c r="G115" s="3354"/>
      <c r="H115" s="3354"/>
      <c r="I115" s="3355"/>
    </row>
    <row r="116" spans="1:27" ht="27" customHeight="1">
      <c r="A116" s="3326" t="s">
        <v>897</v>
      </c>
      <c r="B116" s="3335" t="s">
        <v>898</v>
      </c>
      <c r="C116" s="3335" t="s">
        <v>899</v>
      </c>
      <c r="D116" s="3356" t="s">
        <v>900</v>
      </c>
      <c r="E116" s="3357"/>
      <c r="F116" s="3358" t="s">
        <v>901</v>
      </c>
      <c r="G116" s="3358"/>
      <c r="H116" s="3326" t="s">
        <v>902</v>
      </c>
      <c r="I116" s="3326"/>
    </row>
    <row r="117" spans="1:27" ht="18.75" customHeight="1">
      <c r="A117" s="3326"/>
      <c r="B117" s="3336"/>
      <c r="C117" s="3336"/>
      <c r="D117" s="2170" t="s">
        <v>903</v>
      </c>
      <c r="E117" s="2170" t="s">
        <v>724</v>
      </c>
      <c r="F117" s="2170" t="s">
        <v>903</v>
      </c>
      <c r="G117" s="2170" t="s">
        <v>724</v>
      </c>
      <c r="H117" s="2170" t="s">
        <v>903</v>
      </c>
      <c r="I117" s="2170" t="s">
        <v>724</v>
      </c>
    </row>
    <row r="118" spans="1:27" ht="24.75" customHeight="1">
      <c r="A118" s="2409" t="str">
        <f>项目基本情况!S2</f>
        <v>北京市通州区口子村东1号院72号楼-1至3层101房地产</v>
      </c>
      <c r="B118" s="2170">
        <f>M18</f>
        <v>0</v>
      </c>
      <c r="C118" s="2170">
        <f>M19</f>
        <v>0</v>
      </c>
      <c r="D118" s="2170" t="e">
        <f ca="1">ROUND(IF(D32="总价",C34,E118*B118/10000),0)</f>
        <v>#N/A</v>
      </c>
      <c r="E118" s="2170" t="e">
        <f ca="1">ROUND(IF(C33="自定义",IF(D32="楼面单价",C34,D118*10000/B118),I118-G118),0)</f>
        <v>#N/A</v>
      </c>
      <c r="F118" s="2170" t="e">
        <f ca="1">ROUND(IF(D32="总价",C35,G118*B118/10000),0)</f>
        <v>#N/A</v>
      </c>
      <c r="G118" s="2170" t="e">
        <f ca="1">ROUND(IF(D32="楼面单价",C35,F118*10000/B118),0)</f>
        <v>#N/A</v>
      </c>
      <c r="H118" s="2170" t="e">
        <f ca="1">ROUND(IF(D32="总价",C32,I118*B118/10000),0)</f>
        <v>#N/A</v>
      </c>
      <c r="I118" s="2170" t="e">
        <f ca="1">ROUND(IF(D32="楼面单价",C32,H118*10000/B118),0)</f>
        <v>#N/A</v>
      </c>
    </row>
    <row r="119" spans="1:27" ht="18.75" customHeight="1">
      <c r="A119" s="3326" t="s">
        <v>904</v>
      </c>
      <c r="B119" s="3326"/>
      <c r="C119" s="3326"/>
      <c r="D119" s="3338" t="e">
        <f ca="1">NUMBERSTRING(INT(D118*10000),2)&amp;"元整"</f>
        <v>#N/A</v>
      </c>
      <c r="E119" s="3340"/>
      <c r="F119" s="3338" t="e">
        <f ca="1">NUMBERSTRING(INT(F118*10000),2)&amp;"元整"</f>
        <v>#N/A</v>
      </c>
      <c r="G119" s="3340"/>
      <c r="H119" s="3338" t="e">
        <f ca="1">NUMBERSTRING(INT(H118*10000),2)&amp;"元整"</f>
        <v>#N/A</v>
      </c>
      <c r="I119" s="3340"/>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78" t="s">
        <v>904</v>
      </c>
      <c r="B121" s="3379"/>
      <c r="C121" s="3380"/>
      <c r="D121" s="3338" t="str">
        <f>IF(D120=0,"零元整",NUMBERSTRING(INT(D120*10000),2)&amp;"元整")</f>
        <v>零元整</v>
      </c>
      <c r="E121" s="3339"/>
      <c r="F121" s="3339"/>
      <c r="G121" s="3339"/>
      <c r="H121" s="3339"/>
      <c r="I121" s="3340"/>
      <c r="AA121" s="239"/>
    </row>
    <row r="122" spans="1:27" ht="18.75" customHeight="1">
      <c r="A122" s="3369" t="str">
        <f>IF(项目基本情况!B9="房地产市场价值","",MID(E107,3,LEN(E107)-2))</f>
        <v>房地产抵押价值</v>
      </c>
      <c r="B122" s="3369"/>
      <c r="C122" s="3369"/>
      <c r="D122" s="3375" t="e">
        <f ca="1">H107</f>
        <v>#N/A</v>
      </c>
      <c r="E122" s="3376"/>
      <c r="F122" s="3376"/>
      <c r="G122" s="3376"/>
      <c r="H122" s="3376"/>
      <c r="I122" s="3377"/>
      <c r="AA122" s="239"/>
    </row>
    <row r="123" spans="1:27" ht="18.75" customHeight="1">
      <c r="A123" s="3326" t="s">
        <v>904</v>
      </c>
      <c r="B123" s="3326"/>
      <c r="C123" s="3326"/>
      <c r="D123" s="3338" t="e">
        <f ca="1">NUMBERSTRING(INT(D122*10000),2)&amp;"元整"</f>
        <v>#N/A</v>
      </c>
      <c r="E123" s="3339"/>
      <c r="F123" s="3339"/>
      <c r="G123" s="3339"/>
      <c r="H123" s="3339"/>
      <c r="I123" s="3340"/>
      <c r="AA123" s="239"/>
    </row>
    <row r="124" spans="1:27" ht="18.75" customHeight="1">
      <c r="A124" s="3369" t="str">
        <f>IF(项目基本情况!B9="房地产市场价值","",MID(E109,3,LEN(E109)-2))</f>
        <v/>
      </c>
      <c r="B124" s="3369"/>
      <c r="C124" s="3369"/>
      <c r="D124" s="3375" t="str">
        <f>H109</f>
        <v>——</v>
      </c>
      <c r="E124" s="3376"/>
      <c r="F124" s="3376"/>
      <c r="G124" s="3376"/>
      <c r="H124" s="3376"/>
      <c r="I124" s="3377"/>
      <c r="AA124" s="239"/>
    </row>
    <row r="125" spans="1:27" ht="18.75" customHeight="1">
      <c r="A125" s="3326" t="s">
        <v>904</v>
      </c>
      <c r="B125" s="3326"/>
      <c r="C125" s="3326"/>
      <c r="D125" s="3338" t="e">
        <f>NUMBERSTRING(INT(D124*10000),2)&amp;"元整"</f>
        <v>#VALUE!</v>
      </c>
      <c r="E125" s="3339"/>
      <c r="F125" s="3339"/>
      <c r="G125" s="3339"/>
      <c r="H125" s="3339"/>
      <c r="I125" s="3340"/>
      <c r="AA125" s="239"/>
    </row>
    <row r="126" spans="1:27" ht="18.75" customHeight="1">
      <c r="A126" s="3369" t="str">
        <f>IF(项目基本情况!B9="房地产市场价值","",MID(E111,3,LEN(E111)-2))</f>
        <v>抵押净值</v>
      </c>
      <c r="B126" s="3369"/>
      <c r="C126" s="3369"/>
      <c r="D126" s="3375" t="e">
        <f ca="1">H111</f>
        <v>#N/A</v>
      </c>
      <c r="E126" s="3376"/>
      <c r="F126" s="3376"/>
      <c r="G126" s="3376"/>
      <c r="H126" s="3376"/>
      <c r="I126" s="3377"/>
      <c r="AA126" s="239"/>
    </row>
    <row r="127" spans="1:27" ht="18.75" customHeight="1">
      <c r="A127" s="3326" t="s">
        <v>904</v>
      </c>
      <c r="B127" s="3326"/>
      <c r="C127" s="3326"/>
      <c r="D127" s="3338" t="e">
        <f ca="1">NUMBERSTRING(INT(D126*10000),2)&amp;"元整"</f>
        <v>#N/A</v>
      </c>
      <c r="E127" s="3339"/>
      <c r="F127" s="3339"/>
      <c r="G127" s="3339"/>
      <c r="H127" s="3339"/>
      <c r="I127" s="3340"/>
      <c r="AA127" s="239"/>
    </row>
    <row r="128" spans="1:27" ht="21.75" customHeight="1">
      <c r="A128" s="3325" t="s">
        <v>113</v>
      </c>
      <c r="B128" s="3325"/>
      <c r="C128" s="3325"/>
      <c r="D128" s="3325"/>
      <c r="E128" s="3325"/>
      <c r="F128" s="3325"/>
      <c r="G128" s="3325"/>
      <c r="H128" s="3325"/>
      <c r="I128" s="3325"/>
      <c r="AA128" s="239"/>
    </row>
    <row r="129" spans="1:35" ht="21.75" customHeight="1">
      <c r="A129" s="2420" t="s">
        <v>905</v>
      </c>
      <c r="B129" s="2421"/>
      <c r="C129" s="2422" t="s">
        <v>906</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907</v>
      </c>
      <c r="G135" s="2434"/>
      <c r="H135" s="2434"/>
      <c r="I135" s="2442" t="s">
        <v>908</v>
      </c>
    </row>
    <row r="136" spans="1:35" ht="21.75" customHeight="1">
      <c r="A136" s="239"/>
      <c r="B136" s="2435" t="s">
        <v>909</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910</v>
      </c>
    </row>
    <row r="139" spans="1:35" ht="21.75" customHeight="1">
      <c r="A139" s="239"/>
      <c r="B139" s="2435" t="s">
        <v>911</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910</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0" type="noConversion"/>
  <conditionalFormatting sqref="E36">
    <cfRule type="expression" dxfId="155" priority="1" stopIfTrue="1">
      <formula>$D$36="同一抵押权人同一抵押物续贷"</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D14:D16">
    <cfRule type="cellIs" dxfId="147" priority="4" stopIfTrue="1" operator="equal">
      <formula>30</formula>
    </cfRule>
  </conditionalFormatting>
  <conditionalFormatting sqref="C10:D13">
    <cfRule type="cellIs" dxfId="14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912</v>
      </c>
      <c r="B1" s="2130" t="s">
        <v>478</v>
      </c>
      <c r="C1" s="148"/>
      <c r="D1" s="148"/>
      <c r="E1" s="148"/>
      <c r="F1" s="148"/>
      <c r="G1" s="2132" t="e">
        <f>MATCH(B1,'数据-取费表'!A6:A16,0)+5</f>
        <v>#N/A</v>
      </c>
    </row>
    <row r="2" spans="1:9" s="138" customFormat="1" ht="18" customHeight="1">
      <c r="A2" s="150" t="s">
        <v>913</v>
      </c>
      <c r="B2" s="151" t="e">
        <f ca="1">IF(D2="——",C52,C52-E2)</f>
        <v>#N/A</v>
      </c>
      <c r="C2" s="149" t="s">
        <v>914</v>
      </c>
      <c r="D2" s="2133" t="s">
        <v>124</v>
      </c>
      <c r="E2" s="2134" t="e">
        <f ca="1">SUMIF(INDIRECT("'"&amp;G2&amp;"'"&amp;"!A:A"),"承租人权益价值",INDIRECT("'"&amp;G2&amp;"'"&amp;"!c:c"))</f>
        <v>#REF!</v>
      </c>
      <c r="F2" s="2135" t="s">
        <v>914</v>
      </c>
      <c r="G2" s="2136"/>
    </row>
    <row r="3" spans="1:9" s="138" customFormat="1" ht="18" customHeight="1">
      <c r="A3" s="153" t="s">
        <v>915</v>
      </c>
      <c r="B3" s="154" t="e">
        <f ca="1">ROUND(B2*10000/(IF(B1="",'数据-汇总表'!E3,INDIRECT("'数据-取费表'!k"&amp;$G$1))),0)</f>
        <v>#N/A</v>
      </c>
      <c r="C3" s="149" t="s">
        <v>916</v>
      </c>
      <c r="D3" s="149"/>
      <c r="E3" s="149"/>
      <c r="F3" s="149"/>
      <c r="G3" s="149"/>
    </row>
    <row r="4" spans="1:9" s="139" customFormat="1" ht="15.75">
      <c r="A4" s="155" t="s">
        <v>917</v>
      </c>
      <c r="B4" s="156"/>
      <c r="C4" s="156"/>
      <c r="D4" s="156"/>
      <c r="E4" s="156"/>
      <c r="F4" s="156"/>
      <c r="G4" s="157"/>
    </row>
    <row r="5" spans="1:9" s="140" customFormat="1" ht="13.5" customHeight="1">
      <c r="A5" s="158" t="s">
        <v>918</v>
      </c>
      <c r="B5" s="159" t="s">
        <v>919</v>
      </c>
      <c r="C5" s="160" t="e">
        <f ca="1">C6+C7+C8</f>
        <v>#N/A</v>
      </c>
      <c r="D5" s="160" t="s">
        <v>920</v>
      </c>
      <c r="E5" s="161" t="s">
        <v>921</v>
      </c>
      <c r="F5" s="161" t="s">
        <v>817</v>
      </c>
      <c r="G5" s="162"/>
    </row>
    <row r="6" spans="1:9" s="140" customFormat="1" ht="13.5" customHeight="1">
      <c r="A6" s="163" t="s">
        <v>922</v>
      </c>
      <c r="B6" s="164" t="s">
        <v>923</v>
      </c>
      <c r="C6" s="165">
        <f>[2]基准地价修正!$E$42</f>
        <v>1957</v>
      </c>
      <c r="D6" s="166"/>
      <c r="E6" s="167"/>
      <c r="F6" s="167"/>
      <c r="G6" s="168"/>
    </row>
    <row r="7" spans="1:9" s="140" customFormat="1" ht="13.5" customHeight="1">
      <c r="A7" s="163" t="s">
        <v>924</v>
      </c>
      <c r="B7" s="164" t="s">
        <v>925</v>
      </c>
      <c r="C7" s="169">
        <f>ROUND(C6*F7,0)</f>
        <v>60</v>
      </c>
      <c r="D7" s="169"/>
      <c r="E7" s="167"/>
      <c r="F7" s="170">
        <f>IF(项目基本情况!B8="出让",0,'数据-取费表'!B48+'数据-取费表'!B49)</f>
        <v>3.0499999999999999E-2</v>
      </c>
      <c r="G7" s="168"/>
    </row>
    <row r="8" spans="1:9" s="141" customFormat="1">
      <c r="A8" s="163" t="s">
        <v>926</v>
      </c>
      <c r="B8" s="164" t="s">
        <v>927</v>
      </c>
      <c r="C8" s="169" t="e">
        <f ca="1">IF(G8="已包含在土地购买价格中","0",IF(B1="",'数据-取费表'!B29,IF(G9="全部缴纳",C9+C10,H9)))</f>
        <v>#N/A</v>
      </c>
      <c r="D8" s="171"/>
      <c r="E8" s="169"/>
      <c r="F8" s="170"/>
      <c r="G8" s="2137"/>
    </row>
    <row r="9" spans="1:9" s="140" customFormat="1" ht="13.5" customHeight="1">
      <c r="A9" s="173" t="s">
        <v>928</v>
      </c>
      <c r="B9" s="174" t="s">
        <v>929</v>
      </c>
      <c r="C9" s="175" t="e">
        <f ca="1">ROUND(D9*E9/10000,0)</f>
        <v>#N/A</v>
      </c>
      <c r="D9" s="176" t="e">
        <f ca="1">IF(B1="",'数据-汇总表'!E5,IF(INDIRECT("'数据-取费表'!c"&amp;$G$1)="住宅",INDIRECT("'数据-取费表'!k"&amp;$G$1),0))</f>
        <v>#N/A</v>
      </c>
      <c r="E9" s="175">
        <f>'数据-取费表'!B27</f>
        <v>160</v>
      </c>
      <c r="F9" s="170"/>
      <c r="G9" s="2151" t="s">
        <v>930</v>
      </c>
      <c r="H9" s="2152"/>
      <c r="I9" s="2153" t="s">
        <v>931</v>
      </c>
    </row>
    <row r="10" spans="1:9" s="140" customFormat="1" ht="13.5" customHeight="1">
      <c r="A10" s="173" t="s">
        <v>932</v>
      </c>
      <c r="B10" s="174" t="s">
        <v>933</v>
      </c>
      <c r="C10" s="175" t="e">
        <f ca="1">ROUND(D10*E10/10000,0)</f>
        <v>#N/A</v>
      </c>
      <c r="D10" s="176" t="e">
        <f ca="1">IF(B1="",'数据-汇总表'!E6,IF(INDIRECT("'数据-取费表'!c"&amp;$G$1)="住宅",INDIRECT("'数据-取费表'!s"&amp;$G$1),INDIRECT("'数据-取费表'!k"&amp;$G$1)+INDIRECT("'数据-取费表'!s"&amp;$G$1)))</f>
        <v>#N/A</v>
      </c>
      <c r="E10" s="175">
        <f>'数据-取费表'!B28</f>
        <v>200</v>
      </c>
      <c r="F10" s="170"/>
      <c r="G10" s="177"/>
    </row>
    <row r="11" spans="1:9" s="140" customFormat="1" ht="13.5" hidden="1" customHeight="1">
      <c r="A11" s="178" t="s">
        <v>934</v>
      </c>
      <c r="B11" s="164" t="s">
        <v>935</v>
      </c>
      <c r="C11" s="160"/>
      <c r="D11" s="179"/>
      <c r="E11" s="167"/>
      <c r="F11" s="167"/>
      <c r="G11" s="168"/>
    </row>
    <row r="12" spans="1:9" s="140" customFormat="1" ht="13.5" hidden="1" customHeight="1">
      <c r="A12" s="178" t="s">
        <v>936</v>
      </c>
      <c r="B12" s="164" t="s">
        <v>853</v>
      </c>
      <c r="C12" s="160">
        <v>0</v>
      </c>
      <c r="D12" s="179"/>
      <c r="E12" s="180"/>
      <c r="F12" s="170">
        <v>3.0499999999999999E-2</v>
      </c>
      <c r="G12" s="168"/>
    </row>
    <row r="13" spans="1:9" s="140" customFormat="1" ht="13.5" hidden="1" customHeight="1">
      <c r="A13" s="178" t="s">
        <v>937</v>
      </c>
      <c r="B13" s="164" t="s">
        <v>938</v>
      </c>
      <c r="C13" s="160"/>
      <c r="D13" s="179"/>
      <c r="E13" s="167"/>
      <c r="F13" s="167"/>
      <c r="G13" s="168"/>
    </row>
    <row r="14" spans="1:9" s="140" customFormat="1" ht="13.5" hidden="1" customHeight="1">
      <c r="A14" s="178" t="s">
        <v>939</v>
      </c>
      <c r="B14" s="164" t="s">
        <v>927</v>
      </c>
      <c r="C14" s="160"/>
      <c r="D14" s="179"/>
      <c r="E14" s="167"/>
      <c r="F14" s="167"/>
      <c r="G14" s="168" t="s">
        <v>940</v>
      </c>
    </row>
    <row r="15" spans="1:9" s="140" customFormat="1" ht="13.5" hidden="1" customHeight="1">
      <c r="A15" s="178" t="s">
        <v>941</v>
      </c>
      <c r="B15" s="164" t="s">
        <v>942</v>
      </c>
      <c r="C15" s="169"/>
      <c r="D15" s="179"/>
      <c r="E15" s="167"/>
      <c r="F15" s="167"/>
      <c r="G15" s="168" t="s">
        <v>943</v>
      </c>
    </row>
    <row r="16" spans="1:9" s="140" customFormat="1" ht="13.5" hidden="1" customHeight="1">
      <c r="A16" s="178" t="s">
        <v>944</v>
      </c>
      <c r="B16" s="164" t="s">
        <v>927</v>
      </c>
      <c r="C16" s="169"/>
      <c r="D16" s="179"/>
      <c r="E16" s="167"/>
      <c r="F16" s="167"/>
      <c r="G16" s="168"/>
    </row>
    <row r="17" spans="1:7" s="140" customFormat="1" ht="13.5" hidden="1" customHeight="1">
      <c r="A17" s="178" t="s">
        <v>945</v>
      </c>
      <c r="B17" s="164" t="s">
        <v>946</v>
      </c>
      <c r="C17" s="181"/>
      <c r="D17" s="182"/>
      <c r="E17" s="181"/>
      <c r="F17" s="181"/>
      <c r="G17" s="168" t="s">
        <v>943</v>
      </c>
    </row>
    <row r="18" spans="1:7" s="140" customFormat="1" ht="13.5" hidden="1" customHeight="1">
      <c r="A18" s="178" t="s">
        <v>947</v>
      </c>
      <c r="B18" s="164" t="s">
        <v>948</v>
      </c>
      <c r="C18" s="169">
        <v>0</v>
      </c>
      <c r="D18" s="179"/>
      <c r="E18" s="167"/>
      <c r="F18" s="170">
        <v>3.0499999999999999E-2</v>
      </c>
      <c r="G18" s="168" t="s">
        <v>949</v>
      </c>
    </row>
    <row r="19" spans="1:7" s="141" customFormat="1" ht="13.5" customHeight="1">
      <c r="A19" s="158" t="s">
        <v>950</v>
      </c>
      <c r="B19" s="159" t="s">
        <v>951</v>
      </c>
      <c r="C19" s="160" t="str">
        <f>IF(G19="已包含在土地取得成本中","0",ROUND(D19*E19/10000,0))</f>
        <v>0</v>
      </c>
      <c r="D19" s="184" t="e">
        <f ca="1">D9+D10</f>
        <v>#N/A</v>
      </c>
      <c r="E19" s="160">
        <f>'数据-取费表'!B31</f>
        <v>200</v>
      </c>
      <c r="F19" s="185"/>
      <c r="G19" s="2137" t="s">
        <v>952</v>
      </c>
    </row>
    <row r="20" spans="1:7" s="140" customFormat="1" ht="13.5" customHeight="1">
      <c r="A20" s="158" t="s">
        <v>953</v>
      </c>
      <c r="B20" s="159" t="s">
        <v>954</v>
      </c>
      <c r="C20" s="186" t="e">
        <f ca="1">ROUND((C5+C19)*F20,0)</f>
        <v>#N/A</v>
      </c>
      <c r="D20" s="186"/>
      <c r="E20" s="186"/>
      <c r="F20" s="187">
        <f>'数据-取费表'!B37</f>
        <v>0.02</v>
      </c>
      <c r="G20" s="191" t="s">
        <v>955</v>
      </c>
    </row>
    <row r="21" spans="1:7" s="140" customFormat="1" ht="13.5" customHeight="1">
      <c r="A21" s="158" t="s">
        <v>956</v>
      </c>
      <c r="B21" s="159" t="s">
        <v>957</v>
      </c>
      <c r="C21" s="189">
        <f>F21</f>
        <v>0.02</v>
      </c>
      <c r="D21" s="190" t="s">
        <v>958</v>
      </c>
      <c r="E21" s="186"/>
      <c r="F21" s="187">
        <f>'数据-取费表'!B38</f>
        <v>0.02</v>
      </c>
      <c r="G21" s="191" t="s">
        <v>959</v>
      </c>
    </row>
    <row r="22" spans="1:7" s="140" customFormat="1" ht="13.5" customHeight="1">
      <c r="A22" s="158" t="s">
        <v>960</v>
      </c>
      <c r="B22" s="159" t="s">
        <v>961</v>
      </c>
      <c r="C22" s="192" t="e">
        <f ca="1">ROUND(SUM(C23:C25),0)</f>
        <v>#N/A</v>
      </c>
      <c r="D22" s="189">
        <f ca="1">C26</f>
        <v>4.0000000000000002E-4</v>
      </c>
      <c r="E22" s="190" t="s">
        <v>958</v>
      </c>
      <c r="F22" s="193">
        <f ca="1">'数据-取费表'!B40</f>
        <v>4.2000000000000003E-2</v>
      </c>
      <c r="G22" s="191" t="str">
        <f>IF('数据-取费表'!B22&lt;=1,"单利计息","复利计息")</f>
        <v>单利计息</v>
      </c>
    </row>
    <row r="23" spans="1:7" s="140" customFormat="1" ht="13.5" customHeight="1">
      <c r="A23" s="194" t="s">
        <v>922</v>
      </c>
      <c r="B23" s="164" t="s">
        <v>962</v>
      </c>
      <c r="C23" s="195" t="e">
        <f ca="1">ROUND(IF('数据-取费表'!B22&lt;=1,C5*F22*'数据-取费表'!B23,C5*(POWER((1+F22),'数据-取费表'!B23)-1)),0)</f>
        <v>#N/A</v>
      </c>
      <c r="D23" s="196"/>
      <c r="E23" s="196"/>
      <c r="F23" s="197"/>
      <c r="G23" s="198" t="s">
        <v>963</v>
      </c>
    </row>
    <row r="24" spans="1:7" s="140" customFormat="1" ht="13.5" customHeight="1">
      <c r="A24" s="194" t="s">
        <v>924</v>
      </c>
      <c r="B24" s="164" t="s">
        <v>964</v>
      </c>
      <c r="C24" s="195">
        <f ca="1">ROUND(IF('数据-取费表'!B22&lt;=1,C19*F22*('数据-取费表'!B19/2+'数据-取费表'!B21),C19*(POWER((1+F22),('数据-取费表'!B19/2+'数据-取费表'!B21))-1)),0)</f>
        <v>0</v>
      </c>
      <c r="D24" s="196"/>
      <c r="E24" s="196"/>
      <c r="F24" s="197"/>
      <c r="G24" s="198" t="s">
        <v>965</v>
      </c>
    </row>
    <row r="25" spans="1:7" s="140" customFormat="1" ht="24">
      <c r="A25" s="194" t="s">
        <v>926</v>
      </c>
      <c r="B25" s="164" t="s">
        <v>966</v>
      </c>
      <c r="C25" s="195" t="e">
        <f ca="1">ROUND(IF('数据-取费表'!B22&lt;=1,C20*F22*'数据-取费表'!B23/2,C20*(POWER((1+F22),'数据-取费表'!B23/2)-1)),0)</f>
        <v>#N/A</v>
      </c>
      <c r="D25" s="196"/>
      <c r="E25" s="199"/>
      <c r="F25" s="197"/>
      <c r="G25" s="200" t="s">
        <v>967</v>
      </c>
    </row>
    <row r="26" spans="1:7" s="140" customFormat="1">
      <c r="A26" s="194" t="s">
        <v>968</v>
      </c>
      <c r="B26" s="164" t="s">
        <v>969</v>
      </c>
      <c r="C26" s="196">
        <f ca="1">ROUND(IF('数据-取费表'!B22&lt;=1,F21*F22*'数据-取费表'!B23/2,F21*(POWER((1+F22),'数据-取费表'!B23/2)-1)),4)</f>
        <v>4.0000000000000002E-4</v>
      </c>
      <c r="D26" s="196"/>
      <c r="E26" s="199"/>
      <c r="F26" s="197"/>
      <c r="G26" s="201"/>
    </row>
    <row r="27" spans="1:7" s="140" customFormat="1" ht="24.75">
      <c r="A27" s="158" t="s">
        <v>970</v>
      </c>
      <c r="B27" s="202" t="s">
        <v>971</v>
      </c>
      <c r="C27" s="203" t="e">
        <f ca="1">C28</f>
        <v>#N/A</v>
      </c>
      <c r="D27" s="189" t="e">
        <f ca="1">C29</f>
        <v>#N/A</v>
      </c>
      <c r="E27" s="190" t="s">
        <v>958</v>
      </c>
      <c r="F27" s="204" t="e">
        <f ca="1">IF(B1="",'数据-取费表'!Q16,INDIRECT("'数据-取费表'!q"&amp;$G$1))</f>
        <v>#N/A</v>
      </c>
      <c r="G27" s="205" t="s">
        <v>972</v>
      </c>
    </row>
    <row r="28" spans="1:7" s="140" customFormat="1" ht="13.5" customHeight="1">
      <c r="A28" s="194" t="s">
        <v>922</v>
      </c>
      <c r="B28" s="206" t="s">
        <v>973</v>
      </c>
      <c r="C28" s="207" t="e">
        <f ca="1">ROUND((C5+C19+C20)*F27*'数据-取费表'!B21/'数据-取费表'!B20,0)</f>
        <v>#N/A</v>
      </c>
      <c r="D28" s="189"/>
      <c r="E28" s="190"/>
      <c r="F28" s="204"/>
      <c r="G28" s="205"/>
    </row>
    <row r="29" spans="1:7" s="140" customFormat="1" ht="13.5" customHeight="1">
      <c r="A29" s="194" t="s">
        <v>924</v>
      </c>
      <c r="B29" s="206" t="s">
        <v>974</v>
      </c>
      <c r="C29" s="196" t="e">
        <f ca="1">ROUND(C21*F27*'数据-取费表'!B21/'数据-取费表'!B20,4)</f>
        <v>#N/A</v>
      </c>
      <c r="D29" s="189"/>
      <c r="E29" s="190"/>
      <c r="F29" s="204"/>
      <c r="G29" s="205"/>
    </row>
    <row r="30" spans="1:7" s="140" customFormat="1" ht="13.5" customHeight="1">
      <c r="A30" s="158" t="s">
        <v>975</v>
      </c>
      <c r="B30" s="159" t="s">
        <v>976</v>
      </c>
      <c r="C30" s="189">
        <f>ROUND(F30/(1+'数据-取费表'!C42),4)</f>
        <v>5.2400000000000002E-2</v>
      </c>
      <c r="D30" s="190" t="s">
        <v>958</v>
      </c>
      <c r="E30" s="199"/>
      <c r="F30" s="193">
        <f>'数据-取费表'!B41</f>
        <v>5.5000000000000007E-2</v>
      </c>
      <c r="G30" s="191" t="s">
        <v>977</v>
      </c>
    </row>
    <row r="31" spans="1:7" ht="16.5" customHeight="1">
      <c r="A31" s="208">
        <v>1</v>
      </c>
      <c r="B31" s="159" t="s">
        <v>978</v>
      </c>
      <c r="C31" s="160" t="e">
        <f ca="1">ROUND((C5+C19+C20+C22+C27)/(1-C21-D22-D27-C30),0)</f>
        <v>#N/A</v>
      </c>
      <c r="D31" s="209"/>
      <c r="E31" s="160"/>
      <c r="F31" s="210"/>
      <c r="G31" s="191" t="s">
        <v>979</v>
      </c>
    </row>
    <row r="32" spans="1:7" s="139" customFormat="1" ht="15.75">
      <c r="A32" s="211" t="s">
        <v>980</v>
      </c>
      <c r="B32" s="212"/>
      <c r="C32" s="212"/>
      <c r="D32" s="212"/>
      <c r="E32" s="212"/>
      <c r="F32" s="212"/>
      <c r="G32" s="213"/>
    </row>
    <row r="33" spans="1:7" s="140" customFormat="1" ht="13.5" customHeight="1">
      <c r="A33" s="158" t="s">
        <v>918</v>
      </c>
      <c r="B33" s="159" t="s">
        <v>981</v>
      </c>
      <c r="C33" s="214" t="e">
        <f ca="1">SUM(C34:C38)</f>
        <v>#N/A</v>
      </c>
      <c r="D33" s="186"/>
      <c r="E33" s="161"/>
      <c r="F33" s="199"/>
      <c r="G33" s="191"/>
    </row>
    <row r="34" spans="1:7" s="142" customFormat="1" ht="13.5" customHeight="1">
      <c r="A34" s="194" t="s">
        <v>922</v>
      </c>
      <c r="B34" s="164" t="s">
        <v>982</v>
      </c>
      <c r="C34" s="169" t="e">
        <f ca="1">IF(B1="",IF(F34=100%,'数据-取费表'!M16,'数据-取费表'!O16),IF(F34=100%,INDIRECT("'数据-取费表'!m"&amp;$G$1)+INDIRECT("'数据-取费表'!t"&amp;$G$1),INDIRECT("'数据-取费表'!o"&amp;$G$1)+INDIRECT("'数据-取费表'!aq"&amp;$G$1)))</f>
        <v>#N/A</v>
      </c>
      <c r="D34" s="166"/>
      <c r="E34" s="169"/>
      <c r="F34" s="215">
        <f ca="1">IF('数据-取费表'!B24=0,1,IF(B1="",'数据-取费表'!N16,INDIRECT("'数据-取费表'!n"&amp;$G$1)))</f>
        <v>1</v>
      </c>
      <c r="G34" s="168" t="s">
        <v>983</v>
      </c>
    </row>
    <row r="35" spans="1:7" ht="13.5" customHeight="1">
      <c r="A35" s="194" t="s">
        <v>924</v>
      </c>
      <c r="B35" s="164" t="s">
        <v>984</v>
      </c>
      <c r="C35" s="169" t="e">
        <f ca="1">ROUND(C34*F35,0)</f>
        <v>#N/A</v>
      </c>
      <c r="D35" s="169"/>
      <c r="E35" s="169"/>
      <c r="F35" s="216">
        <f>'数据-取费表'!B33</f>
        <v>0.03</v>
      </c>
      <c r="G35" s="168" t="s">
        <v>985</v>
      </c>
    </row>
    <row r="36" spans="1:7" ht="24">
      <c r="A36" s="194" t="s">
        <v>926</v>
      </c>
      <c r="B36" s="164" t="s">
        <v>986</v>
      </c>
      <c r="C36" s="169" t="e">
        <f ca="1">ROUND(IF(B1="",SUMIF('数据-取费表'!C:C,"住宅",IF(F34=100%,'数据-取费表'!M:M,'数据-取费表'!O:O))*F36,IF(INDIRECT("'数据-取费表'!c"&amp;$G$1)="住宅",IF(F34=100%,INDIRECT("'数据-取费表'!m"&amp;$G$1)*F36,INDIRECT("'数据-取费表'!o"&amp;$G$1)*F36),0)),0)</f>
        <v>#N/A</v>
      </c>
      <c r="D36" s="169"/>
      <c r="E36" s="169"/>
      <c r="F36" s="216">
        <f>'数据-取费表'!B34</f>
        <v>0</v>
      </c>
      <c r="G36" s="217" t="s">
        <v>987</v>
      </c>
    </row>
    <row r="37" spans="1:7" s="142" customFormat="1" ht="13.5" customHeight="1">
      <c r="A37" s="194" t="s">
        <v>968</v>
      </c>
      <c r="B37" s="164" t="s">
        <v>988</v>
      </c>
      <c r="C37" s="207" t="e">
        <f ca="1">ROUND(E37*D37*F34/10000,0)</f>
        <v>#N/A</v>
      </c>
      <c r="D37" s="166" t="e">
        <f ca="1">D19</f>
        <v>#N/A</v>
      </c>
      <c r="E37" s="207">
        <f>'数据-取费表'!B35</f>
        <v>200</v>
      </c>
      <c r="F37" s="216"/>
      <c r="G37" s="218" t="s">
        <v>989</v>
      </c>
    </row>
    <row r="38" spans="1:7" ht="13.5" customHeight="1">
      <c r="A38" s="194" t="s">
        <v>990</v>
      </c>
      <c r="B38" s="164" t="s">
        <v>853</v>
      </c>
      <c r="C38" s="169" t="e">
        <f ca="1">ROUND(C34*F38,0)</f>
        <v>#N/A</v>
      </c>
      <c r="D38" s="169"/>
      <c r="E38" s="169"/>
      <c r="F38" s="216">
        <f>'数据-取费表'!B36</f>
        <v>1.4999999999999999E-2</v>
      </c>
      <c r="G38" s="168" t="s">
        <v>985</v>
      </c>
    </row>
    <row r="39" spans="1:7" s="140" customFormat="1" ht="13.5" customHeight="1">
      <c r="A39" s="158" t="s">
        <v>950</v>
      </c>
      <c r="B39" s="159" t="s">
        <v>954</v>
      </c>
      <c r="C39" s="186" t="e">
        <f ca="1">ROUND(C33*F20,0)</f>
        <v>#N/A</v>
      </c>
      <c r="D39" s="186"/>
      <c r="E39" s="186"/>
      <c r="F39" s="2140">
        <f>F20</f>
        <v>0.02</v>
      </c>
      <c r="G39" s="191" t="s">
        <v>991</v>
      </c>
    </row>
    <row r="40" spans="1:7" s="140" customFormat="1" ht="13.5" customHeight="1">
      <c r="A40" s="158" t="s">
        <v>953</v>
      </c>
      <c r="B40" s="159" t="s">
        <v>957</v>
      </c>
      <c r="C40" s="2141">
        <f>F21</f>
        <v>0.02</v>
      </c>
      <c r="D40" s="190" t="s">
        <v>992</v>
      </c>
      <c r="E40" s="186"/>
      <c r="F40" s="2140">
        <f>F21</f>
        <v>0.02</v>
      </c>
      <c r="G40" s="191" t="s">
        <v>993</v>
      </c>
    </row>
    <row r="41" spans="1:7" s="140" customFormat="1" ht="13.5" customHeight="1">
      <c r="A41" s="158" t="s">
        <v>956</v>
      </c>
      <c r="B41" s="159" t="s">
        <v>961</v>
      </c>
      <c r="C41" s="186" t="e">
        <f ca="1">ROUND(SUM(C42:C43),0)</f>
        <v>#N/A</v>
      </c>
      <c r="D41" s="189">
        <f ca="1">C44</f>
        <v>4.0000000000000002E-4</v>
      </c>
      <c r="E41" s="190" t="s">
        <v>992</v>
      </c>
      <c r="F41" s="2142">
        <f ca="1">F22</f>
        <v>4.2000000000000003E-2</v>
      </c>
      <c r="G41" s="191" t="str">
        <f>IF('数据-取费表'!B22&lt;=1,"单利计息","复利计息")</f>
        <v>单利计息</v>
      </c>
    </row>
    <row r="42" spans="1:7" ht="13.5" customHeight="1">
      <c r="A42" s="194" t="s">
        <v>922</v>
      </c>
      <c r="B42" s="164" t="s">
        <v>962</v>
      </c>
      <c r="C42" s="196" t="e">
        <f ca="1">ROUND(IF('数据-取费表'!B22&lt;=1,C33*F22*'数据-取费表'!B21/2,C33*(POWER((1+F22),'数据-取费表'!B21/2)-1)),0)</f>
        <v>#N/A</v>
      </c>
      <c r="D42" s="196"/>
      <c r="E42" s="196"/>
      <c r="F42" s="197"/>
      <c r="G42" s="3422" t="s">
        <v>994</v>
      </c>
    </row>
    <row r="43" spans="1:7" ht="13.5" customHeight="1">
      <c r="A43" s="194" t="s">
        <v>924</v>
      </c>
      <c r="B43" s="164" t="s">
        <v>964</v>
      </c>
      <c r="C43" s="196" t="e">
        <f ca="1">ROUND(IF('数据-取费表'!B22&lt;=1,C39*F22*'数据-取费表'!B21/2,C39*(POWER((1+F22),'数据-取费表'!B21/2)-1)),0)</f>
        <v>#N/A</v>
      </c>
      <c r="D43" s="196"/>
      <c r="E43" s="196"/>
      <c r="F43" s="197"/>
      <c r="G43" s="3423"/>
    </row>
    <row r="44" spans="1:7" ht="13.5" customHeight="1">
      <c r="A44" s="194" t="s">
        <v>926</v>
      </c>
      <c r="B44" s="164" t="s">
        <v>966</v>
      </c>
      <c r="C44" s="196">
        <f ca="1">ROUND(IF('数据-取费表'!B22&lt;=1,C40*F22*'数据-取费表'!B21/2,C40*(POWER((1+F22),'数据-取费表'!B21/2)-1)),4)</f>
        <v>4.0000000000000002E-4</v>
      </c>
      <c r="D44" s="196"/>
      <c r="E44" s="196"/>
      <c r="F44" s="197"/>
      <c r="G44" s="3424"/>
    </row>
    <row r="45" spans="1:7" s="140" customFormat="1" ht="13.5" customHeight="1">
      <c r="A45" s="158" t="s">
        <v>960</v>
      </c>
      <c r="B45" s="202" t="s">
        <v>971</v>
      </c>
      <c r="C45" s="203" t="e">
        <f ca="1">C46</f>
        <v>#N/A</v>
      </c>
      <c r="D45" s="189" t="e">
        <f ca="1">C47</f>
        <v>#N/A</v>
      </c>
      <c r="E45" s="190" t="s">
        <v>992</v>
      </c>
      <c r="F45" s="2143" t="e">
        <f ca="1">F27</f>
        <v>#N/A</v>
      </c>
      <c r="G45" s="205" t="s">
        <v>995</v>
      </c>
    </row>
    <row r="46" spans="1:7" s="140" customFormat="1" ht="13.5" customHeight="1">
      <c r="A46" s="194" t="s">
        <v>922</v>
      </c>
      <c r="B46" s="206" t="s">
        <v>996</v>
      </c>
      <c r="C46" s="207" t="e">
        <f ca="1">ROUND((C33+C39)*F27,0)</f>
        <v>#N/A</v>
      </c>
      <c r="D46" s="220"/>
      <c r="E46" s="190"/>
      <c r="F46" s="204"/>
      <c r="G46" s="205"/>
    </row>
    <row r="47" spans="1:7" s="140" customFormat="1" ht="13.5" customHeight="1">
      <c r="A47" s="194" t="s">
        <v>924</v>
      </c>
      <c r="B47" s="206" t="s">
        <v>997</v>
      </c>
      <c r="C47" s="196" t="e">
        <f ca="1">ROUND(C40*F27,4)</f>
        <v>#N/A</v>
      </c>
      <c r="D47" s="220"/>
      <c r="E47" s="190"/>
      <c r="F47" s="204"/>
      <c r="G47" s="205"/>
    </row>
    <row r="48" spans="1:7" s="140" customFormat="1" ht="13.5" customHeight="1">
      <c r="A48" s="158" t="s">
        <v>970</v>
      </c>
      <c r="B48" s="159" t="s">
        <v>976</v>
      </c>
      <c r="C48" s="2141">
        <f>ROUND(F30/(1+'数据-取费表'!C42),4)</f>
        <v>5.2400000000000002E-2</v>
      </c>
      <c r="D48" s="190" t="s">
        <v>992</v>
      </c>
      <c r="E48" s="186"/>
      <c r="F48" s="2142">
        <f>F30</f>
        <v>5.5000000000000007E-2</v>
      </c>
      <c r="G48" s="191" t="s">
        <v>998</v>
      </c>
    </row>
    <row r="49" spans="1:7" ht="16.5" customHeight="1">
      <c r="A49" s="158" t="s">
        <v>975</v>
      </c>
      <c r="B49" s="159" t="s">
        <v>999</v>
      </c>
      <c r="C49" s="186" t="e">
        <f ca="1">ROUND((C33+C39+C41+C45)/(1-C40-D41-D45-C48),0)</f>
        <v>#N/A</v>
      </c>
      <c r="D49" s="186"/>
      <c r="E49" s="186"/>
      <c r="F49" s="221"/>
      <c r="G49" s="191" t="s">
        <v>1000</v>
      </c>
    </row>
    <row r="50" spans="1:7" s="142" customFormat="1" ht="24">
      <c r="A50" s="158" t="s">
        <v>1001</v>
      </c>
      <c r="B50" s="159" t="s">
        <v>1002</v>
      </c>
      <c r="C50" s="186"/>
      <c r="D50" s="186"/>
      <c r="E50" s="186"/>
      <c r="F50" s="221">
        <f>IF('数据-取费表'!B24=0,'数据-取费表'!N16,1)</f>
        <v>0.88</v>
      </c>
      <c r="G50" s="205" t="s">
        <v>1003</v>
      </c>
    </row>
    <row r="51" spans="1:7" ht="16.5" customHeight="1">
      <c r="A51" s="158" t="s">
        <v>1004</v>
      </c>
      <c r="B51" s="159" t="s">
        <v>1005</v>
      </c>
      <c r="C51" s="186" t="e">
        <f ca="1">ROUND(C49*F50,0)</f>
        <v>#N/A</v>
      </c>
      <c r="D51" s="186"/>
      <c r="E51" s="186"/>
      <c r="F51" s="221"/>
      <c r="G51" s="191" t="s">
        <v>1006</v>
      </c>
    </row>
    <row r="52" spans="1:7" s="139" customFormat="1" ht="15.75">
      <c r="A52" s="222" t="s">
        <v>1007</v>
      </c>
      <c r="B52" s="223"/>
      <c r="C52" s="224" t="e">
        <f ca="1">C31+C51</f>
        <v>#N/A</v>
      </c>
      <c r="D52" s="223"/>
      <c r="E52" s="223"/>
      <c r="F52" s="223"/>
      <c r="G52" s="225"/>
    </row>
    <row r="55" spans="1:7" ht="15">
      <c r="B55" s="226" t="s">
        <v>1008</v>
      </c>
      <c r="C55" s="227"/>
    </row>
    <row r="56" spans="1:7">
      <c r="B56" s="228" t="s">
        <v>1009</v>
      </c>
      <c r="C56" s="230" t="e">
        <f ca="1">1-C57</f>
        <v>#N/A</v>
      </c>
    </row>
    <row r="57" spans="1:7">
      <c r="B57" s="228" t="s">
        <v>1010</v>
      </c>
      <c r="C57" s="229" t="e">
        <f ca="1">ROUND(C51/C52,3)</f>
        <v>#N/A</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20" sqref="I2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1109</v>
      </c>
      <c r="B1" s="1129"/>
      <c r="C1" s="1758" t="s">
        <v>478</v>
      </c>
      <c r="D1" s="1759" t="s">
        <v>124</v>
      </c>
      <c r="E1" s="1760" t="s">
        <v>1110</v>
      </c>
      <c r="F1" s="1761" t="e">
        <f ca="1">J53</f>
        <v>#N/A</v>
      </c>
      <c r="G1" s="1762" t="e">
        <f>MATCH(C1,'数据-取费表'!A6:A16,0)+5</f>
        <v>#N/A</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1111</v>
      </c>
      <c r="B2" s="1764" t="e">
        <f ca="1">C40+J29+L46</f>
        <v>#N/A</v>
      </c>
      <c r="C2" s="1765" t="s">
        <v>1112</v>
      </c>
      <c r="D2" s="1765"/>
      <c r="E2" s="1767"/>
      <c r="F2" s="1768"/>
      <c r="G2" s="1769"/>
      <c r="H2" s="1770"/>
      <c r="I2" s="1770"/>
      <c r="J2" s="1770"/>
      <c r="K2" s="1928"/>
      <c r="L2" s="1770"/>
      <c r="M2" s="1770"/>
    </row>
    <row r="3" spans="1:37" ht="18" customHeight="1">
      <c r="A3" s="1771" t="s">
        <v>1113</v>
      </c>
      <c r="B3" s="1772">
        <f ca="1">IF(ISERROR(B2*10000/F43),0,ROUND(B2*10000/F43,0))</f>
        <v>0</v>
      </c>
      <c r="C3" s="1765" t="s">
        <v>1114</v>
      </c>
      <c r="D3" s="1765"/>
      <c r="E3" s="1767"/>
      <c r="F3" s="1768"/>
      <c r="G3" s="1769"/>
      <c r="H3" s="1773" t="s">
        <v>1115</v>
      </c>
      <c r="I3" s="1929"/>
      <c r="J3" s="1929"/>
      <c r="K3" s="1930"/>
      <c r="L3" s="1929"/>
      <c r="M3" s="1929"/>
    </row>
    <row r="4" spans="1:37" ht="18" customHeight="1">
      <c r="A4" s="1774" t="s">
        <v>1116</v>
      </c>
      <c r="B4" s="1775" t="s">
        <v>1117</v>
      </c>
      <c r="C4" s="1775" t="s">
        <v>1118</v>
      </c>
      <c r="D4" s="1775" t="s">
        <v>1119</v>
      </c>
      <c r="E4" s="1776" t="s">
        <v>1120</v>
      </c>
      <c r="F4" s="1777"/>
      <c r="G4" s="773"/>
      <c r="H4" s="1774" t="s">
        <v>1116</v>
      </c>
      <c r="I4" s="1775" t="s">
        <v>1117</v>
      </c>
      <c r="J4" s="1775" t="s">
        <v>1118</v>
      </c>
      <c r="K4" s="1775" t="s">
        <v>1119</v>
      </c>
      <c r="L4" s="1776" t="s">
        <v>1120</v>
      </c>
      <c r="M4" s="1777"/>
    </row>
    <row r="5" spans="1:37" ht="18" customHeight="1">
      <c r="A5" s="1778">
        <v>1</v>
      </c>
      <c r="B5" s="1779" t="s">
        <v>1121</v>
      </c>
      <c r="C5" s="1780" t="e">
        <f ca="1">C6+C10+C12</f>
        <v>#N/A</v>
      </c>
      <c r="D5" s="1781" t="s">
        <v>1122</v>
      </c>
      <c r="E5" s="1782"/>
      <c r="F5" s="1783"/>
      <c r="G5" s="773"/>
      <c r="H5" s="1778">
        <v>1</v>
      </c>
      <c r="I5" s="1779" t="s">
        <v>1121</v>
      </c>
      <c r="J5" s="1780" t="e">
        <f ca="1">J6+J10+J12</f>
        <v>#N/A</v>
      </c>
      <c r="K5" s="1781" t="s">
        <v>1122</v>
      </c>
      <c r="L5" s="1782"/>
      <c r="M5" s="1783"/>
    </row>
    <row r="6" spans="1:37" ht="18" customHeight="1">
      <c r="A6" s="1784" t="s">
        <v>822</v>
      </c>
      <c r="B6" s="3468" t="s">
        <v>1123</v>
      </c>
      <c r="C6" s="1785" t="e">
        <f ca="1">ROUND(F6*F8*F7*(1-F9)/10000,0)</f>
        <v>#N/A</v>
      </c>
      <c r="D6" s="1786" t="s">
        <v>1124</v>
      </c>
      <c r="E6" s="1787" t="s">
        <v>1125</v>
      </c>
      <c r="F6" s="1788" t="e">
        <f ca="1">INDIRECT("'数据-取费表'!u"&amp;$G$1)</f>
        <v>#N/A</v>
      </c>
      <c r="G6" s="773"/>
      <c r="H6" s="1784" t="s">
        <v>822</v>
      </c>
      <c r="I6" s="3468" t="s">
        <v>1123</v>
      </c>
      <c r="J6" s="1859" t="e">
        <f ca="1">ROUND(M6*M8*M7*(1-M9)/10000,0)</f>
        <v>#N/A</v>
      </c>
      <c r="K6" s="1786" t="s">
        <v>1126</v>
      </c>
      <c r="L6" s="1787" t="s">
        <v>1125</v>
      </c>
      <c r="M6" s="1788" t="e">
        <f ca="1">INDIRECT("'数据-取费表'!z"&amp;$G$1)</f>
        <v>#N/A</v>
      </c>
    </row>
    <row r="7" spans="1:37" ht="18" customHeight="1">
      <c r="A7" s="1789"/>
      <c r="B7" s="3469"/>
      <c r="C7" s="1790"/>
      <c r="D7" s="1791"/>
      <c r="E7" s="1792" t="s">
        <v>1127</v>
      </c>
      <c r="F7" s="1788" t="e">
        <f ca="1">IF(INDIRECT("'数据-取费表'!ah"&amp;$G$1)="",INDIRECT("'数据-取费表'!k"&amp;$G$1),INDIRECT("'数据-取费表'!ah"&amp;$G$1))</f>
        <v>#N/A</v>
      </c>
      <c r="G7" s="773"/>
      <c r="H7" s="1793"/>
      <c r="I7" s="3469"/>
      <c r="J7" s="1794"/>
      <c r="K7" s="1791"/>
      <c r="L7" s="1787" t="s">
        <v>1127</v>
      </c>
      <c r="M7" s="1788" t="e">
        <f ca="1">F7</f>
        <v>#N/A</v>
      </c>
    </row>
    <row r="8" spans="1:37" ht="18" customHeight="1">
      <c r="A8" s="1793"/>
      <c r="B8" s="3469"/>
      <c r="C8" s="1794"/>
      <c r="D8" s="1791"/>
      <c r="E8" s="1787" t="s">
        <v>1128</v>
      </c>
      <c r="F8" s="1788" t="e">
        <f ca="1">INDIRECT("'数据-取费表'!ai"&amp;$G$1)</f>
        <v>#N/A</v>
      </c>
      <c r="G8" s="773"/>
      <c r="H8" s="1793"/>
      <c r="I8" s="3469"/>
      <c r="J8" s="1794"/>
      <c r="K8" s="1791"/>
      <c r="L8" s="1787" t="s">
        <v>1128</v>
      </c>
      <c r="M8" s="1788" t="e">
        <f ca="1">INDIRECT("'数据-取费表'!ai"&amp;$G$1)</f>
        <v>#N/A</v>
      </c>
    </row>
    <row r="9" spans="1:37" ht="18" customHeight="1">
      <c r="A9" s="1793"/>
      <c r="B9" s="3470"/>
      <c r="C9" s="1794"/>
      <c r="D9" s="1791"/>
      <c r="E9" s="1787" t="s">
        <v>1129</v>
      </c>
      <c r="F9" s="1795" t="e">
        <f ca="1">INDIRECT("'数据-取费表'!w"&amp;$G$1)</f>
        <v>#N/A</v>
      </c>
      <c r="G9" s="773"/>
      <c r="H9" s="1793"/>
      <c r="I9" s="3470"/>
      <c r="J9" s="1794"/>
      <c r="K9" s="1791"/>
      <c r="L9" s="1798" t="s">
        <v>1129</v>
      </c>
      <c r="M9" s="1803" t="e">
        <f ca="1">INDIRECT("'数据-取费表'!ab"&amp;$G$1)</f>
        <v>#N/A</v>
      </c>
    </row>
    <row r="10" spans="1:37" ht="18" customHeight="1">
      <c r="A10" s="1784" t="s">
        <v>826</v>
      </c>
      <c r="B10" s="1796" t="s">
        <v>1130</v>
      </c>
      <c r="C10" s="292">
        <f ca="1">ROUND(IF(F10="押一",C6/12*F11,IF(F10="押二",C6/12*2*F11,IF(F10="押三",C6/12*3*F11,C11*F11))),0)</f>
        <v>0</v>
      </c>
      <c r="D10" s="1797" t="s">
        <v>1131</v>
      </c>
      <c r="E10" s="1798" t="s">
        <v>1132</v>
      </c>
      <c r="F10" s="1799" t="s">
        <v>1307</v>
      </c>
      <c r="G10" s="773"/>
      <c r="H10" s="1784" t="s">
        <v>826</v>
      </c>
      <c r="I10" s="1796" t="s">
        <v>1130</v>
      </c>
      <c r="J10" s="1859" t="e">
        <f ca="1">ROUND(IF(M10="押一",J6/12*M11,IF(M10="押二",J6/12*2*M11,IF(M10="押三",J6/12*3*M11,J11*M11))),0)</f>
        <v>#N/A</v>
      </c>
      <c r="K10" s="1797" t="s">
        <v>1131</v>
      </c>
      <c r="L10" s="1798" t="s">
        <v>1132</v>
      </c>
      <c r="M10" s="1799" t="s">
        <v>1134</v>
      </c>
    </row>
    <row r="11" spans="1:37" ht="18" customHeight="1">
      <c r="A11" s="1800"/>
      <c r="B11" s="1801" t="s">
        <v>1135</v>
      </c>
      <c r="C11" s="1802"/>
      <c r="D11" s="2144"/>
      <c r="E11" s="1798" t="s">
        <v>1136</v>
      </c>
      <c r="F11" s="1803">
        <f ca="1">'数据-取费表'!B39</f>
        <v>1.4999999999999999E-2</v>
      </c>
      <c r="G11" s="773"/>
      <c r="H11" s="1804"/>
      <c r="I11" s="1801" t="s">
        <v>1135</v>
      </c>
      <c r="J11" s="1802"/>
      <c r="K11" s="1933"/>
      <c r="L11" s="1798" t="s">
        <v>1136</v>
      </c>
      <c r="M11" s="1934">
        <f ca="1">'数据-取费表'!B39</f>
        <v>1.4999999999999999E-2</v>
      </c>
    </row>
    <row r="12" spans="1:37" ht="18" customHeight="1">
      <c r="A12" s="1805" t="s">
        <v>872</v>
      </c>
      <c r="B12" s="1806" t="s">
        <v>1137</v>
      </c>
      <c r="C12" s="1807"/>
      <c r="D12" s="1808"/>
      <c r="E12" s="1809"/>
      <c r="F12" s="1810"/>
      <c r="G12" s="773"/>
      <c r="H12" s="1805" t="s">
        <v>872</v>
      </c>
      <c r="I12" s="1806" t="s">
        <v>1137</v>
      </c>
      <c r="J12" s="1807"/>
      <c r="K12" s="1935"/>
      <c r="L12" s="1809"/>
      <c r="M12" s="1936"/>
    </row>
    <row r="13" spans="1:37" ht="18" customHeight="1">
      <c r="A13" s="1811">
        <v>2</v>
      </c>
      <c r="B13" s="1812" t="s">
        <v>1138</v>
      </c>
      <c r="C13" s="1813" t="e">
        <f ca="1">ROUND(C29*F13,0)</f>
        <v>#N/A</v>
      </c>
      <c r="D13" s="1814" t="s">
        <v>1139</v>
      </c>
      <c r="E13" s="1814" t="s">
        <v>1140</v>
      </c>
      <c r="F13" s="1815" t="e">
        <f ca="1">INDIRECT("'数据-取费表'!y"&amp;$G$1)</f>
        <v>#N/A</v>
      </c>
      <c r="G13" s="773"/>
      <c r="H13" s="1811">
        <v>2</v>
      </c>
      <c r="I13" s="1812" t="s">
        <v>1138</v>
      </c>
      <c r="J13" s="1937" t="e">
        <f ca="1">ROUND(J14*J15,0)</f>
        <v>#N/A</v>
      </c>
      <c r="K13" s="1837" t="s">
        <v>1139</v>
      </c>
      <c r="L13" s="1938"/>
      <c r="M13" s="1939"/>
    </row>
    <row r="14" spans="1:37" ht="18" customHeight="1">
      <c r="A14" s="1816" t="s">
        <v>845</v>
      </c>
      <c r="B14" s="1787" t="s">
        <v>1141</v>
      </c>
      <c r="C14" s="1817" t="e">
        <f ca="1">INDIRECT("'数据-取费表'!m"&amp;$G$1)+INDIRECT("'数据-取费表'!t"&amp;$G$1)</f>
        <v>#N/A</v>
      </c>
      <c r="D14" s="1818" t="s">
        <v>1142</v>
      </c>
      <c r="E14" s="1819"/>
      <c r="F14" s="1820"/>
      <c r="G14" s="773"/>
      <c r="H14" s="1816" t="s">
        <v>822</v>
      </c>
      <c r="I14" s="1787" t="s">
        <v>1143</v>
      </c>
      <c r="J14" s="293" t="e">
        <f ca="1">C29</f>
        <v>#N/A</v>
      </c>
      <c r="K14" s="1940"/>
      <c r="L14" s="1941"/>
      <c r="M14" s="1942"/>
    </row>
    <row r="15" spans="1:37" s="1755" customFormat="1" ht="18" customHeight="1">
      <c r="A15" s="1816" t="s">
        <v>849</v>
      </c>
      <c r="B15" s="1787" t="s">
        <v>1144</v>
      </c>
      <c r="C15" s="293" t="e">
        <f ca="1">ROUND(C14*F15,0)</f>
        <v>#N/A</v>
      </c>
      <c r="D15" s="1821" t="s">
        <v>1145</v>
      </c>
      <c r="E15" s="1821" t="s">
        <v>1146</v>
      </c>
      <c r="F15" s="1822">
        <f>'数据-取费表'!B33</f>
        <v>0.03</v>
      </c>
      <c r="G15" s="1823"/>
      <c r="H15" s="1824" t="s">
        <v>826</v>
      </c>
      <c r="I15" s="1809" t="s">
        <v>1140</v>
      </c>
      <c r="J15" s="1936" t="e">
        <f ca="1">INDIRECT("'数据-取费表'!ad"&amp;$G$1)</f>
        <v>#N/A</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852</v>
      </c>
      <c r="B16" s="1787" t="s">
        <v>1147</v>
      </c>
      <c r="C16" s="293" t="e">
        <f ca="1">ROUND(INDIRECT("'数据-取费表'!m"&amp;$G$1)*F16,0)</f>
        <v>#N/A</v>
      </c>
      <c r="D16" s="1787" t="s">
        <v>1145</v>
      </c>
      <c r="E16" s="1787" t="s">
        <v>1146</v>
      </c>
      <c r="F16" s="1825" t="e">
        <f ca="1">IF(INDIRECT("'数据-取费表'!c"&amp;$G$1)="住宅",'数据-取费表'!B34,0)</f>
        <v>#N/A</v>
      </c>
      <c r="G16" s="773"/>
      <c r="H16" s="1811" t="s">
        <v>1148</v>
      </c>
      <c r="I16" s="1812" t="s">
        <v>1149</v>
      </c>
      <c r="J16" s="1813" t="e">
        <f ca="1">ROUND(J17+J22+J23+J24,0)</f>
        <v>#N/A</v>
      </c>
      <c r="K16" s="1837" t="s">
        <v>1150</v>
      </c>
      <c r="L16" s="1838"/>
      <c r="M16" s="1783"/>
    </row>
    <row r="17" spans="1:37" s="1755" customFormat="1" ht="18" customHeight="1">
      <c r="A17" s="1816" t="s">
        <v>1151</v>
      </c>
      <c r="B17" s="1787" t="s">
        <v>1152</v>
      </c>
      <c r="C17" s="293" t="e">
        <f ca="1">ROUND(F17*(F43+INDIRECT("'数据-取费表'!S"&amp;$G$1))/10000,0)</f>
        <v>#N/A</v>
      </c>
      <c r="D17" s="1787" t="s">
        <v>1153</v>
      </c>
      <c r="E17" s="1787" t="s">
        <v>1154</v>
      </c>
      <c r="F17" s="1826">
        <f>'数据-取费表'!B35</f>
        <v>200</v>
      </c>
      <c r="G17" s="1823"/>
      <c r="H17" s="1816" t="s">
        <v>822</v>
      </c>
      <c r="I17" s="1787" t="s">
        <v>1155</v>
      </c>
      <c r="J17" s="1840" t="e">
        <f ca="1">ROUND(IF(AND(项目基本情况!B11="自然人",项目基本情况!B10="北京市"),J6*M17/(1+'数据-取费表'!C42),J18+J19+J20),0)</f>
        <v>#N/A</v>
      </c>
      <c r="K17" s="1818" t="s">
        <v>1156</v>
      </c>
      <c r="L17" s="1841" t="s">
        <v>1157</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1158</v>
      </c>
      <c r="B18" s="1787" t="s">
        <v>1159</v>
      </c>
      <c r="C18" s="293" t="e">
        <f ca="1">ROUND(C14*F18,0)</f>
        <v>#N/A</v>
      </c>
      <c r="D18" s="1787" t="s">
        <v>1145</v>
      </c>
      <c r="E18" s="1787" t="s">
        <v>1146</v>
      </c>
      <c r="F18" s="1825">
        <f>'数据-取费表'!B36</f>
        <v>1.4999999999999999E-2</v>
      </c>
      <c r="G18" s="1823"/>
      <c r="H18" s="1816" t="s">
        <v>845</v>
      </c>
      <c r="I18" s="1787" t="s">
        <v>1160</v>
      </c>
      <c r="J18" s="293" t="e">
        <f ca="1">ROUND(J6*M18/(1+'数据-取费表'!C42),2)</f>
        <v>#N/A</v>
      </c>
      <c r="K18" s="1841" t="s">
        <v>1161</v>
      </c>
      <c r="L18" s="1787" t="s">
        <v>1146</v>
      </c>
      <c r="M18" s="1825">
        <f>'数据-取费表'!B41</f>
        <v>5.5000000000000007E-2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822</v>
      </c>
      <c r="B19" s="1787" t="s">
        <v>1162</v>
      </c>
      <c r="C19" s="293" t="e">
        <f ca="1">SUM(C14:C18)</f>
        <v>#N/A</v>
      </c>
      <c r="D19" s="1827" t="s">
        <v>1163</v>
      </c>
      <c r="E19" s="295"/>
      <c r="F19" s="1826"/>
      <c r="G19" s="773"/>
      <c r="H19" s="1816" t="s">
        <v>849</v>
      </c>
      <c r="I19" s="1787" t="s">
        <v>1164</v>
      </c>
      <c r="J19" s="293" t="e">
        <f ca="1">IF(K19="按租金收入计税",ROUND(J6*M19/(1+'数据-取费表'!C42),2),ROUND(C29*M19*0.7,2))</f>
        <v>#N/A</v>
      </c>
      <c r="K19" s="1844" t="s">
        <v>1165</v>
      </c>
      <c r="L19" s="1787" t="s">
        <v>1146</v>
      </c>
      <c r="M19" s="1825">
        <f>IF(K19="按租金收入计税",'数据-取费表'!B51,'数据-取费表'!B50)</f>
        <v>1.2E-2</v>
      </c>
    </row>
    <row r="20" spans="1:37" s="1755" customFormat="1" ht="18" customHeight="1">
      <c r="A20" s="1816" t="s">
        <v>826</v>
      </c>
      <c r="B20" s="1787" t="s">
        <v>1166</v>
      </c>
      <c r="C20" s="293" t="e">
        <f ca="1">ROUND(C19*F20,0)</f>
        <v>#N/A</v>
      </c>
      <c r="D20" s="1828" t="s">
        <v>1167</v>
      </c>
      <c r="E20" s="1787" t="s">
        <v>1146</v>
      </c>
      <c r="F20" s="1825">
        <f>'数据-取费表'!B37</f>
        <v>0.02</v>
      </c>
      <c r="G20" s="1823"/>
      <c r="H20" s="1816" t="s">
        <v>852</v>
      </c>
      <c r="I20" s="1786" t="s">
        <v>1168</v>
      </c>
      <c r="J20" s="1846" t="e">
        <f ca="1">ROUND(M20*M21/10000,2)</f>
        <v>#N/A</v>
      </c>
      <c r="K20" s="1847" t="s">
        <v>1169</v>
      </c>
      <c r="L20" s="1787" t="s">
        <v>1170</v>
      </c>
      <c r="M20" s="1831">
        <f>'数据-取费表'!B52</f>
        <v>1.5</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872</v>
      </c>
      <c r="B21" s="1787" t="s">
        <v>1171</v>
      </c>
      <c r="C21" s="293" t="s">
        <v>124</v>
      </c>
      <c r="D21" s="1828" t="s">
        <v>1172</v>
      </c>
      <c r="E21" s="1787" t="s">
        <v>1173</v>
      </c>
      <c r="F21" s="1825">
        <f>'数据-取费表'!B38</f>
        <v>0.02</v>
      </c>
      <c r="G21" s="1823"/>
      <c r="H21" s="1829"/>
      <c r="I21" s="1946"/>
      <c r="J21" s="1850"/>
      <c r="K21" s="1851"/>
      <c r="L21" s="1787" t="s">
        <v>1174</v>
      </c>
      <c r="M21" s="1788" t="e">
        <f ca="1">INDIRECT("'数据-取费表'!r"&amp;$G$1)</f>
        <v>#N/A</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875</v>
      </c>
      <c r="B22" s="1787" t="s">
        <v>1175</v>
      </c>
      <c r="C22" s="293"/>
      <c r="D22" s="1827" t="str">
        <f>IF(F23&lt;=1,"单利计息。","复利计息。")&amp;"建造成本、管理费用、销售费用产生的利息。"</f>
        <v>单利计息。建造成本、管理费用、销售费用产生的利息。</v>
      </c>
      <c r="E22" s="295"/>
      <c r="F22" s="1826"/>
      <c r="G22" s="773"/>
      <c r="H22" s="1816" t="s">
        <v>826</v>
      </c>
      <c r="I22" s="1787" t="s">
        <v>1176</v>
      </c>
      <c r="J22" s="293" t="e">
        <f ca="1">ROUND(J14*M22,1)</f>
        <v>#N/A</v>
      </c>
      <c r="K22" s="1841" t="s">
        <v>1177</v>
      </c>
      <c r="L22" s="1787" t="s">
        <v>1146</v>
      </c>
      <c r="M22" s="1853" t="e">
        <f ca="1">INDIRECT("'数据-取费表'!Ak"&amp;$G$1)</f>
        <v>#N/A</v>
      </c>
    </row>
    <row r="23" spans="1:37" s="1755" customFormat="1" ht="18" customHeight="1">
      <c r="A23" s="1816" t="s">
        <v>845</v>
      </c>
      <c r="B23" s="1787" t="s">
        <v>1178</v>
      </c>
      <c r="C23" s="293" t="e">
        <f ca="1">IF('数据-取费表'!B22&lt;=1,ROUND(C19*F24*F23/2,0)+ROUND(C20*F24*F23/2,0),ROUND(C19*(POWER((1+F24),F23/2)-1),0)+ROUND(C20*(POWER((1+F24),F23/2)-1),0))</f>
        <v>#N/A</v>
      </c>
      <c r="D23" s="1830" t="str">
        <f>IF(F23&lt;=1,"(建造成本+管理费用)×利率×(建设周期÷2)","(建造成本+管理费用)×((1+利率)^(建设周期÷2)-1)")</f>
        <v>(建造成本+管理费用)×利率×(建设周期÷2)</v>
      </c>
      <c r="E23" s="1787" t="s">
        <v>1179</v>
      </c>
      <c r="F23" s="1831">
        <f>'数据-取费表'!B20</f>
        <v>1</v>
      </c>
      <c r="G23" s="1823"/>
      <c r="H23" s="1816" t="s">
        <v>872</v>
      </c>
      <c r="I23" s="1787" t="s">
        <v>1180</v>
      </c>
      <c r="J23" s="293" t="e">
        <f ca="1">ROUND(J13*M23,1)</f>
        <v>#N/A</v>
      </c>
      <c r="K23" s="1841" t="s">
        <v>1181</v>
      </c>
      <c r="L23" s="1787" t="s">
        <v>1146</v>
      </c>
      <c r="M23" s="1854" t="e">
        <f ca="1">INDIRECT("'数据-取费表'!Al"&amp;$G$1)</f>
        <v>#N/A</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849</v>
      </c>
      <c r="B24" s="1787" t="s">
        <v>1182</v>
      </c>
      <c r="C24" s="293">
        <f ca="1">ROUND(IF('数据-取费表'!B22&lt;=1,F21*F24*F23/2,F21*(POWER((1+F24),F23/2)-1)),4)</f>
        <v>4.0000000000000002E-4</v>
      </c>
      <c r="D24" s="1830" t="str">
        <f>IF(F23&lt;=1,"销售费用×利率×(建设周期÷2)","销售费用×((1+利率)^(建设周期÷2)-1)")</f>
        <v>销售费用×利率×(建设周期÷2)</v>
      </c>
      <c r="E24" s="1787" t="s">
        <v>1183</v>
      </c>
      <c r="F24" s="1832">
        <f ca="1">'数据-取费表'!B40</f>
        <v>4.2000000000000003E-2</v>
      </c>
      <c r="G24" s="1823"/>
      <c r="H24" s="1824" t="s">
        <v>875</v>
      </c>
      <c r="I24" s="1809" t="s">
        <v>1166</v>
      </c>
      <c r="J24" s="1833" t="e">
        <f ca="1">ROUND(J5*M24,1)</f>
        <v>#N/A</v>
      </c>
      <c r="K24" s="1834" t="s">
        <v>1184</v>
      </c>
      <c r="L24" s="1809" t="s">
        <v>1146</v>
      </c>
      <c r="M24" s="1810" t="e">
        <f ca="1">INDIRECT("'数据-取费表'!Am"&amp;$G$1)</f>
        <v>#N/A</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879</v>
      </c>
      <c r="B25" s="1787" t="s">
        <v>1185</v>
      </c>
      <c r="C25" s="293"/>
      <c r="D25" s="1827" t="s">
        <v>1186</v>
      </c>
      <c r="E25" s="295"/>
      <c r="F25" s="1826"/>
      <c r="G25" s="773"/>
      <c r="H25" s="1811" t="s">
        <v>1187</v>
      </c>
      <c r="I25" s="1855" t="s">
        <v>1188</v>
      </c>
      <c r="J25" s="1813" t="e">
        <f ca="1">J5-J16</f>
        <v>#N/A</v>
      </c>
      <c r="K25" s="1856" t="s">
        <v>1189</v>
      </c>
      <c r="L25" s="1857"/>
      <c r="M25" s="1858"/>
    </row>
    <row r="26" spans="1:37">
      <c r="A26" s="1816" t="s">
        <v>845</v>
      </c>
      <c r="B26" s="1787" t="s">
        <v>1190</v>
      </c>
      <c r="C26" s="293" t="e">
        <f ca="1">ROUND((C19+C20)*F26,0)</f>
        <v>#N/A</v>
      </c>
      <c r="D26" s="1828" t="s">
        <v>1191</v>
      </c>
      <c r="E26" s="1798" t="s">
        <v>1192</v>
      </c>
      <c r="F26" s="1795" t="e">
        <f ca="1">INDIRECT("'数据-取费表'!q"&amp;$G$1)</f>
        <v>#N/A</v>
      </c>
      <c r="G26" s="773"/>
      <c r="H26" s="1778" t="s">
        <v>1193</v>
      </c>
      <c r="I26" s="1779" t="s">
        <v>1194</v>
      </c>
      <c r="J26" s="1859" t="e">
        <f ca="1">IF(J5&lt;&gt;0,ROUND(J25*(1-((1+M28)/(1+M26))^M27)/(M26-M28),0),0)</f>
        <v>#N/A</v>
      </c>
      <c r="K26" s="1847" t="s">
        <v>1195</v>
      </c>
      <c r="L26" s="1787" t="s">
        <v>1196</v>
      </c>
      <c r="M26" s="1795" t="e">
        <f ca="1">INDIRECT("'数据-取费表'!I"&amp;$G$1)</f>
        <v>#N/A</v>
      </c>
    </row>
    <row r="27" spans="1:37" ht="18" customHeight="1">
      <c r="A27" s="1816" t="s">
        <v>849</v>
      </c>
      <c r="B27" s="1787" t="s">
        <v>1197</v>
      </c>
      <c r="C27" s="293" t="e">
        <f ca="1">ROUND(F21*F26,4)</f>
        <v>#N/A</v>
      </c>
      <c r="D27" s="1828" t="s">
        <v>1198</v>
      </c>
      <c r="E27" s="1821"/>
      <c r="F27" s="1822"/>
      <c r="G27" s="773"/>
      <c r="H27" s="1793"/>
      <c r="I27" s="1861"/>
      <c r="J27" s="1794"/>
      <c r="K27" s="1862" t="s">
        <v>1199</v>
      </c>
      <c r="L27" s="1787" t="s">
        <v>1200</v>
      </c>
      <c r="M27" s="1863" t="e">
        <f ca="1">INDIRECT("'数据-取费表'!ag"&amp;$G$1)</f>
        <v>#N/A</v>
      </c>
    </row>
    <row r="28" spans="1:37" s="1755" customFormat="1" ht="18" customHeight="1">
      <c r="A28" s="1816" t="s">
        <v>880</v>
      </c>
      <c r="B28" s="1787" t="s">
        <v>1201</v>
      </c>
      <c r="C28" s="293">
        <f>ROUND(F28/(1+'数据-取费表'!C42),4)</f>
        <v>5.2400000000000002E-2</v>
      </c>
      <c r="D28" s="1828" t="s">
        <v>1202</v>
      </c>
      <c r="E28" s="1787" t="s">
        <v>1146</v>
      </c>
      <c r="F28" s="1825">
        <f>'数据-取费表'!B41</f>
        <v>5.5000000000000007E-2</v>
      </c>
      <c r="G28" s="1823"/>
      <c r="H28" s="1800"/>
      <c r="I28" s="1865"/>
      <c r="J28" s="1813"/>
      <c r="K28" s="1851"/>
      <c r="L28" s="1787" t="s">
        <v>1203</v>
      </c>
      <c r="M28" s="1795" t="e">
        <f ca="1">INDIRECT("'数据-取费表'!aa"&amp;$G$1)</f>
        <v>#N/A</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1204</v>
      </c>
      <c r="B29" s="1809" t="s">
        <v>1205</v>
      </c>
      <c r="C29" s="1833" t="e">
        <f ca="1">ROUND((C19+C20+C23+C26)/(1-F21-C24-C27-C28),0)</f>
        <v>#N/A</v>
      </c>
      <c r="D29" s="1834"/>
      <c r="E29" s="1809"/>
      <c r="F29" s="1835"/>
      <c r="G29" s="1823"/>
      <c r="H29" s="1836" t="s">
        <v>1206</v>
      </c>
      <c r="I29" s="1866" t="s">
        <v>1207</v>
      </c>
      <c r="J29" s="1867" t="e">
        <f ca="1">ROUND(J26/(1+F40)^F41,0)</f>
        <v>#N/A</v>
      </c>
      <c r="K29" s="1868" t="s">
        <v>1208</v>
      </c>
      <c r="L29" s="1869"/>
      <c r="M29" s="1870" t="e">
        <f ca="1">INDIRECT("'数据-取费表'!k"&amp;$G$1)</f>
        <v>#N/A</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1148</v>
      </c>
      <c r="B30" s="1812" t="s">
        <v>1149</v>
      </c>
      <c r="C30" s="1813" t="e">
        <f ca="1">ROUND(C31+C36+C37+C38,0)</f>
        <v>#N/A</v>
      </c>
      <c r="D30" s="1837" t="s">
        <v>1150</v>
      </c>
      <c r="E30" s="1838"/>
      <c r="F30" s="1783"/>
      <c r="G30" s="773"/>
      <c r="H30" s="1839"/>
      <c r="I30" s="1947"/>
      <c r="J30" s="1948"/>
      <c r="K30" s="1949"/>
      <c r="L30" s="1950"/>
      <c r="M30" s="1951"/>
    </row>
    <row r="31" spans="1:37" ht="18" customHeight="1">
      <c r="A31" s="1816" t="s">
        <v>822</v>
      </c>
      <c r="B31" s="1787" t="s">
        <v>1155</v>
      </c>
      <c r="C31" s="1840" t="e">
        <f ca="1">ROUND(IF(AND(项目基本情况!B11="自然人",项目基本情况!B10="北京市"),C6*F31/(1+'数据-取费表'!C42),C32+C33+C34),0)</f>
        <v>#N/A</v>
      </c>
      <c r="D31" s="1818" t="s">
        <v>1156</v>
      </c>
      <c r="E31" s="1841" t="s">
        <v>1157</v>
      </c>
      <c r="F31" s="1842" t="str">
        <f>IF(项目基本情况!B11="企业","——",IF('数据-取费表'!B10="住宅",IF(F6*F7*F8/12/(1+'数据-取费表'!F30)&gt;100000,4%,2.5%),IF(F6*F7*F8/12/(1+'数据-取费表'!F30)&gt;100000,12%,7%)))</f>
        <v>——</v>
      </c>
      <c r="G31" s="773"/>
      <c r="H31" s="1843" t="s">
        <v>1209</v>
      </c>
      <c r="I31" s="1947"/>
      <c r="J31" s="1948"/>
      <c r="K31" s="1949"/>
      <c r="L31" s="1950"/>
      <c r="M31" s="1951"/>
    </row>
    <row r="32" spans="1:37" ht="18" customHeight="1">
      <c r="A32" s="1816" t="s">
        <v>845</v>
      </c>
      <c r="B32" s="1787" t="s">
        <v>1160</v>
      </c>
      <c r="C32" s="293" t="e">
        <f ca="1">IF(项目基本情况!B11="自然人","——",ROUND(C6*F32/(1+'数据-取费表'!C42),2))</f>
        <v>#N/A</v>
      </c>
      <c r="D32" s="1841" t="s">
        <v>1161</v>
      </c>
      <c r="E32" s="1787" t="s">
        <v>1146</v>
      </c>
      <c r="F32" s="1832">
        <f>'数据-取费表'!B41</f>
        <v>5.5000000000000007E-2</v>
      </c>
      <c r="G32" s="773"/>
      <c r="H32" s="1839"/>
      <c r="I32" s="1947"/>
      <c r="J32" s="1948"/>
      <c r="K32" s="1949"/>
      <c r="L32" s="1950"/>
      <c r="M32" s="1951"/>
    </row>
    <row r="33" spans="1:18" ht="18" customHeight="1">
      <c r="A33" s="1816" t="s">
        <v>849</v>
      </c>
      <c r="B33" s="1787" t="s">
        <v>1164</v>
      </c>
      <c r="C33" s="293" t="e">
        <f ca="1">IF(项目基本情况!B11="自然人","——",IF(D33="按租金收入计税",ROUND(C6*F33/(1+'数据-取费表'!C42),2),IF(D33="按房产原值计税",ROUND(C29*F33*0.7,2),INDIRECT("'数据-取费表'!Aj"&amp;$G$1))))</f>
        <v>#N/A</v>
      </c>
      <c r="D33" s="1844" t="s">
        <v>1210</v>
      </c>
      <c r="E33" s="1787" t="s">
        <v>1146</v>
      </c>
      <c r="F33" s="1825">
        <f>IF(D33="按票据","——",IF(D33="按租金收入计税",'数据-取费表'!B51,'数据-取费表'!B50))</f>
        <v>0.12</v>
      </c>
      <c r="G33" s="773"/>
      <c r="H33" s="1845"/>
      <c r="I33" s="1947"/>
      <c r="J33" s="1948"/>
      <c r="K33" s="1952"/>
      <c r="L33" s="1845"/>
      <c r="M33" s="1845"/>
    </row>
    <row r="34" spans="1:18" ht="18" customHeight="1">
      <c r="A34" s="1784" t="s">
        <v>852</v>
      </c>
      <c r="B34" s="1786" t="s">
        <v>1168</v>
      </c>
      <c r="C34" s="1846" t="e">
        <f ca="1">IF(项目基本情况!B11="自然人","——",ROUND(F34*F35/10000,2))</f>
        <v>#N/A</v>
      </c>
      <c r="D34" s="1847" t="s">
        <v>1169</v>
      </c>
      <c r="E34" s="1787" t="s">
        <v>1170</v>
      </c>
      <c r="F34" s="1831">
        <f>'数据-取费表'!B52</f>
        <v>1.5</v>
      </c>
      <c r="G34" s="773"/>
      <c r="H34" s="1839"/>
      <c r="I34" s="1947"/>
      <c r="J34" s="1948"/>
      <c r="K34" s="1953"/>
      <c r="L34" s="1954"/>
      <c r="M34" s="1954"/>
    </row>
    <row r="35" spans="1:18" ht="18" customHeight="1">
      <c r="A35" s="1848"/>
      <c r="B35" s="1849"/>
      <c r="C35" s="1850"/>
      <c r="D35" s="1851"/>
      <c r="E35" s="1787" t="s">
        <v>1174</v>
      </c>
      <c r="F35" s="1788" t="e">
        <f ca="1">INDIRECT("'数据-取费表'!r"&amp;$G$1)</f>
        <v>#N/A</v>
      </c>
      <c r="G35" s="773"/>
      <c r="H35" s="1839"/>
      <c r="I35" s="1947"/>
      <c r="J35" s="1948"/>
      <c r="K35" s="1952"/>
      <c r="L35" s="1845"/>
      <c r="M35" s="1845"/>
    </row>
    <row r="36" spans="1:18" ht="18" customHeight="1">
      <c r="A36" s="1852" t="s">
        <v>826</v>
      </c>
      <c r="B36" s="1787" t="s">
        <v>1176</v>
      </c>
      <c r="C36" s="293" t="e">
        <f ca="1">ROUND(C29*F36,1)</f>
        <v>#N/A</v>
      </c>
      <c r="D36" s="1841" t="s">
        <v>1211</v>
      </c>
      <c r="E36" s="1787" t="s">
        <v>1146</v>
      </c>
      <c r="F36" s="1853" t="e">
        <f ca="1">INDIRECT("'数据-取费表'!Ak"&amp;$G$1)</f>
        <v>#N/A</v>
      </c>
      <c r="G36" s="773"/>
      <c r="H36" s="1845"/>
      <c r="I36" s="1947"/>
      <c r="J36" s="1948"/>
      <c r="K36" s="1955"/>
      <c r="L36" s="1845"/>
      <c r="M36" s="1845"/>
    </row>
    <row r="37" spans="1:18" ht="18" customHeight="1">
      <c r="A37" s="1816" t="s">
        <v>872</v>
      </c>
      <c r="B37" s="1787" t="s">
        <v>1180</v>
      </c>
      <c r="C37" s="293" t="e">
        <f ca="1">ROUND(C13*F37,1)</f>
        <v>#N/A</v>
      </c>
      <c r="D37" s="1841" t="s">
        <v>1181</v>
      </c>
      <c r="E37" s="1787" t="s">
        <v>1146</v>
      </c>
      <c r="F37" s="1854" t="e">
        <f ca="1">INDIRECT("'数据-取费表'!Al"&amp;$G$1)</f>
        <v>#N/A</v>
      </c>
      <c r="G37" s="773"/>
      <c r="H37" s="1845"/>
      <c r="I37" s="1947"/>
      <c r="J37" s="1948"/>
      <c r="K37" s="1955"/>
      <c r="L37" s="1845"/>
      <c r="M37" s="1845"/>
    </row>
    <row r="38" spans="1:18" ht="18" customHeight="1">
      <c r="A38" s="1824" t="s">
        <v>875</v>
      </c>
      <c r="B38" s="1809" t="s">
        <v>1166</v>
      </c>
      <c r="C38" s="1833" t="e">
        <f ca="1">ROUND(C5*F38,1)</f>
        <v>#N/A</v>
      </c>
      <c r="D38" s="1834" t="s">
        <v>1184</v>
      </c>
      <c r="E38" s="1809" t="s">
        <v>1146</v>
      </c>
      <c r="F38" s="1810" t="e">
        <f ca="1">INDIRECT("'数据-取费表'!Am"&amp;$G$1)</f>
        <v>#N/A</v>
      </c>
      <c r="G38" s="773"/>
      <c r="H38" s="1845"/>
      <c r="I38" s="1947"/>
      <c r="J38" s="1948"/>
      <c r="K38" s="1956"/>
      <c r="L38" s="1845"/>
      <c r="M38" s="1845"/>
    </row>
    <row r="39" spans="1:18" ht="24.6" customHeight="1">
      <c r="A39" s="1811" t="s">
        <v>1187</v>
      </c>
      <c r="B39" s="1855" t="s">
        <v>1188</v>
      </c>
      <c r="C39" s="1813" t="e">
        <f ca="1">C5-C30</f>
        <v>#N/A</v>
      </c>
      <c r="D39" s="1856" t="s">
        <v>1189</v>
      </c>
      <c r="E39" s="1857"/>
      <c r="F39" s="1858"/>
      <c r="G39" s="773"/>
      <c r="H39" s="1845"/>
      <c r="I39" s="1947"/>
      <c r="J39" s="1948"/>
      <c r="K39" s="1956"/>
      <c r="L39" s="1845"/>
      <c r="M39" s="1845"/>
    </row>
    <row r="40" spans="1:18" ht="18" customHeight="1">
      <c r="A40" s="1778" t="s">
        <v>1193</v>
      </c>
      <c r="B40" s="1779" t="s">
        <v>1212</v>
      </c>
      <c r="C40" s="1859" t="e">
        <f ca="1">ROUND(C39*(1-((1+F42)/(1+F40))^F41)/(F40-F42),0)</f>
        <v>#N/A</v>
      </c>
      <c r="D40" s="1847" t="s">
        <v>1195</v>
      </c>
      <c r="E40" s="1787" t="s">
        <v>1196</v>
      </c>
      <c r="F40" s="1795" t="e">
        <f ca="1">INDIRECT("'数据-取费表'!I"&amp;$G$1)</f>
        <v>#N/A</v>
      </c>
      <c r="G40" s="773"/>
      <c r="H40" s="1860"/>
      <c r="I40" s="1947"/>
      <c r="J40" s="1948"/>
      <c r="K40" s="1956"/>
      <c r="L40" s="1860"/>
      <c r="M40" s="1860"/>
    </row>
    <row r="41" spans="1:18" ht="18" customHeight="1">
      <c r="A41" s="1793"/>
      <c r="B41" s="1861"/>
      <c r="C41" s="1794"/>
      <c r="D41" s="1862" t="s">
        <v>1199</v>
      </c>
      <c r="E41" s="1787" t="s">
        <v>1200</v>
      </c>
      <c r="F41" s="1863" t="e">
        <f ca="1">IF(INDIRECT("'数据-取费表'!af"&amp;$G$1)=0,INDIRECT("'数据-取费表'!ae"&amp;$G$1),INDIRECT("'数据-取费表'!af"&amp;$G$1))</f>
        <v>#N/A</v>
      </c>
      <c r="G41" s="773"/>
      <c r="H41" s="1864"/>
      <c r="I41" s="1947"/>
      <c r="J41" s="1948"/>
      <c r="K41" s="1955"/>
      <c r="L41" s="1864"/>
      <c r="M41" s="1864"/>
    </row>
    <row r="42" spans="1:18" ht="18" customHeight="1">
      <c r="A42" s="1800"/>
      <c r="B42" s="1865"/>
      <c r="C42" s="1813"/>
      <c r="D42" s="1851"/>
      <c r="E42" s="1787" t="s">
        <v>1203</v>
      </c>
      <c r="F42" s="1795" t="e">
        <f ca="1">INDIRECT("'数据-取费表'!v"&amp;$G$1)</f>
        <v>#N/A</v>
      </c>
      <c r="G42" s="773"/>
      <c r="H42" s="1864"/>
      <c r="I42" s="1947"/>
      <c r="J42" s="1948"/>
      <c r="K42" s="1955"/>
      <c r="L42" s="1864"/>
      <c r="M42" s="1864"/>
    </row>
    <row r="43" spans="1:18" ht="18" customHeight="1">
      <c r="A43" s="1836" t="s">
        <v>1206</v>
      </c>
      <c r="B43" s="1866" t="s">
        <v>1213</v>
      </c>
      <c r="C43" s="1867" t="e">
        <f ca="1">ROUND(C40*10000/F43,0)</f>
        <v>#N/A</v>
      </c>
      <c r="D43" s="1868" t="s">
        <v>1214</v>
      </c>
      <c r="E43" s="1869" t="s">
        <v>1215</v>
      </c>
      <c r="F43" s="1870" t="e">
        <f ca="1">INDIRECT("'数据-取费表'!k"&amp;$G$1)</f>
        <v>#N/A</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1216</v>
      </c>
      <c r="P45" s="1860"/>
      <c r="Q45" s="1860"/>
      <c r="R45" s="1860"/>
    </row>
    <row r="46" spans="1:18" s="773" customFormat="1">
      <c r="A46" s="1875" t="s">
        <v>1217</v>
      </c>
      <c r="C46" s="1876" t="e">
        <f ca="1">C68-C40</f>
        <v>#N/A</v>
      </c>
      <c r="D46" s="1877" t="str">
        <f>C2</f>
        <v>万元</v>
      </c>
      <c r="E46" s="1871"/>
      <c r="F46" s="1871"/>
      <c r="I46" s="1959" t="s">
        <v>1218</v>
      </c>
      <c r="J46" s="1960"/>
      <c r="K46" s="1961"/>
      <c r="L46" s="1962" t="e">
        <f ca="1">IF(M47="住宅",0,IF(L48&gt;J51,L60,J60))</f>
        <v>#N/A</v>
      </c>
      <c r="O46" s="1963" t="s">
        <v>1219</v>
      </c>
      <c r="P46" s="1964" t="s">
        <v>1220</v>
      </c>
      <c r="Q46" s="2008" t="s">
        <v>1221</v>
      </c>
      <c r="R46" s="2008" t="s">
        <v>1222</v>
      </c>
    </row>
    <row r="47" spans="1:18" s="773" customFormat="1">
      <c r="A47" s="1878" t="s">
        <v>1116</v>
      </c>
      <c r="B47" s="1879" t="s">
        <v>1117</v>
      </c>
      <c r="C47" s="2145" t="s">
        <v>1118</v>
      </c>
      <c r="D47" s="1879" t="s">
        <v>1119</v>
      </c>
      <c r="E47" s="1880" t="s">
        <v>1120</v>
      </c>
      <c r="F47" s="286"/>
      <c r="G47" s="1881"/>
      <c r="I47" s="1965" t="s">
        <v>1223</v>
      </c>
      <c r="J47" s="1966" t="s">
        <v>1224</v>
      </c>
      <c r="K47" s="1967" t="s">
        <v>1225</v>
      </c>
      <c r="L47" s="1968" t="e">
        <f ca="1">INDIRECT("'数据-取费表'!d"&amp;$G$1)</f>
        <v>#N/A</v>
      </c>
      <c r="M47" s="1969" t="str">
        <f>IF(ISNUMBER(FIND("住宅",C1)),"住宅","非住宅")</f>
        <v>非住宅</v>
      </c>
      <c r="O47" s="1970" t="s">
        <v>928</v>
      </c>
      <c r="P47" s="1971" t="s">
        <v>1226</v>
      </c>
      <c r="Q47" s="2009" t="e">
        <f ca="1">C40+J29</f>
        <v>#N/A</v>
      </c>
      <c r="R47" s="2009" t="s">
        <v>1227</v>
      </c>
    </row>
    <row r="48" spans="1:18" s="773" customFormat="1" ht="27.75">
      <c r="A48" s="1882" t="s">
        <v>1228</v>
      </c>
      <c r="B48" s="1779" t="s">
        <v>1121</v>
      </c>
      <c r="C48" s="294" t="e">
        <f ca="1">C49+C53+C55</f>
        <v>#N/A</v>
      </c>
      <c r="D48" s="1883"/>
      <c r="E48" s="1884"/>
      <c r="F48" s="1885"/>
      <c r="G48" s="1881"/>
      <c r="H48" s="1886"/>
      <c r="I48" s="834" t="s">
        <v>1229</v>
      </c>
      <c r="J48" s="1972" t="s">
        <v>1230</v>
      </c>
      <c r="K48" s="1973" t="s">
        <v>1231</v>
      </c>
      <c r="L48" s="1974" t="e">
        <f ca="1">INDIRECT("'数据-取费表'!f"&amp;$G$1)</f>
        <v>#N/A</v>
      </c>
      <c r="O48" s="1970" t="s">
        <v>932</v>
      </c>
      <c r="P48" s="1971" t="s">
        <v>1232</v>
      </c>
      <c r="Q48" s="2009" t="e">
        <f ca="1">J60</f>
        <v>#N/A</v>
      </c>
      <c r="R48" s="2009" t="s">
        <v>1233</v>
      </c>
    </row>
    <row r="49" spans="1:18" s="773" customFormat="1">
      <c r="A49" s="1887" t="s">
        <v>1234</v>
      </c>
      <c r="B49" s="1888" t="s">
        <v>1235</v>
      </c>
      <c r="C49" s="1889" t="e">
        <f ca="1">ROUND(F49*F51*F50*(1-F52)/10000,0)</f>
        <v>#N/A</v>
      </c>
      <c r="D49" s="1890" t="s">
        <v>1126</v>
      </c>
      <c r="E49" s="1891" t="s">
        <v>1236</v>
      </c>
      <c r="F49" s="1892"/>
      <c r="G49" s="1893"/>
      <c r="H49" s="1886"/>
      <c r="I49" s="834" t="s">
        <v>1237</v>
      </c>
      <c r="J49" s="1975"/>
      <c r="K49" s="1973" t="s">
        <v>1238</v>
      </c>
      <c r="L49" s="1976"/>
      <c r="O49" s="1977" t="s">
        <v>1239</v>
      </c>
      <c r="P49" s="1971" t="s">
        <v>1240</v>
      </c>
      <c r="Q49" s="2009" t="e">
        <f ca="1">C29</f>
        <v>#N/A</v>
      </c>
      <c r="R49" s="2009" t="s">
        <v>1227</v>
      </c>
    </row>
    <row r="50" spans="1:18" s="773" customFormat="1">
      <c r="A50" s="1894"/>
      <c r="B50" s="1895"/>
      <c r="C50" s="2146"/>
      <c r="D50" s="1897"/>
      <c r="E50" s="1898" t="s">
        <v>1127</v>
      </c>
      <c r="F50" s="1899" t="e">
        <f ca="1">F7</f>
        <v>#N/A</v>
      </c>
      <c r="H50" s="1886"/>
      <c r="I50" s="834" t="s">
        <v>1241</v>
      </c>
      <c r="J50" s="1978">
        <f>SUMPRODUCT((I63:I65=J47)*(J62:L62=J48)*(J63:L65))</f>
        <v>60</v>
      </c>
      <c r="K50" s="1973" t="s">
        <v>1242</v>
      </c>
      <c r="L50" s="1976"/>
      <c r="M50" s="1979"/>
      <c r="O50" s="1977" t="s">
        <v>1243</v>
      </c>
      <c r="P50" s="1971" t="s">
        <v>1244</v>
      </c>
      <c r="Q50" s="2010" t="e">
        <f ca="1">J58</f>
        <v>#N/A</v>
      </c>
      <c r="R50" s="2009"/>
    </row>
    <row r="51" spans="1:18" s="773" customFormat="1">
      <c r="A51" s="1900"/>
      <c r="B51" s="1895"/>
      <c r="C51" s="1896"/>
      <c r="D51" s="1897"/>
      <c r="E51" s="1901" t="s">
        <v>1128</v>
      </c>
      <c r="F51" s="1788" t="e">
        <f ca="1">F8</f>
        <v>#N/A</v>
      </c>
      <c r="I51" s="1980" t="s">
        <v>1245</v>
      </c>
      <c r="J51" s="1981">
        <f>IF(J49="",J50,J49+J50-YEAR('数据-取费表'!B2))</f>
        <v>60</v>
      </c>
      <c r="K51" s="1982" t="s">
        <v>1246</v>
      </c>
      <c r="L51" s="1983" t="e">
        <f ca="1">ROUND(-PV(INDIRECT("'数据-取费表'!h"&amp;$G$1),J51,(C39-C13*C76),0),0)</f>
        <v>#N/A</v>
      </c>
      <c r="M51" s="1984"/>
      <c r="O51" s="1977" t="s">
        <v>1247</v>
      </c>
      <c r="P51" s="1971" t="s">
        <v>1248</v>
      </c>
      <c r="Q51" s="2010">
        <f>J52</f>
        <v>0</v>
      </c>
      <c r="R51" s="2009"/>
    </row>
    <row r="52" spans="1:18" s="773" customFormat="1">
      <c r="A52" s="1900"/>
      <c r="B52" s="1895"/>
      <c r="C52" s="1896"/>
      <c r="D52" s="1897"/>
      <c r="E52" s="1901" t="s">
        <v>1129</v>
      </c>
      <c r="F52" s="1902"/>
      <c r="I52" s="1985" t="s">
        <v>1249</v>
      </c>
      <c r="J52" s="1986"/>
      <c r="K52" s="1985" t="s">
        <v>1250</v>
      </c>
      <c r="L52" s="1986"/>
      <c r="O52" s="1977" t="s">
        <v>1251</v>
      </c>
      <c r="P52" s="1971" t="s">
        <v>1252</v>
      </c>
      <c r="Q52" s="2009" t="e">
        <f ca="1">J53</f>
        <v>#N/A</v>
      </c>
      <c r="R52" s="2009" t="s">
        <v>1253</v>
      </c>
    </row>
    <row r="53" spans="1:18" s="773" customFormat="1" ht="24">
      <c r="A53" s="2147" t="s">
        <v>1254</v>
      </c>
      <c r="B53" s="2148" t="s">
        <v>1130</v>
      </c>
      <c r="C53" s="292">
        <f ca="1">ROUND(IF(F53="押一",C49/12*F11,IF(F53="押二",C49/12*2*F11,IF(F53="押三",C49/12*3*F11,C54*F11))),0)</f>
        <v>0</v>
      </c>
      <c r="D53" s="1797" t="s">
        <v>1131</v>
      </c>
      <c r="E53" s="1798" t="s">
        <v>1132</v>
      </c>
      <c r="F53" s="1799"/>
      <c r="I53" s="1987" t="s">
        <v>1255</v>
      </c>
      <c r="J53" s="1988" t="e">
        <f ca="1">IF(M47="住宅",IF(D1="——",MAX(J51,L48),MAX(J51,L48-'数据-取费表'!B24)),IF(D1="——",MIN(J51,L48),MIN(J51,L48-'数据-取费表'!B24)))</f>
        <v>#N/A</v>
      </c>
      <c r="K53" s="3466" t="s">
        <v>1256</v>
      </c>
      <c r="L53" s="3467"/>
      <c r="O53" s="1970" t="s">
        <v>1257</v>
      </c>
      <c r="P53" s="1971" t="s">
        <v>1258</v>
      </c>
      <c r="Q53" s="2009" t="e">
        <f ca="1">Q47+Q48</f>
        <v>#N/A</v>
      </c>
      <c r="R53" s="2009" t="s">
        <v>1259</v>
      </c>
    </row>
    <row r="54" spans="1:18" s="773" customFormat="1">
      <c r="A54" s="2149"/>
      <c r="B54" s="1801" t="s">
        <v>1135</v>
      </c>
      <c r="C54" s="1802"/>
      <c r="D54" s="1797"/>
      <c r="E54" s="1905"/>
      <c r="F54" s="1906"/>
      <c r="I54" s="19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90"/>
      <c r="K54" s="1990"/>
      <c r="L54" s="1990"/>
      <c r="M54" s="1893"/>
      <c r="O54" s="1958" t="s">
        <v>1260</v>
      </c>
      <c r="P54" s="1991"/>
      <c r="Q54" s="1991"/>
      <c r="R54" s="1991"/>
    </row>
    <row r="55" spans="1:18" s="773" customFormat="1">
      <c r="A55" s="1805" t="s">
        <v>872</v>
      </c>
      <c r="B55" s="1806" t="s">
        <v>1137</v>
      </c>
      <c r="C55" s="1807"/>
      <c r="D55" s="1797"/>
      <c r="E55" s="1905"/>
      <c r="F55" s="1906"/>
      <c r="I55" s="1992" t="s">
        <v>1261</v>
      </c>
      <c r="J55" s="1993" t="e">
        <f ca="1">ROUND(IF(J47="钢混",J57/J50,1-(1-2%)*(J50-J57)/J50),3)</f>
        <v>#N/A</v>
      </c>
      <c r="K55" s="1994" t="s">
        <v>1262</v>
      </c>
      <c r="L55" s="1995" t="s">
        <v>1263</v>
      </c>
      <c r="O55" s="1963" t="s">
        <v>1219</v>
      </c>
      <c r="P55" s="1964" t="s">
        <v>1220</v>
      </c>
      <c r="Q55" s="2008" t="s">
        <v>1221</v>
      </c>
      <c r="R55" s="2008" t="s">
        <v>1222</v>
      </c>
    </row>
    <row r="56" spans="1:18" s="773" customFormat="1" ht="24">
      <c r="A56" s="1907">
        <v>2</v>
      </c>
      <c r="B56" s="1908" t="s">
        <v>1138</v>
      </c>
      <c r="C56" s="186" t="e">
        <f ca="1">C13</f>
        <v>#N/A</v>
      </c>
      <c r="D56" s="1909"/>
      <c r="E56" s="1910"/>
      <c r="F56" s="1906"/>
      <c r="I56" s="1996" t="s">
        <v>1264</v>
      </c>
      <c r="J56" s="1997" t="s">
        <v>468</v>
      </c>
      <c r="K56" s="834" t="s">
        <v>1265</v>
      </c>
      <c r="L56" s="1974" t="e">
        <f ca="1">IF(L48&lt;J51,"——",L48-J53)</f>
        <v>#N/A</v>
      </c>
      <c r="O56" s="1970" t="s">
        <v>928</v>
      </c>
      <c r="P56" s="1971" t="s">
        <v>1226</v>
      </c>
      <c r="Q56" s="2009" t="e">
        <f ca="1">C40+J29</f>
        <v>#N/A</v>
      </c>
      <c r="R56" s="2009" t="s">
        <v>1227</v>
      </c>
    </row>
    <row r="57" spans="1:18" s="773" customFormat="1" ht="24">
      <c r="A57" s="1911"/>
      <c r="B57" s="1912" t="s">
        <v>1205</v>
      </c>
      <c r="C57" s="196" t="e">
        <f ca="1">C29</f>
        <v>#N/A</v>
      </c>
      <c r="D57" s="1913"/>
      <c r="E57" s="1914"/>
      <c r="F57" s="1915"/>
      <c r="I57" s="1998" t="s">
        <v>1266</v>
      </c>
      <c r="J57" s="1999" t="e">
        <f ca="1">IF(OR(M47="住宅",J51&lt;L48,J56="是"),"——",J51-L48)</f>
        <v>#N/A</v>
      </c>
      <c r="K57" s="834" t="s">
        <v>1267</v>
      </c>
      <c r="L57" s="1974" t="e">
        <f ca="1">IF(L48&lt;J51,"——",IF(L55="比较法",L49,IF(L55="基准地价",L50,L51)))</f>
        <v>#N/A</v>
      </c>
      <c r="O57" s="1970" t="s">
        <v>932</v>
      </c>
      <c r="P57" s="1971" t="s">
        <v>1268</v>
      </c>
      <c r="Q57" s="2009" t="e">
        <f ca="1">L60</f>
        <v>#N/A</v>
      </c>
      <c r="R57" s="2009" t="s">
        <v>1269</v>
      </c>
    </row>
    <row r="58" spans="1:18" s="773" customFormat="1" ht="24">
      <c r="A58" s="1916" t="s">
        <v>1148</v>
      </c>
      <c r="B58" s="1908" t="s">
        <v>1149</v>
      </c>
      <c r="C58" s="292" t="e">
        <f ca="1">ROUND(C59+C64+C65+C66,0)</f>
        <v>#N/A</v>
      </c>
      <c r="D58" s="1917" t="s">
        <v>1150</v>
      </c>
      <c r="E58" s="1918"/>
      <c r="F58" s="1885"/>
      <c r="I58" s="1998" t="s">
        <v>1270</v>
      </c>
      <c r="J58" s="2000" t="e">
        <f ca="1">IF(J55&lt;0.4,0.4,J55)</f>
        <v>#N/A</v>
      </c>
      <c r="K58" s="1982" t="s">
        <v>1271</v>
      </c>
      <c r="L58" s="1974" t="e">
        <f ca="1">ROUND(POWER(1+L52,L47-L48)*(POWER(1+L52,L48)-1)/(POWER(1+L52,L47)-1),4)</f>
        <v>#N/A</v>
      </c>
      <c r="O58" s="1977" t="s">
        <v>1239</v>
      </c>
      <c r="P58" s="1971" t="s">
        <v>1272</v>
      </c>
      <c r="Q58" s="2009">
        <f>IF(L55="比较法",L49,IF(L55="基准地价",L50,0))</f>
        <v>0</v>
      </c>
      <c r="R58" s="2009" t="s">
        <v>1227</v>
      </c>
    </row>
    <row r="59" spans="1:18" s="773" customFormat="1" ht="24">
      <c r="A59" s="1816" t="s">
        <v>822</v>
      </c>
      <c r="B59" s="1912" t="s">
        <v>1155</v>
      </c>
      <c r="C59" s="1840" t="e">
        <f ca="1">ROUND(IF(AND(项目基本情况!B11="自然人",项目基本情况!B10="北京市"),C49*F59/(1+'数据-取费表'!C42),C60+C61+C62),0)</f>
        <v>#N/A</v>
      </c>
      <c r="D59" s="1919" t="s">
        <v>1156</v>
      </c>
      <c r="E59" s="1920" t="s">
        <v>1157</v>
      </c>
      <c r="F59" s="1842" t="str">
        <f>IF(项目基本情况!B11="企业","——",IF('数据-取费表'!B10="住宅",IF(F49*F50*F51/12/(1+'数据-取费表'!F30)&gt;100000,4%,2.5%),IF(F49*F50*F51/12/(1+'数据-取费表'!F30)&gt;100000,12%,7%)))</f>
        <v>——</v>
      </c>
      <c r="I59" s="1998" t="s">
        <v>1273</v>
      </c>
      <c r="J59" s="1999" t="e">
        <f ca="1">IF(OR(M47="住宅",J51&lt;L48,J56="是"),"——",ROUND(C29*J58,0))</f>
        <v>#N/A</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#N/A</v>
      </c>
      <c r="M59" s="1969" t="e">
        <f ca="1">ROUND(POWER(1+L52,L47-(J51+'数据-取费表'!B24))*(POWER(1+L52,(J51+'数据-取费表'!B24))-1)/(POWER(1+L52,L47)-1),4)</f>
        <v>#N/A</v>
      </c>
      <c r="N59" s="1969" t="e">
        <f ca="1">ROUND(POWER(1+L52,L47-(J51+'数据-取费表'!B20))*(POWER(1+L52,(J51+'数据-取费表'!B20))-1)/(POWER(1+L52,L47)-1),4)</f>
        <v>#N/A</v>
      </c>
      <c r="O59" s="1977" t="s">
        <v>1243</v>
      </c>
      <c r="P59" s="1971" t="s">
        <v>1274</v>
      </c>
      <c r="Q59" s="2010">
        <f>L52</f>
        <v>0</v>
      </c>
      <c r="R59" s="2009"/>
    </row>
    <row r="60" spans="1:18" s="773" customFormat="1" ht="15.75">
      <c r="A60" s="1816" t="s">
        <v>845</v>
      </c>
      <c r="B60" s="1912" t="s">
        <v>1160</v>
      </c>
      <c r="C60" s="293" t="e">
        <f ca="1">IF(项目基本情况!B11="自然人","——",ROUND(C48*F60/(1+'数据-取费表'!C42),2))</f>
        <v>#N/A</v>
      </c>
      <c r="D60" s="1920" t="s">
        <v>1161</v>
      </c>
      <c r="E60" s="1912" t="s">
        <v>1146</v>
      </c>
      <c r="F60" s="1832">
        <f t="shared" ref="F60:F66" si="0">F32</f>
        <v>5.5000000000000007E-2</v>
      </c>
      <c r="I60" s="2001" t="s">
        <v>1275</v>
      </c>
      <c r="J60" s="2002" t="e">
        <f ca="1">IF(OR(M47="住宅",J51&lt;L48,J56="是"),"0",ROUND(J59/(1+J52)^J53,0))</f>
        <v>#N/A</v>
      </c>
      <c r="K60" s="2003" t="s">
        <v>1276</v>
      </c>
      <c r="L60" s="2002" t="e">
        <f ca="1">IF(OR(M47="住宅",L48&lt;J51),0,ROUND(L57*(L58/L59-1),0))</f>
        <v>#N/A</v>
      </c>
      <c r="O60" s="1977" t="s">
        <v>1247</v>
      </c>
      <c r="P60" s="1971" t="s">
        <v>1277</v>
      </c>
      <c r="Q60" s="2009" t="e">
        <f ca="1">L58</f>
        <v>#N/A</v>
      </c>
      <c r="R60" s="2009" t="s">
        <v>1278</v>
      </c>
    </row>
    <row r="61" spans="1:18" s="773" customFormat="1">
      <c r="A61" s="1816" t="s">
        <v>849</v>
      </c>
      <c r="B61" s="1912" t="s">
        <v>1164</v>
      </c>
      <c r="C61" s="293" t="e">
        <f ca="1">IF(项目基本情况!B11="自然人","——",IF(D61="按租金收入计税",ROUND(C49*F61/(1+'数据-取费表'!C42),2),IF(D61="按房产原值计税",ROUND(C57*F61*0.7,2),INDIRECT("'数据-取费表'!Aj"&amp;$G$1))))</f>
        <v>#N/A</v>
      </c>
      <c r="D61" s="1844" t="s">
        <v>1165</v>
      </c>
      <c r="E61" s="1912" t="s">
        <v>1146</v>
      </c>
      <c r="F61" s="1825">
        <f t="shared" si="0"/>
        <v>0.12</v>
      </c>
      <c r="I61" s="1860"/>
      <c r="J61" s="1860"/>
      <c r="K61" s="1860"/>
      <c r="L61" s="1860"/>
      <c r="O61" s="1977" t="s">
        <v>1251</v>
      </c>
      <c r="P61" s="1971" t="str">
        <f>K59</f>
        <v>建筑物剩余耐用年限下的土地年期修正系数Kn</v>
      </c>
      <c r="Q61" s="2009" t="e">
        <f ca="1">L59</f>
        <v>#N/A</v>
      </c>
      <c r="R61" s="2009" t="s">
        <v>1279</v>
      </c>
    </row>
    <row r="62" spans="1:18" s="773" customFormat="1">
      <c r="A62" s="1816" t="s">
        <v>852</v>
      </c>
      <c r="B62" s="1921" t="s">
        <v>1168</v>
      </c>
      <c r="C62" s="1846" t="e">
        <f ca="1">IF(项目基本情况!B11="自然人","——",ROUND(F62*F63/10000,2))</f>
        <v>#N/A</v>
      </c>
      <c r="D62" s="1922" t="s">
        <v>1169</v>
      </c>
      <c r="E62" s="1912" t="s">
        <v>1170</v>
      </c>
      <c r="F62" s="1831">
        <f t="shared" si="0"/>
        <v>1.5</v>
      </c>
      <c r="I62" s="2004" t="s">
        <v>1280</v>
      </c>
      <c r="J62" s="2005" t="s">
        <v>1281</v>
      </c>
      <c r="K62" s="2005" t="s">
        <v>1282</v>
      </c>
      <c r="L62" s="2005" t="s">
        <v>1283</v>
      </c>
      <c r="M62" s="2006" t="s">
        <v>1284</v>
      </c>
      <c r="O62" s="1970" t="s">
        <v>1257</v>
      </c>
      <c r="P62" s="1971" t="s">
        <v>1258</v>
      </c>
      <c r="Q62" s="2009" t="e">
        <f ca="1">Q56+Q57</f>
        <v>#N/A</v>
      </c>
      <c r="R62" s="2009" t="s">
        <v>1259</v>
      </c>
    </row>
    <row r="63" spans="1:18" s="773" customFormat="1">
      <c r="A63" s="1829"/>
      <c r="B63" s="1923"/>
      <c r="C63" s="1850"/>
      <c r="D63" s="1924"/>
      <c r="E63" s="1912" t="s">
        <v>1174</v>
      </c>
      <c r="F63" s="1788" t="e">
        <f t="shared" ca="1" si="0"/>
        <v>#N/A</v>
      </c>
      <c r="I63" s="2004" t="s">
        <v>1285</v>
      </c>
      <c r="J63" s="2005">
        <v>70</v>
      </c>
      <c r="K63" s="2005">
        <v>50</v>
      </c>
      <c r="L63" s="2005">
        <v>80</v>
      </c>
      <c r="M63" s="2007">
        <v>0.02</v>
      </c>
      <c r="O63" s="1958" t="s">
        <v>1286</v>
      </c>
      <c r="P63" s="1991"/>
      <c r="Q63" s="1991"/>
      <c r="R63" s="1991"/>
    </row>
    <row r="64" spans="1:18" s="773" customFormat="1">
      <c r="A64" s="1816" t="s">
        <v>826</v>
      </c>
      <c r="B64" s="1912" t="s">
        <v>1176</v>
      </c>
      <c r="C64" s="293" t="e">
        <f ca="1">ROUND(C57*F64,1)</f>
        <v>#N/A</v>
      </c>
      <c r="D64" s="1920" t="s">
        <v>1211</v>
      </c>
      <c r="E64" s="1912" t="s">
        <v>1146</v>
      </c>
      <c r="F64" s="1853" t="e">
        <f t="shared" ca="1" si="0"/>
        <v>#N/A</v>
      </c>
      <c r="I64" s="2004" t="s">
        <v>1287</v>
      </c>
      <c r="J64" s="2005">
        <v>50</v>
      </c>
      <c r="K64" s="2005">
        <v>35</v>
      </c>
      <c r="L64" s="2005">
        <v>60</v>
      </c>
      <c r="M64" s="2006">
        <v>0</v>
      </c>
      <c r="O64" s="1963" t="s">
        <v>1219</v>
      </c>
      <c r="P64" s="1964" t="s">
        <v>1220</v>
      </c>
      <c r="Q64" s="2008" t="s">
        <v>1221</v>
      </c>
      <c r="R64" s="2008" t="s">
        <v>1222</v>
      </c>
    </row>
    <row r="65" spans="1:18" s="773" customFormat="1">
      <c r="A65" s="1816" t="s">
        <v>872</v>
      </c>
      <c r="B65" s="1912" t="s">
        <v>1180</v>
      </c>
      <c r="C65" s="293" t="e">
        <f ca="1">ROUND(C56*F65,1)</f>
        <v>#N/A</v>
      </c>
      <c r="D65" s="1920" t="s">
        <v>1181</v>
      </c>
      <c r="E65" s="1912" t="s">
        <v>1146</v>
      </c>
      <c r="F65" s="1854" t="e">
        <f t="shared" ca="1" si="0"/>
        <v>#N/A</v>
      </c>
      <c r="I65" s="2004" t="s">
        <v>1288</v>
      </c>
      <c r="J65" s="2005">
        <v>40</v>
      </c>
      <c r="K65" s="2005">
        <v>30</v>
      </c>
      <c r="L65" s="2005">
        <v>50</v>
      </c>
      <c r="M65" s="2007">
        <v>0.02</v>
      </c>
      <c r="O65" s="1970" t="s">
        <v>928</v>
      </c>
      <c r="P65" s="1971" t="s">
        <v>1226</v>
      </c>
      <c r="Q65" s="2009" t="e">
        <f ca="1">C40+J29</f>
        <v>#N/A</v>
      </c>
      <c r="R65" s="2009" t="s">
        <v>1227</v>
      </c>
    </row>
    <row r="66" spans="1:18" s="773" customFormat="1" ht="15.75">
      <c r="A66" s="1816" t="s">
        <v>875</v>
      </c>
      <c r="B66" s="1912" t="s">
        <v>1166</v>
      </c>
      <c r="C66" s="293" t="e">
        <f ca="1">ROUND(C48*F66,1)</f>
        <v>#N/A</v>
      </c>
      <c r="D66" s="1920" t="s">
        <v>1184</v>
      </c>
      <c r="E66" s="1912" t="s">
        <v>1146</v>
      </c>
      <c r="F66" s="1795" t="e">
        <f t="shared" ca="1" si="0"/>
        <v>#N/A</v>
      </c>
      <c r="O66" s="1970" t="s">
        <v>932</v>
      </c>
      <c r="P66" s="1971" t="s">
        <v>1268</v>
      </c>
      <c r="Q66" s="2009" t="e">
        <f ca="1">L60</f>
        <v>#N/A</v>
      </c>
      <c r="R66" s="2009" t="s">
        <v>1269</v>
      </c>
    </row>
    <row r="67" spans="1:18" s="773" customFormat="1" ht="15.75">
      <c r="A67" s="1907" t="s">
        <v>1187</v>
      </c>
      <c r="B67" s="2011" t="s">
        <v>1188</v>
      </c>
      <c r="C67" s="292" t="e">
        <f ca="1">C48-C58</f>
        <v>#N/A</v>
      </c>
      <c r="D67" s="1919" t="s">
        <v>1189</v>
      </c>
      <c r="E67" s="2012"/>
      <c r="F67" s="2013"/>
      <c r="O67" s="1977" t="s">
        <v>1239</v>
      </c>
      <c r="P67" s="1971" t="s">
        <v>1272</v>
      </c>
      <c r="Q67" s="2033" t="e">
        <f ca="1">L51</f>
        <v>#N/A</v>
      </c>
      <c r="R67" s="2009" t="s">
        <v>1289</v>
      </c>
    </row>
    <row r="68" spans="1:18" s="773" customFormat="1" ht="15.75">
      <c r="A68" s="2014" t="s">
        <v>1193</v>
      </c>
      <c r="B68" s="2015" t="s">
        <v>1212</v>
      </c>
      <c r="C68" s="1859" t="e">
        <f ca="1">ROUND(C67*(1-((1+F70)/(1+F68))^F69)/(F68-F70),0)</f>
        <v>#N/A</v>
      </c>
      <c r="D68" s="1922" t="s">
        <v>1195</v>
      </c>
      <c r="E68" s="1912" t="s">
        <v>1196</v>
      </c>
      <c r="F68" s="1795" t="e">
        <f ca="1">F40</f>
        <v>#N/A</v>
      </c>
      <c r="O68" s="1977" t="s">
        <v>1243</v>
      </c>
      <c r="P68" s="2032" t="s">
        <v>1290</v>
      </c>
      <c r="Q68" s="2009" t="e">
        <f ca="1">ROUND(Q69-Q70*Q71,0)</f>
        <v>#N/A</v>
      </c>
      <c r="R68" s="2009" t="s">
        <v>1291</v>
      </c>
    </row>
    <row r="69" spans="1:18" s="773" customFormat="1">
      <c r="A69" s="2016"/>
      <c r="B69" s="2017"/>
      <c r="C69" s="1794"/>
      <c r="D69" s="2018" t="s">
        <v>1199</v>
      </c>
      <c r="E69" s="1912" t="s">
        <v>1200</v>
      </c>
      <c r="F69" s="1863" t="e">
        <f ca="1">F41</f>
        <v>#N/A</v>
      </c>
      <c r="O69" s="1977" t="s">
        <v>1292</v>
      </c>
      <c r="P69" s="2032" t="s">
        <v>1293</v>
      </c>
      <c r="Q69" s="2009" t="e">
        <f ca="1">C39</f>
        <v>#N/A</v>
      </c>
      <c r="R69" s="2009" t="s">
        <v>1227</v>
      </c>
    </row>
    <row r="70" spans="1:18" s="773" customFormat="1">
      <c r="A70" s="2019"/>
      <c r="B70" s="2020"/>
      <c r="C70" s="1813"/>
      <c r="D70" s="1924"/>
      <c r="E70" s="1912" t="s">
        <v>1203</v>
      </c>
      <c r="F70" s="1902"/>
      <c r="O70" s="1977" t="s">
        <v>1294</v>
      </c>
      <c r="P70" s="2032" t="s">
        <v>1295</v>
      </c>
      <c r="Q70" s="2009" t="e">
        <f ca="1">C13</f>
        <v>#N/A</v>
      </c>
      <c r="R70" s="2009" t="s">
        <v>1227</v>
      </c>
    </row>
    <row r="71" spans="1:18" s="773" customFormat="1">
      <c r="A71" s="2021" t="s">
        <v>1206</v>
      </c>
      <c r="B71" s="2022" t="s">
        <v>1213</v>
      </c>
      <c r="C71" s="1867" t="e">
        <f ca="1">ROUND(C68*10000/F71,0)</f>
        <v>#N/A</v>
      </c>
      <c r="D71" s="2023" t="s">
        <v>1214</v>
      </c>
      <c r="E71" s="2024" t="s">
        <v>1215</v>
      </c>
      <c r="F71" s="1870" t="e">
        <f ca="1">F43</f>
        <v>#N/A</v>
      </c>
      <c r="O71" s="1977" t="s">
        <v>1296</v>
      </c>
      <c r="P71" s="2032" t="s">
        <v>1297</v>
      </c>
      <c r="Q71" s="2010" t="e">
        <f ca="1">C76</f>
        <v>#N/A</v>
      </c>
      <c r="R71" s="2009"/>
    </row>
    <row r="72" spans="1:18" s="773" customFormat="1">
      <c r="B72" s="327"/>
      <c r="C72" s="327"/>
      <c r="O72" s="1977" t="s">
        <v>1247</v>
      </c>
      <c r="P72" s="1971" t="s">
        <v>1274</v>
      </c>
      <c r="Q72" s="2010">
        <f>L52</f>
        <v>0</v>
      </c>
      <c r="R72" s="2009"/>
    </row>
    <row r="73" spans="1:18" ht="15.75">
      <c r="A73" s="773"/>
      <c r="B73" s="327"/>
      <c r="C73" s="327"/>
      <c r="D73" s="773"/>
      <c r="E73" s="773"/>
      <c r="F73" s="773"/>
      <c r="O73" s="1977" t="s">
        <v>1251</v>
      </c>
      <c r="P73" s="1971" t="s">
        <v>1277</v>
      </c>
      <c r="Q73" s="2009" t="e">
        <f ca="1">L58</f>
        <v>#N/A</v>
      </c>
      <c r="R73" s="2009" t="s">
        <v>1278</v>
      </c>
    </row>
    <row r="74" spans="1:18">
      <c r="A74" s="773"/>
      <c r="B74" s="228" t="s">
        <v>1298</v>
      </c>
      <c r="C74" s="2025"/>
      <c r="D74" s="773"/>
      <c r="E74" s="773"/>
      <c r="F74" s="773"/>
      <c r="O74" s="1977" t="s">
        <v>1299</v>
      </c>
      <c r="P74" s="1971" t="str">
        <f>K59</f>
        <v>建筑物剩余耐用年限下的土地年期修正系数Kn</v>
      </c>
      <c r="Q74" s="2009" t="e">
        <f ca="1">L59</f>
        <v>#N/A</v>
      </c>
      <c r="R74" s="2009" t="s">
        <v>1279</v>
      </c>
    </row>
    <row r="75" spans="1:18">
      <c r="A75" s="773"/>
      <c r="B75" s="2026" t="s">
        <v>1300</v>
      </c>
      <c r="C75" s="2027" t="e">
        <f ca="1">ROUND(C13*C76,0)</f>
        <v>#N/A</v>
      </c>
      <c r="D75" s="773"/>
      <c r="E75" s="773"/>
      <c r="F75" s="773"/>
      <c r="K75" s="1957"/>
      <c r="L75" s="773"/>
      <c r="O75" s="1970" t="s">
        <v>1257</v>
      </c>
      <c r="P75" s="1971" t="s">
        <v>1258</v>
      </c>
      <c r="Q75" s="2009" t="e">
        <f ca="1">Q65+Q66</f>
        <v>#N/A</v>
      </c>
      <c r="R75" s="2009" t="s">
        <v>1259</v>
      </c>
    </row>
    <row r="76" spans="1:18">
      <c r="B76" s="592" t="s">
        <v>1301</v>
      </c>
      <c r="C76" s="2028" t="e">
        <f ca="1">INDIRECT("'数据-取费表'!j"&amp;$G$1)</f>
        <v>#N/A</v>
      </c>
      <c r="I76" s="773"/>
      <c r="J76" s="773"/>
      <c r="K76" s="1957"/>
      <c r="L76" s="773"/>
    </row>
    <row r="77" spans="1:18">
      <c r="B77" s="2029" t="s">
        <v>1302</v>
      </c>
      <c r="C77" s="2030"/>
      <c r="I77" s="773"/>
      <c r="J77" s="773"/>
      <c r="K77" s="1957"/>
      <c r="L77" s="773"/>
    </row>
    <row r="78" spans="1:18">
      <c r="B78" s="226" t="s">
        <v>1303</v>
      </c>
      <c r="C78" s="2031"/>
    </row>
    <row r="79" spans="1:18">
      <c r="B79" s="2026" t="s">
        <v>1304</v>
      </c>
      <c r="C79" s="229" t="e">
        <f ca="1">1-C80</f>
        <v>#N/A</v>
      </c>
    </row>
    <row r="80" spans="1:18">
      <c r="B80" s="2026" t="s">
        <v>1305</v>
      </c>
      <c r="C80" s="229" t="e">
        <f ca="1">ROUND(C75/C39,3)</f>
        <v>#N/A</v>
      </c>
    </row>
    <row r="81" spans="2:3">
      <c r="B81" s="226" t="s">
        <v>1306</v>
      </c>
      <c r="C81" s="196"/>
    </row>
    <row r="82" spans="2:3">
      <c r="B82" s="228" t="s">
        <v>1009</v>
      </c>
      <c r="C82" s="230" t="e">
        <f ca="1">1-C83</f>
        <v>#N/A</v>
      </c>
    </row>
    <row r="83" spans="2:3">
      <c r="B83" s="228" t="s">
        <v>1010</v>
      </c>
      <c r="C83" s="229" t="e">
        <f ca="1">ROUND(C13/C40,3)</f>
        <v>#N/A</v>
      </c>
    </row>
  </sheetData>
  <sheetProtection formatCells="0" formatColumns="0" formatRows="0"/>
  <mergeCells count="3">
    <mergeCell ref="K53:L53"/>
    <mergeCell ref="B6:B9"/>
    <mergeCell ref="I6:I9"/>
  </mergeCells>
  <phoneticPr fontId="21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D9" sqref="D9"/>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912</v>
      </c>
      <c r="B1" s="2130"/>
      <c r="C1" s="2131" t="s">
        <v>1308</v>
      </c>
      <c r="D1" s="148"/>
      <c r="E1" s="148"/>
      <c r="F1" s="148"/>
      <c r="G1" s="2132">
        <f>MATCH(B1,'数据-取费表'!A6:A16,0)+5</f>
        <v>7</v>
      </c>
      <c r="H1" s="1506" t="str">
        <f>IF(ISERROR(FIND("住宅",B1)),"非住宅","住宅")</f>
        <v>非住宅</v>
      </c>
    </row>
    <row r="2" spans="1:8" s="138" customFormat="1" ht="18" customHeight="1">
      <c r="A2" s="150" t="s">
        <v>913</v>
      </c>
      <c r="B2" s="151">
        <f ca="1">ROUND(IF(D2="——",C52/10000,C52/10000-E2),0)</f>
        <v>396</v>
      </c>
      <c r="C2" s="149" t="s">
        <v>914</v>
      </c>
      <c r="D2" s="2133" t="s">
        <v>124</v>
      </c>
      <c r="E2" s="2134" t="e">
        <f ca="1">SUMIF(INDIRECT("'"&amp;G2&amp;"'"&amp;"!A:A"),"承租人权益价值",INDIRECT("'"&amp;G2&amp;"'"&amp;"!c:c"))</f>
        <v>#REF!</v>
      </c>
      <c r="F2" s="2135" t="s">
        <v>914</v>
      </c>
      <c r="G2" s="2136"/>
    </row>
    <row r="3" spans="1:8" s="138" customFormat="1" ht="18" customHeight="1">
      <c r="A3" s="153" t="s">
        <v>915</v>
      </c>
      <c r="B3" s="154">
        <f ca="1">ROUND(B2*10000/(IF(B1="",'数据-汇总表'!E3,INDIRECT("'数据-取费表'!k"&amp;$G$1))),0)</f>
        <v>4699</v>
      </c>
      <c r="C3" s="149" t="s">
        <v>916</v>
      </c>
      <c r="D3" s="149"/>
      <c r="E3" s="149"/>
      <c r="F3" s="149"/>
      <c r="G3" s="149"/>
    </row>
    <row r="4" spans="1:8" s="139" customFormat="1" ht="15.75">
      <c r="A4" s="155" t="s">
        <v>917</v>
      </c>
      <c r="B4" s="156"/>
      <c r="C4" s="156"/>
      <c r="D4" s="156"/>
      <c r="E4" s="156"/>
      <c r="F4" s="156"/>
      <c r="G4" s="157"/>
    </row>
    <row r="5" spans="1:8" s="140" customFormat="1" ht="13.5" customHeight="1">
      <c r="A5" s="158" t="s">
        <v>918</v>
      </c>
      <c r="B5" s="159" t="s">
        <v>919</v>
      </c>
      <c r="C5" s="160">
        <f ca="1">C6+C7+C8</f>
        <v>168562</v>
      </c>
      <c r="D5" s="160" t="s">
        <v>920</v>
      </c>
      <c r="E5" s="161" t="s">
        <v>921</v>
      </c>
      <c r="F5" s="161" t="s">
        <v>817</v>
      </c>
      <c r="G5" s="162"/>
    </row>
    <row r="6" spans="1:8" s="140" customFormat="1" ht="13.5" customHeight="1">
      <c r="A6" s="163" t="s">
        <v>922</v>
      </c>
      <c r="B6" s="164" t="s">
        <v>923</v>
      </c>
      <c r="C6" s="165"/>
      <c r="D6" s="166"/>
      <c r="E6" s="167"/>
      <c r="F6" s="167"/>
      <c r="G6" s="168"/>
    </row>
    <row r="7" spans="1:8" s="140" customFormat="1" ht="13.5" customHeight="1">
      <c r="A7" s="163" t="s">
        <v>924</v>
      </c>
      <c r="B7" s="164" t="s">
        <v>925</v>
      </c>
      <c r="C7" s="169">
        <f>ROUND(C6*F7,0)</f>
        <v>0</v>
      </c>
      <c r="D7" s="169"/>
      <c r="E7" s="167"/>
      <c r="F7" s="170">
        <f>IF(项目基本情况!B8="出让",0,'数据-取费表'!B48+'数据-取费表'!B49)</f>
        <v>3.0499999999999999E-2</v>
      </c>
      <c r="G7" s="168"/>
    </row>
    <row r="8" spans="1:8" s="141" customFormat="1">
      <c r="A8" s="163" t="s">
        <v>926</v>
      </c>
      <c r="B8" s="164" t="s">
        <v>927</v>
      </c>
      <c r="C8" s="169">
        <f ca="1">IF(G8="已包含在土地购买价格中",0,C9+C10)</f>
        <v>168562</v>
      </c>
      <c r="D8" s="171"/>
      <c r="E8" s="169"/>
      <c r="F8" s="170"/>
      <c r="G8" s="2137"/>
    </row>
    <row r="9" spans="1:8" s="140" customFormat="1" ht="13.5" customHeight="1">
      <c r="A9" s="173" t="s">
        <v>928</v>
      </c>
      <c r="B9" s="174" t="s">
        <v>929</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932</v>
      </c>
      <c r="B10" s="174" t="s">
        <v>933</v>
      </c>
      <c r="C10" s="175">
        <f ca="1">ROUND(D10*E10,0)</f>
        <v>168562</v>
      </c>
      <c r="D10" s="176">
        <f ca="1">IF(B1="",'数据-汇总表'!E6,IF(INDIRECT("'数据-取费表'!c"&amp;$G$1)="住宅",INDIRECT("'数据-取费表'!s"&amp;$G$1),INDIRECT("'数据-取费表'!k"&amp;$G$1)+INDIRECT("'数据-取费表'!s"&amp;$G$1)))</f>
        <v>842.81</v>
      </c>
      <c r="E10" s="175">
        <f>'数据-取费表'!B28</f>
        <v>200</v>
      </c>
      <c r="F10" s="170"/>
      <c r="G10" s="177"/>
    </row>
    <row r="11" spans="1:8" s="140" customFormat="1" ht="13.5" hidden="1" customHeight="1">
      <c r="A11" s="178" t="s">
        <v>934</v>
      </c>
      <c r="B11" s="164" t="s">
        <v>935</v>
      </c>
      <c r="C11" s="160"/>
      <c r="D11" s="179"/>
      <c r="E11" s="167"/>
      <c r="F11" s="167"/>
      <c r="G11" s="168"/>
    </row>
    <row r="12" spans="1:8" s="140" customFormat="1" ht="13.5" hidden="1" customHeight="1">
      <c r="A12" s="178" t="s">
        <v>936</v>
      </c>
      <c r="B12" s="164" t="s">
        <v>853</v>
      </c>
      <c r="C12" s="160">
        <v>0</v>
      </c>
      <c r="D12" s="179"/>
      <c r="E12" s="180"/>
      <c r="F12" s="170">
        <v>3.0499999999999999E-2</v>
      </c>
      <c r="G12" s="168"/>
    </row>
    <row r="13" spans="1:8" s="140" customFormat="1" ht="13.5" hidden="1" customHeight="1">
      <c r="A13" s="178" t="s">
        <v>937</v>
      </c>
      <c r="B13" s="164" t="s">
        <v>938</v>
      </c>
      <c r="C13" s="160"/>
      <c r="D13" s="179"/>
      <c r="E13" s="167"/>
      <c r="F13" s="167"/>
      <c r="G13" s="168"/>
    </row>
    <row r="14" spans="1:8" s="140" customFormat="1" ht="13.5" hidden="1" customHeight="1">
      <c r="A14" s="178" t="s">
        <v>939</v>
      </c>
      <c r="B14" s="164" t="s">
        <v>927</v>
      </c>
      <c r="C14" s="160"/>
      <c r="D14" s="179"/>
      <c r="E14" s="167"/>
      <c r="F14" s="167"/>
      <c r="G14" s="168" t="s">
        <v>940</v>
      </c>
    </row>
    <row r="15" spans="1:8" s="140" customFormat="1" ht="13.5" hidden="1" customHeight="1">
      <c r="A15" s="178" t="s">
        <v>941</v>
      </c>
      <c r="B15" s="164" t="s">
        <v>942</v>
      </c>
      <c r="C15" s="169"/>
      <c r="D15" s="179"/>
      <c r="E15" s="167"/>
      <c r="F15" s="167"/>
      <c r="G15" s="168" t="s">
        <v>943</v>
      </c>
    </row>
    <row r="16" spans="1:8" s="140" customFormat="1" ht="13.5" hidden="1" customHeight="1">
      <c r="A16" s="178" t="s">
        <v>944</v>
      </c>
      <c r="B16" s="164" t="s">
        <v>927</v>
      </c>
      <c r="C16" s="169"/>
      <c r="D16" s="179"/>
      <c r="E16" s="167"/>
      <c r="F16" s="167"/>
      <c r="G16" s="168"/>
    </row>
    <row r="17" spans="1:7" s="140" customFormat="1" ht="13.5" hidden="1" customHeight="1">
      <c r="A17" s="178" t="s">
        <v>945</v>
      </c>
      <c r="B17" s="164" t="s">
        <v>946</v>
      </c>
      <c r="C17" s="181"/>
      <c r="D17" s="182"/>
      <c r="E17" s="181"/>
      <c r="F17" s="181"/>
      <c r="G17" s="168" t="s">
        <v>943</v>
      </c>
    </row>
    <row r="18" spans="1:7" s="140" customFormat="1" ht="13.5" hidden="1" customHeight="1">
      <c r="A18" s="178" t="s">
        <v>947</v>
      </c>
      <c r="B18" s="164" t="s">
        <v>948</v>
      </c>
      <c r="C18" s="169">
        <v>0</v>
      </c>
      <c r="D18" s="179"/>
      <c r="E18" s="167"/>
      <c r="F18" s="170">
        <v>3.0499999999999999E-2</v>
      </c>
      <c r="G18" s="168" t="s">
        <v>949</v>
      </c>
    </row>
    <row r="19" spans="1:7" s="141" customFormat="1" ht="13.5" customHeight="1">
      <c r="A19" s="158" t="s">
        <v>950</v>
      </c>
      <c r="B19" s="159" t="s">
        <v>951</v>
      </c>
      <c r="C19" s="160">
        <f ca="1">IF(G19="已包含在土地取得成本中","0",ROUND(D19*E19,0))</f>
        <v>168562</v>
      </c>
      <c r="D19" s="184">
        <f ca="1">D9+D10</f>
        <v>842.81</v>
      </c>
      <c r="E19" s="160">
        <f>'数据-取费表'!B31</f>
        <v>200</v>
      </c>
      <c r="F19" s="185"/>
      <c r="G19" s="2137"/>
    </row>
    <row r="20" spans="1:7" s="140" customFormat="1" ht="13.5" customHeight="1">
      <c r="A20" s="158" t="s">
        <v>953</v>
      </c>
      <c r="B20" s="159" t="s">
        <v>954</v>
      </c>
      <c r="C20" s="186">
        <f ca="1">ROUND((C5+C19)*F20,0)</f>
        <v>6742</v>
      </c>
      <c r="D20" s="186"/>
      <c r="E20" s="186"/>
      <c r="F20" s="187">
        <f>'数据-取费表'!B37</f>
        <v>0.02</v>
      </c>
      <c r="G20" s="191" t="s">
        <v>955</v>
      </c>
    </row>
    <row r="21" spans="1:7" s="140" customFormat="1" ht="13.5" customHeight="1">
      <c r="A21" s="158" t="s">
        <v>956</v>
      </c>
      <c r="B21" s="159" t="s">
        <v>957</v>
      </c>
      <c r="C21" s="189">
        <f>F21</f>
        <v>0.02</v>
      </c>
      <c r="D21" s="190" t="s">
        <v>958</v>
      </c>
      <c r="E21" s="186"/>
      <c r="F21" s="187">
        <f>'数据-取费表'!B38</f>
        <v>0.02</v>
      </c>
      <c r="G21" s="191" t="s">
        <v>959</v>
      </c>
    </row>
    <row r="22" spans="1:7" s="140" customFormat="1" ht="13.5" customHeight="1">
      <c r="A22" s="158" t="s">
        <v>960</v>
      </c>
      <c r="B22" s="159" t="s">
        <v>961</v>
      </c>
      <c r="C22" s="2138">
        <f ca="1">ROUND(SUM(C23:C25),0)</f>
        <v>14302</v>
      </c>
      <c r="D22" s="189">
        <f ca="1">C26</f>
        <v>4.0000000000000002E-4</v>
      </c>
      <c r="E22" s="190" t="s">
        <v>958</v>
      </c>
      <c r="F22" s="193">
        <f ca="1">'数据-取费表'!B40</f>
        <v>4.2000000000000003E-2</v>
      </c>
      <c r="G22" s="191" t="str">
        <f>IF('数据-取费表'!B22&lt;=1,"单利计息","复利计息")</f>
        <v>单利计息</v>
      </c>
    </row>
    <row r="23" spans="1:7" s="140" customFormat="1" ht="13.5" customHeight="1">
      <c r="A23" s="194" t="s">
        <v>922</v>
      </c>
      <c r="B23" s="164" t="s">
        <v>962</v>
      </c>
      <c r="C23" s="2139">
        <f ca="1">ROUND(IF('数据-取费表'!B22&lt;=1,C5*F22*'数据-取费表'!B22,C5*(POWER((1+F22),'数据-取费表'!B22)-1)),0)</f>
        <v>7080</v>
      </c>
      <c r="D23" s="196"/>
      <c r="E23" s="196"/>
      <c r="F23" s="197"/>
      <c r="G23" s="198" t="s">
        <v>963</v>
      </c>
    </row>
    <row r="24" spans="1:7" s="140" customFormat="1" ht="13.5" customHeight="1">
      <c r="A24" s="194" t="s">
        <v>924</v>
      </c>
      <c r="B24" s="164" t="s">
        <v>964</v>
      </c>
      <c r="C24" s="2139">
        <f ca="1">ROUND(IF('数据-取费表'!B22&lt;=1,C19*F22*('数据-取费表'!B19/2+'数据-取费表'!B20),C19*(POWER((1+F22),('数据-取费表'!B19/2+'数据-取费表'!B20))-1)),0)</f>
        <v>7080</v>
      </c>
      <c r="D24" s="196"/>
      <c r="E24" s="196"/>
      <c r="F24" s="197"/>
      <c r="G24" s="198" t="s">
        <v>965</v>
      </c>
    </row>
    <row r="25" spans="1:7" s="140" customFormat="1" ht="24">
      <c r="A25" s="194" t="s">
        <v>926</v>
      </c>
      <c r="B25" s="164" t="s">
        <v>966</v>
      </c>
      <c r="C25" s="2139">
        <f ca="1">ROUND(IF('数据-取费表'!B22&lt;=1,C20*F22*'数据-取费表'!B22/2,C20*(POWER((1+F22),'数据-取费表'!B22/2)-1)),0)</f>
        <v>142</v>
      </c>
      <c r="D25" s="196"/>
      <c r="E25" s="199"/>
      <c r="F25" s="197"/>
      <c r="G25" s="200" t="s">
        <v>967</v>
      </c>
    </row>
    <row r="26" spans="1:7" s="140" customFormat="1">
      <c r="A26" s="194" t="s">
        <v>968</v>
      </c>
      <c r="B26" s="164" t="s">
        <v>969</v>
      </c>
      <c r="C26" s="196">
        <f ca="1">ROUND(IF('数据-取费表'!B22&lt;=1,F21*F22*'数据-取费表'!B22/2,F21*(POWER((1+F22),'数据-取费表'!B22/2)-1)),4)</f>
        <v>4.0000000000000002E-4</v>
      </c>
      <c r="D26" s="196"/>
      <c r="E26" s="199"/>
      <c r="F26" s="197"/>
      <c r="G26" s="201"/>
    </row>
    <row r="27" spans="1:7" s="140" customFormat="1" ht="24.75">
      <c r="A27" s="158" t="s">
        <v>970</v>
      </c>
      <c r="B27" s="202" t="s">
        <v>971</v>
      </c>
      <c r="C27" s="203">
        <f ca="1">C28</f>
        <v>34387</v>
      </c>
      <c r="D27" s="189">
        <f ca="1">C29</f>
        <v>2E-3</v>
      </c>
      <c r="E27" s="190" t="s">
        <v>958</v>
      </c>
      <c r="F27" s="204">
        <f ca="1">IF(B1="",'数据-取费表'!Q16,INDIRECT("'数据-取费表'!q"&amp;$G$1))</f>
        <v>0.1</v>
      </c>
      <c r="G27" s="205" t="s">
        <v>972</v>
      </c>
    </row>
    <row r="28" spans="1:7" s="140" customFormat="1" ht="13.5" customHeight="1">
      <c r="A28" s="194" t="s">
        <v>922</v>
      </c>
      <c r="B28" s="206" t="s">
        <v>973</v>
      </c>
      <c r="C28" s="207">
        <f ca="1">ROUND((C5+C19+C20)*F27,0)</f>
        <v>34387</v>
      </c>
      <c r="D28" s="189"/>
      <c r="E28" s="190"/>
      <c r="F28" s="204"/>
      <c r="G28" s="205"/>
    </row>
    <row r="29" spans="1:7" s="140" customFormat="1" ht="13.5" customHeight="1">
      <c r="A29" s="194" t="s">
        <v>924</v>
      </c>
      <c r="B29" s="206" t="s">
        <v>974</v>
      </c>
      <c r="C29" s="196">
        <f ca="1">ROUND(C21*F27,4)</f>
        <v>2E-3</v>
      </c>
      <c r="D29" s="189"/>
      <c r="E29" s="190"/>
      <c r="F29" s="204"/>
      <c r="G29" s="205"/>
    </row>
    <row r="30" spans="1:7" s="140" customFormat="1" ht="13.5" customHeight="1">
      <c r="A30" s="158" t="s">
        <v>975</v>
      </c>
      <c r="B30" s="159" t="s">
        <v>976</v>
      </c>
      <c r="C30" s="189">
        <f>ROUND(F30/(1+'数据-取费表'!C42),4)</f>
        <v>5.2400000000000002E-2</v>
      </c>
      <c r="D30" s="190" t="s">
        <v>958</v>
      </c>
      <c r="E30" s="199"/>
      <c r="F30" s="193">
        <f>'数据-取费表'!B41</f>
        <v>5.5000000000000007E-2</v>
      </c>
      <c r="G30" s="191" t="s">
        <v>977</v>
      </c>
    </row>
    <row r="31" spans="1:7" ht="16.5" customHeight="1">
      <c r="A31" s="208">
        <v>1</v>
      </c>
      <c r="B31" s="159" t="s">
        <v>978</v>
      </c>
      <c r="C31" s="160">
        <f ca="1">ROUND((C5+C19+C20+C22+C27)/(1-C21-D22-D27-C30),0)</f>
        <v>424292</v>
      </c>
      <c r="D31" s="209"/>
      <c r="E31" s="160"/>
      <c r="F31" s="210"/>
      <c r="G31" s="191" t="s">
        <v>979</v>
      </c>
    </row>
    <row r="32" spans="1:7" s="139" customFormat="1" ht="15.75">
      <c r="A32" s="211" t="s">
        <v>1309</v>
      </c>
      <c r="B32" s="212"/>
      <c r="C32" s="212"/>
      <c r="D32" s="212"/>
      <c r="E32" s="212"/>
      <c r="F32" s="212"/>
      <c r="G32" s="213"/>
    </row>
    <row r="33" spans="1:7" s="140" customFormat="1" ht="13.5" customHeight="1">
      <c r="A33" s="158" t="s">
        <v>918</v>
      </c>
      <c r="B33" s="159" t="s">
        <v>1310</v>
      </c>
      <c r="C33" s="214">
        <f ca="1">SUM(C34:C38)</f>
        <v>3251140</v>
      </c>
      <c r="D33" s="186"/>
      <c r="E33" s="161"/>
      <c r="F33" s="199"/>
      <c r="G33" s="191"/>
    </row>
    <row r="34" spans="1:7" s="142" customFormat="1" ht="13.5" customHeight="1">
      <c r="A34" s="194" t="s">
        <v>922</v>
      </c>
      <c r="B34" s="164" t="s">
        <v>982</v>
      </c>
      <c r="C34" s="169">
        <f ca="1">ROUND(IF(B1="",SUMPRODUCT('数据-取费表'!K6:K14,'数据-取费表'!L6:L14),INDIRECT("'数据-取费表'!l"&amp;$G$1)*INDIRECT("'数据-取费表'!k"&amp;$G$1)+'数据-取费表'!L14*INDIRECT("'数据-取费表'!S"&amp;$G$1)),0)</f>
        <v>2949835</v>
      </c>
      <c r="D34" s="166"/>
      <c r="E34" s="169"/>
      <c r="F34" s="215"/>
      <c r="G34" s="168"/>
    </row>
    <row r="35" spans="1:7" ht="13.5" customHeight="1">
      <c r="A35" s="194" t="s">
        <v>924</v>
      </c>
      <c r="B35" s="164" t="s">
        <v>984</v>
      </c>
      <c r="C35" s="169">
        <f ca="1">ROUND(C34*F35,0)</f>
        <v>88495</v>
      </c>
      <c r="D35" s="169"/>
      <c r="E35" s="169"/>
      <c r="F35" s="216">
        <f>'数据-取费表'!B33</f>
        <v>0.03</v>
      </c>
      <c r="G35" s="168" t="s">
        <v>985</v>
      </c>
    </row>
    <row r="36" spans="1:7" ht="24">
      <c r="A36" s="194" t="s">
        <v>926</v>
      </c>
      <c r="B36" s="164" t="s">
        <v>986</v>
      </c>
      <c r="C36" s="169">
        <f ca="1">ROUND(IF(B1="",SUM('数据-取费表'!AP6:AP13)*F36,IF(INDIRECT("'数据-取费表'!c"&amp;$G$1)="住宅",INDIRECT("'数据-取费表'!k"&amp;$G$1)*INDIRECT("'数据-取费表'!l"&amp;$G$1)*F36,0)),0)</f>
        <v>0</v>
      </c>
      <c r="D36" s="169"/>
      <c r="E36" s="169"/>
      <c r="F36" s="216">
        <f>'数据-取费表'!B34</f>
        <v>0</v>
      </c>
      <c r="G36" s="217" t="s">
        <v>987</v>
      </c>
    </row>
    <row r="37" spans="1:7" s="142" customFormat="1" ht="13.5" customHeight="1">
      <c r="A37" s="194" t="s">
        <v>968</v>
      </c>
      <c r="B37" s="164" t="s">
        <v>988</v>
      </c>
      <c r="C37" s="207">
        <f ca="1">ROUND(E37*D37,0)</f>
        <v>168562</v>
      </c>
      <c r="D37" s="166">
        <f ca="1">D19</f>
        <v>842.81</v>
      </c>
      <c r="E37" s="207">
        <f>'数据-取费表'!B35</f>
        <v>200</v>
      </c>
      <c r="F37" s="216"/>
      <c r="G37" s="218"/>
    </row>
    <row r="38" spans="1:7" ht="13.5" customHeight="1">
      <c r="A38" s="194" t="s">
        <v>990</v>
      </c>
      <c r="B38" s="164" t="s">
        <v>853</v>
      </c>
      <c r="C38" s="169">
        <f ca="1">ROUND(C34*F38,0)</f>
        <v>44248</v>
      </c>
      <c r="D38" s="169"/>
      <c r="E38" s="169"/>
      <c r="F38" s="216">
        <f>'数据-取费表'!B36</f>
        <v>1.4999999999999999E-2</v>
      </c>
      <c r="G38" s="168" t="s">
        <v>985</v>
      </c>
    </row>
    <row r="39" spans="1:7" s="140" customFormat="1" ht="13.5" customHeight="1">
      <c r="A39" s="158" t="s">
        <v>950</v>
      </c>
      <c r="B39" s="159" t="s">
        <v>954</v>
      </c>
      <c r="C39" s="186">
        <f ca="1">ROUND(C33*F20,0)</f>
        <v>65023</v>
      </c>
      <c r="D39" s="186"/>
      <c r="E39" s="186"/>
      <c r="F39" s="2140">
        <f>F20</f>
        <v>0.02</v>
      </c>
      <c r="G39" s="191" t="s">
        <v>991</v>
      </c>
    </row>
    <row r="40" spans="1:7" s="140" customFormat="1" ht="13.5" customHeight="1">
      <c r="A40" s="158" t="s">
        <v>953</v>
      </c>
      <c r="B40" s="159" t="s">
        <v>957</v>
      </c>
      <c r="C40" s="2141">
        <f>F21</f>
        <v>0.02</v>
      </c>
      <c r="D40" s="190" t="s">
        <v>992</v>
      </c>
      <c r="E40" s="186"/>
      <c r="F40" s="2140">
        <f>F21</f>
        <v>0.02</v>
      </c>
      <c r="G40" s="191" t="s">
        <v>993</v>
      </c>
    </row>
    <row r="41" spans="1:7" s="140" customFormat="1" ht="13.5" customHeight="1">
      <c r="A41" s="158" t="s">
        <v>956</v>
      </c>
      <c r="B41" s="159" t="s">
        <v>961</v>
      </c>
      <c r="C41" s="186">
        <f ca="1">ROUND(SUM(C42:C43),0)</f>
        <v>69639</v>
      </c>
      <c r="D41" s="189">
        <f ca="1">C44</f>
        <v>4.0000000000000002E-4</v>
      </c>
      <c r="E41" s="190" t="s">
        <v>992</v>
      </c>
      <c r="F41" s="2142">
        <f ca="1">F22</f>
        <v>4.2000000000000003E-2</v>
      </c>
      <c r="G41" s="191" t="str">
        <f>IF('数据-取费表'!B22&lt;=1,"单利计息","复利计息")</f>
        <v>单利计息</v>
      </c>
    </row>
    <row r="42" spans="1:7" ht="13.5" customHeight="1">
      <c r="A42" s="194" t="s">
        <v>922</v>
      </c>
      <c r="B42" s="164" t="s">
        <v>962</v>
      </c>
      <c r="C42" s="196">
        <f ca="1">ROUND(IF('数据-取费表'!B22&lt;=1,C33*F22*'数据-取费表'!B20/2,C33*(POWER((1+F22),'数据-取费表'!B20/2)-1)),0)</f>
        <v>68274</v>
      </c>
      <c r="D42" s="196"/>
      <c r="E42" s="196"/>
      <c r="F42" s="197"/>
      <c r="G42" s="3422" t="s">
        <v>1311</v>
      </c>
    </row>
    <row r="43" spans="1:7" ht="13.5" customHeight="1">
      <c r="A43" s="194" t="s">
        <v>924</v>
      </c>
      <c r="B43" s="164" t="s">
        <v>964</v>
      </c>
      <c r="C43" s="196">
        <f ca="1">ROUND(IF('数据-取费表'!B22&lt;=1,C39*F22*'数据-取费表'!B20/2,C39*(POWER((1+F22),'数据-取费表'!B20/2)-1)),0)</f>
        <v>1365</v>
      </c>
      <c r="D43" s="196"/>
      <c r="E43" s="196"/>
      <c r="F43" s="197"/>
      <c r="G43" s="3423"/>
    </row>
    <row r="44" spans="1:7" ht="13.5" customHeight="1">
      <c r="A44" s="194" t="s">
        <v>926</v>
      </c>
      <c r="B44" s="164" t="s">
        <v>966</v>
      </c>
      <c r="C44" s="196">
        <f ca="1">ROUND(IF('数据-取费表'!B22&lt;=1,C40*F22*'数据-取费表'!B20/2,C40*(POWER((1+F22),'数据-取费表'!B20/2)-1)),4)</f>
        <v>4.0000000000000002E-4</v>
      </c>
      <c r="D44" s="196"/>
      <c r="E44" s="196"/>
      <c r="F44" s="197"/>
      <c r="G44" s="3424"/>
    </row>
    <row r="45" spans="1:7" s="140" customFormat="1" ht="13.5" customHeight="1">
      <c r="A45" s="158" t="s">
        <v>960</v>
      </c>
      <c r="B45" s="202" t="s">
        <v>971</v>
      </c>
      <c r="C45" s="203">
        <f ca="1">C46</f>
        <v>331616</v>
      </c>
      <c r="D45" s="189">
        <f ca="1">C47</f>
        <v>2E-3</v>
      </c>
      <c r="E45" s="190" t="s">
        <v>992</v>
      </c>
      <c r="F45" s="2143">
        <f ca="1">F27</f>
        <v>0.1</v>
      </c>
      <c r="G45" s="205" t="s">
        <v>995</v>
      </c>
    </row>
    <row r="46" spans="1:7" s="140" customFormat="1" ht="13.5" customHeight="1">
      <c r="A46" s="194" t="s">
        <v>922</v>
      </c>
      <c r="B46" s="206" t="s">
        <v>996</v>
      </c>
      <c r="C46" s="207">
        <f ca="1">ROUND((C33+C39)*F27,0)</f>
        <v>331616</v>
      </c>
      <c r="D46" s="220"/>
      <c r="E46" s="190"/>
      <c r="F46" s="204"/>
      <c r="G46" s="205"/>
    </row>
    <row r="47" spans="1:7" s="140" customFormat="1" ht="13.5" customHeight="1">
      <c r="A47" s="194" t="s">
        <v>924</v>
      </c>
      <c r="B47" s="206" t="s">
        <v>997</v>
      </c>
      <c r="C47" s="196">
        <f ca="1">ROUND(C40*F27,4)</f>
        <v>2E-3</v>
      </c>
      <c r="D47" s="220"/>
      <c r="E47" s="190"/>
      <c r="F47" s="204"/>
      <c r="G47" s="205"/>
    </row>
    <row r="48" spans="1:7" s="140" customFormat="1" ht="13.5" customHeight="1">
      <c r="A48" s="158" t="s">
        <v>970</v>
      </c>
      <c r="B48" s="159" t="s">
        <v>976</v>
      </c>
      <c r="C48" s="219">
        <f>ROUND(F30/(1+'数据-取费表'!C42),4)</f>
        <v>5.2400000000000002E-2</v>
      </c>
      <c r="D48" s="190" t="s">
        <v>992</v>
      </c>
      <c r="E48" s="186"/>
      <c r="F48" s="2142">
        <f>F30</f>
        <v>5.5000000000000007E-2</v>
      </c>
      <c r="G48" s="191" t="s">
        <v>998</v>
      </c>
    </row>
    <row r="49" spans="1:7" ht="16.5" customHeight="1">
      <c r="A49" s="158" t="s">
        <v>975</v>
      </c>
      <c r="B49" s="159" t="s">
        <v>1312</v>
      </c>
      <c r="C49" s="186">
        <f ca="1">ROUND((C33+C39+C41+C45)/(1-C40-D41-D45-C48),0)</f>
        <v>4017962</v>
      </c>
      <c r="D49" s="186"/>
      <c r="E49" s="186"/>
      <c r="F49" s="221"/>
      <c r="G49" s="191" t="s">
        <v>1000</v>
      </c>
    </row>
    <row r="50" spans="1:7" s="142" customFormat="1">
      <c r="A50" s="158" t="s">
        <v>1001</v>
      </c>
      <c r="B50" s="159" t="s">
        <v>1002</v>
      </c>
      <c r="C50" s="186"/>
      <c r="D50" s="186"/>
      <c r="E50" s="186"/>
      <c r="F50" s="221">
        <f>IF('数据-取费表'!B24=0,'数据-取费表'!N16,1)</f>
        <v>0.88</v>
      </c>
      <c r="G50" s="205"/>
    </row>
    <row r="51" spans="1:7" ht="16.5" customHeight="1">
      <c r="A51" s="158" t="s">
        <v>1004</v>
      </c>
      <c r="B51" s="159" t="s">
        <v>1313</v>
      </c>
      <c r="C51" s="186">
        <f ca="1">ROUND(C49*F50,0)</f>
        <v>3535807</v>
      </c>
      <c r="D51" s="186"/>
      <c r="E51" s="186"/>
      <c r="F51" s="221"/>
      <c r="G51" s="191" t="s">
        <v>1006</v>
      </c>
    </row>
    <row r="52" spans="1:7" s="139" customFormat="1" ht="15.75">
      <c r="A52" s="222" t="s">
        <v>1007</v>
      </c>
      <c r="B52" s="223"/>
      <c r="C52" s="224">
        <f ca="1">C31+C51</f>
        <v>3960099</v>
      </c>
      <c r="D52" s="223"/>
      <c r="E52" s="223"/>
      <c r="F52" s="223"/>
      <c r="G52" s="225"/>
    </row>
    <row r="55" spans="1:7" ht="15">
      <c r="B55" s="226" t="s">
        <v>1008</v>
      </c>
      <c r="C55" s="227"/>
    </row>
    <row r="56" spans="1:7">
      <c r="B56" s="228" t="s">
        <v>1009</v>
      </c>
      <c r="C56" s="230">
        <f ca="1">1-C57</f>
        <v>0.10699999999999998</v>
      </c>
    </row>
    <row r="57" spans="1:7">
      <c r="B57" s="228" t="s">
        <v>1010</v>
      </c>
      <c r="C57" s="229">
        <f ca="1">ROUND(C51/C52,3)</f>
        <v>0.89300000000000002</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9" sqref="D9"/>
    </sheetView>
  </sheetViews>
  <sheetFormatPr defaultColWidth="6.625" defaultRowHeight="12.75"/>
  <cols>
    <col min="1" max="1" width="9.75" style="335" customWidth="1"/>
    <col min="2" max="2" width="25.75" style="2043" customWidth="1"/>
    <col min="3" max="3" width="10.375" style="2044" customWidth="1"/>
    <col min="4" max="4" width="9.875" style="2043" customWidth="1"/>
    <col min="5" max="5" width="9.5" style="335" customWidth="1"/>
    <col min="6" max="6" width="10.125" style="2043" customWidth="1"/>
    <col min="7" max="7" width="10.75" style="2043" customWidth="1"/>
    <col min="8" max="8" width="10" style="2043" customWidth="1"/>
    <col min="9" max="11" width="9.5" style="2043" customWidth="1"/>
    <col min="12" max="12" width="9" style="2043" customWidth="1"/>
    <col min="13" max="13" width="10.5" style="2043" customWidth="1"/>
    <col min="14" max="254" width="9" style="2043" customWidth="1"/>
    <col min="255" max="16384" width="6.625" style="2043"/>
  </cols>
  <sheetData>
    <row r="1" spans="1:33" ht="20.25">
      <c r="A1" s="146" t="s">
        <v>1314</v>
      </c>
      <c r="B1" s="1864"/>
      <c r="C1" s="2045"/>
      <c r="D1" s="2046"/>
      <c r="E1" s="2047"/>
      <c r="F1" s="2047"/>
      <c r="G1" s="2048"/>
      <c r="H1" s="2047"/>
      <c r="I1" s="2047"/>
      <c r="J1" s="2047"/>
      <c r="K1" s="2117">
        <f>MATCH(C1,'数据-取费表'!A6:A16,0)+5</f>
        <v>7</v>
      </c>
    </row>
    <row r="2" spans="1:33" ht="18" customHeight="1">
      <c r="A2" s="150" t="s">
        <v>913</v>
      </c>
      <c r="B2" s="154">
        <f ca="1">C32</f>
        <v>0</v>
      </c>
      <c r="C2" s="2049" t="s">
        <v>1315</v>
      </c>
      <c r="D2" s="2049"/>
      <c r="E2" s="2047"/>
      <c r="F2" s="2047"/>
      <c r="G2" s="2047"/>
      <c r="H2" s="2047"/>
      <c r="I2" s="2047"/>
      <c r="J2" s="2047"/>
      <c r="K2" s="2047"/>
    </row>
    <row r="3" spans="1:33" ht="18" customHeight="1">
      <c r="A3" s="153" t="s">
        <v>915</v>
      </c>
      <c r="B3" s="154">
        <f ca="1">ROUND(B2*10000/IF(C1="",'数据-汇总表'!E3,INDIRECT("'数据-取费表'!K"&amp;$K$1)),0)</f>
        <v>0</v>
      </c>
      <c r="C3" s="2049" t="s">
        <v>1316</v>
      </c>
      <c r="D3" s="2049"/>
      <c r="E3" s="2047"/>
      <c r="F3" s="2047"/>
      <c r="G3" s="2047"/>
      <c r="H3" s="2047"/>
      <c r="I3" s="2047"/>
      <c r="J3" s="2047"/>
      <c r="K3" s="2047"/>
    </row>
    <row r="4" spans="1:33" s="2034" customFormat="1" ht="16.5" customHeight="1">
      <c r="A4" s="2050" t="s">
        <v>1317</v>
      </c>
      <c r="B4" s="2051"/>
      <c r="C4" s="2052">
        <f>SUM(C8:K8)</f>
        <v>0</v>
      </c>
      <c r="D4" s="2051"/>
      <c r="E4" s="2051"/>
      <c r="F4" s="2051"/>
      <c r="G4" s="2051"/>
      <c r="H4" s="2051"/>
      <c r="I4" s="2051"/>
      <c r="J4" s="2051"/>
      <c r="K4" s="2118"/>
    </row>
    <row r="5" spans="1:33" s="2035" customFormat="1" ht="24.75">
      <c r="A5" s="2053" t="s">
        <v>1318</v>
      </c>
      <c r="B5" s="2054" t="s">
        <v>1319</v>
      </c>
      <c r="C5" s="2055" t="s">
        <v>1320</v>
      </c>
      <c r="D5" s="2055" t="s">
        <v>1321</v>
      </c>
      <c r="E5" s="2055" t="s">
        <v>1322</v>
      </c>
      <c r="F5" s="2055"/>
      <c r="G5" s="2055"/>
      <c r="H5" s="2055"/>
      <c r="I5" s="2055"/>
      <c r="J5" s="2055"/>
      <c r="K5" s="2055"/>
      <c r="L5" s="2119"/>
      <c r="M5" s="2119"/>
      <c r="N5" s="2119"/>
      <c r="O5" s="2119"/>
      <c r="P5" s="2119"/>
      <c r="Q5" s="2119"/>
      <c r="R5" s="2119"/>
      <c r="S5" s="2119"/>
      <c r="T5" s="2119"/>
      <c r="U5" s="2119"/>
      <c r="V5" s="2119"/>
      <c r="W5" s="2119"/>
      <c r="X5" s="2119"/>
      <c r="Y5" s="2119"/>
      <c r="Z5" s="2119"/>
      <c r="AA5" s="2119"/>
      <c r="AB5" s="2119"/>
      <c r="AC5" s="2119"/>
      <c r="AD5" s="2119"/>
      <c r="AE5" s="2119"/>
      <c r="AF5" s="2119"/>
      <c r="AG5" s="2119"/>
    </row>
    <row r="6" spans="1:33" s="2036" customFormat="1" ht="13.5" customHeight="1">
      <c r="A6" s="2056" t="s">
        <v>822</v>
      </c>
      <c r="B6" s="1827" t="s">
        <v>1323</v>
      </c>
      <c r="C6" s="2057"/>
      <c r="D6" s="2057"/>
      <c r="E6" s="2057"/>
      <c r="F6" s="2057"/>
      <c r="G6" s="2057"/>
      <c r="H6" s="2057"/>
      <c r="I6" s="2057"/>
      <c r="J6" s="2057"/>
      <c r="K6" s="2120"/>
      <c r="L6" s="2121"/>
      <c r="M6" s="2121"/>
      <c r="N6" s="2121"/>
      <c r="O6" s="2121"/>
      <c r="P6" s="2121"/>
      <c r="Q6" s="2121"/>
      <c r="R6" s="2121"/>
      <c r="S6" s="2121"/>
      <c r="T6" s="2121"/>
      <c r="U6" s="2121"/>
      <c r="V6" s="2121"/>
      <c r="W6" s="2121"/>
      <c r="X6" s="2121"/>
      <c r="Y6" s="2121"/>
      <c r="Z6" s="2121"/>
      <c r="AA6" s="2121"/>
      <c r="AB6" s="2121"/>
      <c r="AC6" s="2121"/>
      <c r="AD6" s="2121"/>
      <c r="AE6" s="2121"/>
      <c r="AF6" s="2121"/>
      <c r="AG6" s="2121"/>
    </row>
    <row r="7" spans="1:33" s="2036" customFormat="1" ht="13.5" customHeight="1">
      <c r="A7" s="2056" t="s">
        <v>826</v>
      </c>
      <c r="B7" s="1827" t="s">
        <v>362</v>
      </c>
      <c r="C7" s="2058">
        <f>SUMIF('数据-汇总表'!$C19:$C33,假设开发法!C5,'数据-汇总表'!$E19:$E33)</f>
        <v>0</v>
      </c>
      <c r="D7" s="2058">
        <f>SUMIF('数据-汇总表'!$C19:$C33,假设开发法!D5,'数据-汇总表'!$E19:$E33)</f>
        <v>0</v>
      </c>
      <c r="E7" s="2058">
        <f>SUMIF('数据-汇总表'!$C19:$C33,假设开发法!E5,'数据-汇总表'!$E19:$E33)</f>
        <v>0</v>
      </c>
      <c r="F7" s="2058">
        <f>SUMIF('数据-汇总表'!$C19:$C33,假设开发法!F5,'数据-汇总表'!$E19:$E33)</f>
        <v>0</v>
      </c>
      <c r="G7" s="2058">
        <f>SUMIF('数据-汇总表'!$C19:$C33,假设开发法!G5,'数据-汇总表'!$E19:$E33)</f>
        <v>0</v>
      </c>
      <c r="H7" s="2058">
        <f>SUMIF('数据-汇总表'!$C19:$C33,假设开发法!H5,'数据-汇总表'!$E19:$E33)</f>
        <v>0</v>
      </c>
      <c r="I7" s="2058">
        <f>SUMIF('数据-汇总表'!$C19:$C33,假设开发法!I5,'数据-汇总表'!$E19:$E33)</f>
        <v>0</v>
      </c>
      <c r="J7" s="2058">
        <f>SUMIF('数据-汇总表'!$C19:$C33,假设开发法!J5,'数据-汇总表'!$E19:$E33)</f>
        <v>0</v>
      </c>
      <c r="K7" s="2122">
        <f>SUMIF('数据-汇总表'!$C19:$C33,假设开发法!K5,'数据-汇总表'!$E19:$E33)</f>
        <v>0</v>
      </c>
      <c r="L7" s="2121"/>
      <c r="M7" s="2121"/>
      <c r="N7" s="2121"/>
      <c r="O7" s="2121"/>
      <c r="P7" s="2121"/>
      <c r="Q7" s="2121"/>
      <c r="R7" s="2121"/>
      <c r="S7" s="2121"/>
      <c r="T7" s="2121"/>
      <c r="U7" s="2121"/>
      <c r="V7" s="2121"/>
      <c r="W7" s="2121"/>
      <c r="X7" s="2121"/>
      <c r="Y7" s="2121"/>
      <c r="Z7" s="2121"/>
      <c r="AA7" s="2121"/>
      <c r="AB7" s="2121"/>
      <c r="AC7" s="2121"/>
      <c r="AD7" s="2121"/>
      <c r="AE7" s="2121"/>
      <c r="AF7" s="2121"/>
      <c r="AG7" s="2121"/>
    </row>
    <row r="8" spans="1:33" s="2036" customFormat="1" ht="13.5" customHeight="1">
      <c r="A8" s="2059" t="s">
        <v>872</v>
      </c>
      <c r="B8" s="2060" t="s">
        <v>1324</v>
      </c>
      <c r="C8" s="2061"/>
      <c r="D8" s="2061"/>
      <c r="E8" s="2061"/>
      <c r="F8" s="2062"/>
      <c r="G8" s="2062"/>
      <c r="H8" s="2062"/>
      <c r="I8" s="2062"/>
      <c r="J8" s="2062"/>
      <c r="K8" s="2123"/>
      <c r="L8" s="2121"/>
      <c r="M8" s="2121"/>
      <c r="N8" s="2121"/>
      <c r="O8" s="2121"/>
      <c r="P8" s="2121"/>
      <c r="Q8" s="2121"/>
      <c r="R8" s="2121"/>
      <c r="S8" s="2121"/>
      <c r="T8" s="2121"/>
      <c r="U8" s="2121"/>
      <c r="V8" s="2121"/>
      <c r="W8" s="2121"/>
      <c r="X8" s="2121"/>
      <c r="Y8" s="2121"/>
      <c r="Z8" s="2121"/>
      <c r="AA8" s="2121"/>
      <c r="AB8" s="2121"/>
      <c r="AC8" s="2121"/>
      <c r="AD8" s="2121"/>
      <c r="AE8" s="2121"/>
      <c r="AF8" s="2121"/>
      <c r="AG8" s="2121"/>
    </row>
    <row r="9" spans="1:33" s="2034" customFormat="1" ht="16.5" customHeight="1">
      <c r="A9" s="2050" t="s">
        <v>1325</v>
      </c>
      <c r="B9" s="2051"/>
      <c r="C9" s="2051"/>
      <c r="D9" s="2051"/>
      <c r="E9" s="2051"/>
      <c r="F9" s="2051"/>
      <c r="G9" s="2051"/>
      <c r="H9" s="2051"/>
      <c r="I9" s="2051"/>
      <c r="J9" s="2051"/>
      <c r="K9" s="2118"/>
    </row>
    <row r="10" spans="1:33" s="2037" customFormat="1" ht="13.5" customHeight="1">
      <c r="A10" s="2053" t="s">
        <v>1318</v>
      </c>
      <c r="B10" s="2063" t="s">
        <v>1319</v>
      </c>
      <c r="C10" s="2064" t="s">
        <v>1326</v>
      </c>
      <c r="D10" s="2065" t="s">
        <v>1327</v>
      </c>
      <c r="E10" s="2065" t="s">
        <v>1328</v>
      </c>
      <c r="F10" s="2065" t="s">
        <v>1329</v>
      </c>
      <c r="G10" s="2063"/>
      <c r="H10" s="2066"/>
      <c r="I10" s="2066"/>
      <c r="J10" s="2066"/>
      <c r="K10" s="2124"/>
    </row>
    <row r="11" spans="1:33" s="2038" customFormat="1" ht="13.5" customHeight="1">
      <c r="A11" s="2067" t="s">
        <v>928</v>
      </c>
      <c r="B11" s="2068" t="s">
        <v>1330</v>
      </c>
      <c r="C11" s="2069">
        <f ca="1">IF(C1="",'数据-取费表'!P16,INDIRECT("'数据-取费表'!p"&amp;$K$1)+INDIRECT("'数据-取费表'!ar"&amp;$K$1))</f>
        <v>0</v>
      </c>
      <c r="D11" s="2070"/>
      <c r="E11" s="1830"/>
      <c r="F11" s="2071">
        <f ca="1">1-IF('数据-取费表'!B24=0,1,IF(C1="",'数据-取费表'!N16,INDIRECT("'数据-取费表'!n"&amp;$K$1)))</f>
        <v>0</v>
      </c>
      <c r="G11" s="2063"/>
      <c r="H11" s="2066"/>
      <c r="I11" s="2066"/>
      <c r="J11" s="2066"/>
      <c r="K11" s="2124"/>
    </row>
    <row r="12" spans="1:33" s="2038" customFormat="1" ht="13.5" customHeight="1">
      <c r="A12" s="2067" t="s">
        <v>932</v>
      </c>
      <c r="B12" s="2068" t="s">
        <v>1144</v>
      </c>
      <c r="C12" s="293">
        <f ca="1">ROUND(C11*F12,0)</f>
        <v>0</v>
      </c>
      <c r="D12" s="2070"/>
      <c r="E12" s="1830"/>
      <c r="F12" s="2072">
        <f>'数据-取费表'!B33</f>
        <v>0.03</v>
      </c>
      <c r="G12" s="2063" t="s">
        <v>1331</v>
      </c>
      <c r="H12" s="2066"/>
      <c r="I12" s="2066"/>
      <c r="J12" s="2066"/>
      <c r="K12" s="2124"/>
    </row>
    <row r="13" spans="1:33" s="2038" customFormat="1" ht="13.5" customHeight="1">
      <c r="A13" s="2067" t="s">
        <v>1257</v>
      </c>
      <c r="B13" s="2068" t="s">
        <v>1147</v>
      </c>
      <c r="C13" s="293">
        <f ca="1">ROUND(IF(C1="",SUMIF('数据-取费表'!C:C,"住宅",'数据-取费表'!P:P)*F13,IF(INDIRECT("'数据-取费表'!c"&amp;$K$1)="住宅",INDIRECT("'数据-取费表'!P"&amp;$K$1)*F13,0)),0)</f>
        <v>0</v>
      </c>
      <c r="D13" s="2073"/>
      <c r="E13" s="1830"/>
      <c r="F13" s="2072">
        <f>'数据-取费表'!B34</f>
        <v>0</v>
      </c>
      <c r="G13" s="2063" t="s">
        <v>1332</v>
      </c>
      <c r="H13" s="2066"/>
      <c r="I13" s="2066"/>
      <c r="J13" s="2066"/>
      <c r="K13" s="2124"/>
    </row>
    <row r="14" spans="1:33" s="2039" customFormat="1" ht="13.5" customHeight="1">
      <c r="A14" s="2067" t="s">
        <v>1333</v>
      </c>
      <c r="B14" s="2068" t="s">
        <v>1334</v>
      </c>
      <c r="C14" s="293">
        <f ca="1">ROUND(D14*E14*F11/10000,0)</f>
        <v>0</v>
      </c>
      <c r="D14" s="2073">
        <f ca="1">IF(C1="",'数据-汇总表'!E3,INDIRECT("'数据-取费表'!K"&amp;$K$1)+INDIRECT("'数据-取费表'!S"&amp;$K$1))</f>
        <v>842.81</v>
      </c>
      <c r="E14" s="293">
        <f>'数据-取费表'!B35</f>
        <v>200</v>
      </c>
      <c r="F14" s="2072"/>
      <c r="G14" s="2063" t="s">
        <v>1335</v>
      </c>
      <c r="H14" s="2066"/>
      <c r="I14" s="2066"/>
      <c r="J14" s="2066"/>
      <c r="K14" s="2124"/>
      <c r="L14" s="2038"/>
      <c r="M14" s="2038"/>
      <c r="N14" s="2038"/>
      <c r="O14" s="2038"/>
      <c r="P14" s="2038"/>
      <c r="Q14" s="2038"/>
      <c r="R14" s="2038"/>
      <c r="S14" s="2038"/>
      <c r="T14" s="2038"/>
      <c r="U14" s="2038"/>
      <c r="V14" s="2038"/>
      <c r="W14" s="2038"/>
      <c r="X14" s="2038"/>
      <c r="Y14" s="2038"/>
      <c r="Z14" s="2038"/>
      <c r="AA14" s="2038"/>
      <c r="AB14" s="2038"/>
      <c r="AC14" s="2038"/>
      <c r="AD14" s="2038"/>
      <c r="AE14" s="2038"/>
      <c r="AF14" s="2038"/>
      <c r="AG14" s="2038"/>
    </row>
    <row r="15" spans="1:33" s="2039" customFormat="1" ht="13.5" customHeight="1">
      <c r="A15" s="2067" t="s">
        <v>1336</v>
      </c>
      <c r="B15" s="2068" t="s">
        <v>1159</v>
      </c>
      <c r="C15" s="2074">
        <f ca="1">ROUND(C11*F15,0)</f>
        <v>0</v>
      </c>
      <c r="D15" s="2075"/>
      <c r="E15" s="2074"/>
      <c r="F15" s="2076">
        <f>'数据-取费表'!B36</f>
        <v>1.4999999999999999E-2</v>
      </c>
      <c r="G15" s="1827" t="s">
        <v>1337</v>
      </c>
      <c r="H15" s="1941"/>
      <c r="I15" s="1941"/>
      <c r="J15" s="1941"/>
      <c r="K15" s="1942"/>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row>
    <row r="16" spans="1:33" s="2039" customFormat="1" ht="13.5" customHeight="1">
      <c r="A16" s="2067" t="s">
        <v>845</v>
      </c>
      <c r="B16" s="2068" t="s">
        <v>1338</v>
      </c>
      <c r="C16" s="2074">
        <f ca="1">SUM(C11:C15)</f>
        <v>0</v>
      </c>
      <c r="D16" s="2075"/>
      <c r="E16" s="2074"/>
      <c r="F16" s="2076"/>
      <c r="G16" s="1827"/>
      <c r="H16" s="2077"/>
      <c r="I16" s="1941"/>
      <c r="J16" s="1941"/>
      <c r="K16" s="1942"/>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row>
    <row r="17" spans="1:33" s="2039" customFormat="1" ht="13.5" customHeight="1">
      <c r="A17" s="2067" t="s">
        <v>849</v>
      </c>
      <c r="B17" s="2068" t="s">
        <v>1339</v>
      </c>
      <c r="C17" s="293">
        <f ca="1">ROUND(D17*E17/10000,0)</f>
        <v>0</v>
      </c>
      <c r="D17" s="2073">
        <f ca="1">D14</f>
        <v>842.81</v>
      </c>
      <c r="E17" s="293">
        <f>'数据-取费表'!B32</f>
        <v>0</v>
      </c>
      <c r="F17" s="2075"/>
      <c r="G17" s="1827" t="s">
        <v>1340</v>
      </c>
      <c r="H17" s="2077"/>
      <c r="I17" s="1941"/>
      <c r="J17" s="1941"/>
      <c r="K17" s="1942"/>
      <c r="L17" s="2038"/>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row>
    <row r="18" spans="1:33" s="2038" customFormat="1" ht="13.5" customHeight="1">
      <c r="A18" s="2067" t="s">
        <v>1341</v>
      </c>
      <c r="B18" s="2068" t="s">
        <v>1342</v>
      </c>
      <c r="C18" s="293">
        <f ca="1">C19+C20-IF(C1="",'数据-取费表'!B29,IF(G18="已全部缴纳",C19+C20,H18))</f>
        <v>0</v>
      </c>
      <c r="D18" s="2073"/>
      <c r="E18" s="293"/>
      <c r="F18" s="2072"/>
      <c r="G18" s="2078"/>
      <c r="H18" s="2079"/>
      <c r="I18" s="2125" t="s">
        <v>1343</v>
      </c>
      <c r="J18" s="1941"/>
      <c r="K18" s="1942"/>
    </row>
    <row r="19" spans="1:33" s="2038" customFormat="1" ht="13.5" customHeight="1">
      <c r="A19" s="2067" t="s">
        <v>928</v>
      </c>
      <c r="B19" s="2068" t="s">
        <v>350</v>
      </c>
      <c r="C19" s="293">
        <f ca="1">ROUND(D19*E19/10000,0)</f>
        <v>0</v>
      </c>
      <c r="D19" s="2073">
        <f ca="1">IF(C1="",'数据-汇总表'!E5,IF(INDIRECT("'数据-取费表'!c"&amp;$K$1)="住宅",INDIRECT("'数据-取费表'!k"&amp;$K$1),0))</f>
        <v>0</v>
      </c>
      <c r="E19" s="293">
        <f>'数据-取费表'!B27</f>
        <v>160</v>
      </c>
      <c r="F19" s="2072"/>
      <c r="G19" s="1940"/>
      <c r="H19" s="2080"/>
      <c r="I19" s="2081"/>
      <c r="J19" s="2081"/>
      <c r="K19" s="2126"/>
    </row>
    <row r="20" spans="1:33" s="2038" customFormat="1" ht="13.5" customHeight="1">
      <c r="A20" s="2067" t="s">
        <v>932</v>
      </c>
      <c r="B20" s="2068" t="s">
        <v>1344</v>
      </c>
      <c r="C20" s="293">
        <f ca="1">ROUND(D20*E20/10000,0)</f>
        <v>17</v>
      </c>
      <c r="D20" s="2073">
        <f ca="1">IF(C1="",'数据-汇总表'!E6,IF(INDIRECT("'数据-取费表'!c"&amp;$K$1)="住宅",INDIRECT("'数据-取费表'!s"&amp;$K$1),INDIRECT("'数据-取费表'!k"&amp;$K$1)+INDIRECT("'数据-取费表'!s"&amp;$K$1)))</f>
        <v>842.81</v>
      </c>
      <c r="E20" s="293">
        <f>'数据-取费表'!B28</f>
        <v>200</v>
      </c>
      <c r="F20" s="2072"/>
      <c r="G20" s="1940"/>
      <c r="H20" s="2081"/>
      <c r="I20" s="2081"/>
      <c r="J20" s="2081"/>
      <c r="K20" s="2126"/>
    </row>
    <row r="21" spans="1:33" s="2038" customFormat="1" ht="13.5" customHeight="1">
      <c r="A21" s="2056" t="s">
        <v>822</v>
      </c>
      <c r="B21" s="2082" t="s">
        <v>1345</v>
      </c>
      <c r="C21" s="2083">
        <f ca="1">C16+C17+C18</f>
        <v>0</v>
      </c>
      <c r="D21" s="2084"/>
      <c r="E21" s="2085"/>
      <c r="F21" s="2085"/>
      <c r="G21" s="1827" t="s">
        <v>1346</v>
      </c>
      <c r="H21" s="1941"/>
      <c r="I21" s="1941"/>
      <c r="J21" s="1941"/>
      <c r="K21" s="1942"/>
    </row>
    <row r="22" spans="1:33" s="2038" customFormat="1" ht="13.5" customHeight="1">
      <c r="A22" s="2056" t="s">
        <v>826</v>
      </c>
      <c r="B22" s="2082" t="s">
        <v>1347</v>
      </c>
      <c r="C22" s="2083">
        <f ca="1">ROUND(C21*F22,0)</f>
        <v>0</v>
      </c>
      <c r="D22" s="2085"/>
      <c r="E22" s="2085"/>
      <c r="F22" s="2086">
        <f>'数据-取费表'!B37</f>
        <v>0.02</v>
      </c>
      <c r="G22" s="2063" t="s">
        <v>1348</v>
      </c>
      <c r="H22" s="2066"/>
      <c r="I22" s="2066"/>
      <c r="J22" s="2066"/>
      <c r="K22" s="2124"/>
    </row>
    <row r="23" spans="1:33" s="2038" customFormat="1" ht="13.5" customHeight="1">
      <c r="A23" s="2056" t="s">
        <v>872</v>
      </c>
      <c r="B23" s="2082" t="s">
        <v>1349</v>
      </c>
      <c r="C23" s="2083">
        <f ca="1">ROUND(C4*F23*F11,0)</f>
        <v>0</v>
      </c>
      <c r="D23" s="2085"/>
      <c r="E23" s="2085"/>
      <c r="F23" s="2086">
        <f>'数据-取费表'!B38</f>
        <v>0.02</v>
      </c>
      <c r="G23" s="2063" t="s">
        <v>1350</v>
      </c>
      <c r="H23" s="2066"/>
      <c r="I23" s="2066"/>
      <c r="J23" s="2066"/>
      <c r="K23" s="2124"/>
    </row>
    <row r="24" spans="1:33" s="2038" customFormat="1" ht="13.5" customHeight="1">
      <c r="A24" s="2056" t="s">
        <v>875</v>
      </c>
      <c r="B24" s="2082" t="s">
        <v>1351</v>
      </c>
      <c r="C24" s="2087">
        <f>ROUND(F24/(1+'数据-取费表'!C42),4)</f>
        <v>2.9000000000000001E-2</v>
      </c>
      <c r="D24" s="2085" t="s">
        <v>1352</v>
      </c>
      <c r="E24" s="2085"/>
      <c r="F24" s="2086">
        <f>IF(项目基本情况!B8="出让",0,'数据-取费表'!B48+'数据-取费表'!B49)</f>
        <v>3.0499999999999999E-2</v>
      </c>
      <c r="G24" s="2063" t="s">
        <v>1353</v>
      </c>
      <c r="H24" s="2088"/>
      <c r="I24" s="2088"/>
      <c r="J24" s="2088"/>
      <c r="K24" s="2127"/>
    </row>
    <row r="25" spans="1:33" s="2038" customFormat="1" ht="13.5" customHeight="1">
      <c r="A25" s="2056" t="s">
        <v>879</v>
      </c>
      <c r="B25" s="2084" t="s">
        <v>1354</v>
      </c>
      <c r="C25" s="2089">
        <f ca="1">C27</f>
        <v>0</v>
      </c>
      <c r="D25" s="2087">
        <f ca="1">C26</f>
        <v>0</v>
      </c>
      <c r="E25" s="2090" t="s">
        <v>1352</v>
      </c>
      <c r="F25" s="2091">
        <f ca="1">'数据-取费表'!B40</f>
        <v>4.2000000000000003E-2</v>
      </c>
      <c r="G25" s="1827" t="str">
        <f>IF('数据-取费表'!B22&lt;=1,"单利计息。","复利计息。")&amp;"后续开发成本、管理费用及销售费用产生的利息。"</f>
        <v>单利计息。后续开发成本、管理费用及销售费用产生的利息。</v>
      </c>
      <c r="H25" s="2088"/>
      <c r="I25" s="2088"/>
      <c r="J25" s="2088"/>
      <c r="K25" s="2127"/>
    </row>
    <row r="26" spans="1:33" s="2040" customFormat="1" ht="13.5" customHeight="1">
      <c r="A26" s="2067" t="s">
        <v>845</v>
      </c>
      <c r="B26" s="2092" t="s">
        <v>1355</v>
      </c>
      <c r="C26" s="2093">
        <f ca="1">ROUND(IF('数据-取费表'!B22&lt;=1,(1+C24)*F25*'数据-取费表'!B24,(1+C24)*(POWER((1+F25),'数据-取费表'!B24)-1)),4)</f>
        <v>0</v>
      </c>
      <c r="D26" s="2094"/>
      <c r="E26" s="2095"/>
      <c r="F26" s="2096"/>
      <c r="G26" s="2097" t="str">
        <f>IF('数据-取费表'!B22&lt;=1,"（(1)+取得税费率/(1+5%)）×年利率×建设期","（(1)+取得税费率）/(1+5%)×((1+年利率)^建设期-1)")</f>
        <v>（(1)+取得税费率/(1+5%)）×年利率×建设期</v>
      </c>
      <c r="H26" s="1941"/>
      <c r="I26" s="1941"/>
      <c r="J26" s="1941"/>
      <c r="K26" s="1942"/>
    </row>
    <row r="27" spans="1:33" s="2040" customFormat="1" ht="13.5" customHeight="1">
      <c r="A27" s="2067" t="s">
        <v>849</v>
      </c>
      <c r="B27" s="2092" t="s">
        <v>1356</v>
      </c>
      <c r="C27" s="2098">
        <f ca="1">ROUND(IF('数据-取费表'!B22&lt;=1,(C21+C22+C23)*F25*'数据-取费表'!B24/2,(C21+C22+C23)*(POWER((1+F25),'数据-取费表'!B24/2)-1)),0)</f>
        <v>0</v>
      </c>
      <c r="D27" s="2094"/>
      <c r="E27" s="2095"/>
      <c r="F27" s="2096"/>
      <c r="G27" s="2097" t="str">
        <f>IF('数据-取费表'!B22&lt;=1,"（1）-（3）项×年利率×建设期÷2","（1）-（3）项×((1+年利率)^(建设期÷2)-1)")</f>
        <v>（1）-（3）项×年利率×建设期÷2</v>
      </c>
      <c r="H27" s="1941"/>
      <c r="I27" s="1941"/>
      <c r="J27" s="1941"/>
      <c r="K27" s="1942"/>
    </row>
    <row r="28" spans="1:33" s="2041" customFormat="1" ht="13.5" customHeight="1">
      <c r="A28" s="2056" t="s">
        <v>880</v>
      </c>
      <c r="B28" s="2099" t="s">
        <v>1357</v>
      </c>
      <c r="C28" s="2100">
        <f ca="1">C30</f>
        <v>0</v>
      </c>
      <c r="D28" s="2087">
        <f ca="1">C29</f>
        <v>0</v>
      </c>
      <c r="E28" s="2090" t="s">
        <v>1352</v>
      </c>
      <c r="F28" s="1139">
        <f ca="1">IF(C1="",'数据-取费表'!Q16,INDIRECT("'数据-取费表'!q"&amp;$K$1))</f>
        <v>0.1</v>
      </c>
      <c r="G28" s="2101"/>
      <c r="H28" s="2088"/>
      <c r="I28" s="2088"/>
      <c r="J28" s="2088"/>
      <c r="K28" s="2127"/>
    </row>
    <row r="29" spans="1:33" s="2042" customFormat="1" ht="13.5" customHeight="1">
      <c r="A29" s="2067" t="s">
        <v>845</v>
      </c>
      <c r="B29" s="2102" t="s">
        <v>1358</v>
      </c>
      <c r="C29" s="2094">
        <f ca="1">ROUND((1+C24)*F28*'数据-取费表'!B24/'数据-取费表'!B20,4)</f>
        <v>0</v>
      </c>
      <c r="D29" s="2094"/>
      <c r="E29" s="2095"/>
      <c r="F29" s="2103"/>
      <c r="G29" s="1827" t="s">
        <v>1359</v>
      </c>
      <c r="H29" s="1941"/>
      <c r="I29" s="1941"/>
      <c r="J29" s="1941"/>
      <c r="K29" s="1942"/>
    </row>
    <row r="30" spans="1:33" s="2042" customFormat="1" ht="13.5" customHeight="1">
      <c r="A30" s="2067" t="s">
        <v>849</v>
      </c>
      <c r="B30" s="2102" t="s">
        <v>1360</v>
      </c>
      <c r="C30" s="2104">
        <f ca="1">ROUND((C21+C22+C23)*F28,0)</f>
        <v>0</v>
      </c>
      <c r="D30" s="2094"/>
      <c r="E30" s="2095"/>
      <c r="F30" s="2103"/>
      <c r="G30" s="1827"/>
      <c r="H30" s="1941"/>
      <c r="I30" s="1941"/>
      <c r="J30" s="1941"/>
      <c r="K30" s="1942"/>
    </row>
    <row r="31" spans="1:33" s="2038" customFormat="1" ht="13.5" customHeight="1">
      <c r="A31" s="2105" t="s">
        <v>1204</v>
      </c>
      <c r="B31" s="2106" t="s">
        <v>1361</v>
      </c>
      <c r="C31" s="2107">
        <f>ROUND(C4*F31/(1+'数据-取费表'!C42),0)</f>
        <v>0</v>
      </c>
      <c r="D31" s="2108"/>
      <c r="E31" s="2109"/>
      <c r="F31" s="2110">
        <f>'数据-取费表'!B41</f>
        <v>5.5000000000000007E-2</v>
      </c>
      <c r="G31" s="2111" t="s">
        <v>1362</v>
      </c>
      <c r="H31" s="2112"/>
      <c r="I31" s="2112"/>
      <c r="J31" s="2112"/>
      <c r="K31" s="2128"/>
    </row>
    <row r="32" spans="1:33" s="2037" customFormat="1" ht="13.5" customHeight="1">
      <c r="A32" s="2113" t="s">
        <v>1363</v>
      </c>
      <c r="B32" s="2114"/>
      <c r="C32" s="2115">
        <f ca="1">ROUND((C4-C21-C22-C23-C25-C28-C31)/(1+C24+D25+D28),0)</f>
        <v>0</v>
      </c>
      <c r="D32" s="2114"/>
      <c r="E32" s="2114"/>
      <c r="F32" s="2114"/>
      <c r="G32" s="2116" t="s">
        <v>1364</v>
      </c>
      <c r="H32" s="2114"/>
      <c r="I32" s="2114"/>
      <c r="J32" s="2114"/>
      <c r="K32" s="2129"/>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9" sqref="D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1109</v>
      </c>
      <c r="B1" s="1129"/>
      <c r="C1" s="1758"/>
      <c r="D1" s="1759"/>
      <c r="E1" s="1760" t="s">
        <v>1110</v>
      </c>
      <c r="F1" s="1761">
        <f ca="1">J53</f>
        <v>0</v>
      </c>
      <c r="G1" s="1762">
        <f>MATCH(C1,'数据-取费表'!A6:A16,0)+5</f>
        <v>7</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1111</v>
      </c>
      <c r="B2" s="1764" t="e">
        <f ca="1">ROUND(D2/10000,0)</f>
        <v>#DIV/0!</v>
      </c>
      <c r="C2" s="1765" t="s">
        <v>1112</v>
      </c>
      <c r="D2" s="1766" t="e">
        <f ca="1">C40+J29+L46</f>
        <v>#DIV/0!</v>
      </c>
      <c r="E2" s="1767" t="s">
        <v>1365</v>
      </c>
      <c r="F2" s="1768"/>
      <c r="G2" s="1769"/>
      <c r="H2" s="1770"/>
      <c r="I2" s="1770"/>
      <c r="J2" s="1770"/>
      <c r="K2" s="1928"/>
      <c r="L2" s="1770"/>
      <c r="M2" s="1770"/>
    </row>
    <row r="3" spans="1:37" ht="18" customHeight="1">
      <c r="A3" s="1771" t="s">
        <v>1113</v>
      </c>
      <c r="B3" s="1772">
        <f ca="1">IF(ISERROR(D2/F43),0,ROUND(D2/F43,0))</f>
        <v>0</v>
      </c>
      <c r="C3" s="1765" t="s">
        <v>1114</v>
      </c>
      <c r="D3" s="1765"/>
      <c r="E3" s="1767"/>
      <c r="F3" s="1768"/>
      <c r="G3" s="1769"/>
      <c r="H3" s="1773" t="s">
        <v>1115</v>
      </c>
      <c r="I3" s="1929"/>
      <c r="J3" s="1929"/>
      <c r="K3" s="1930"/>
      <c r="L3" s="1929"/>
      <c r="M3" s="1929"/>
    </row>
    <row r="4" spans="1:37" ht="18" customHeight="1">
      <c r="A4" s="1774" t="s">
        <v>1116</v>
      </c>
      <c r="B4" s="1775" t="s">
        <v>1117</v>
      </c>
      <c r="C4" s="1775" t="s">
        <v>1118</v>
      </c>
      <c r="D4" s="1775" t="s">
        <v>1119</v>
      </c>
      <c r="E4" s="1776" t="s">
        <v>1120</v>
      </c>
      <c r="F4" s="1777"/>
      <c r="G4" s="773"/>
      <c r="H4" s="1774" t="s">
        <v>1116</v>
      </c>
      <c r="I4" s="1775" t="s">
        <v>1117</v>
      </c>
      <c r="J4" s="1775" t="s">
        <v>1118</v>
      </c>
      <c r="K4" s="1775" t="s">
        <v>1119</v>
      </c>
      <c r="L4" s="1776" t="s">
        <v>1120</v>
      </c>
      <c r="M4" s="1777"/>
    </row>
    <row r="5" spans="1:37" ht="18" customHeight="1">
      <c r="A5" s="1778">
        <v>1</v>
      </c>
      <c r="B5" s="1779" t="s">
        <v>1121</v>
      </c>
      <c r="C5" s="1780">
        <f ca="1">C6+C10+C12</f>
        <v>0</v>
      </c>
      <c r="D5" s="1781" t="s">
        <v>1122</v>
      </c>
      <c r="E5" s="1782"/>
      <c r="F5" s="1783"/>
      <c r="G5" s="773"/>
      <c r="H5" s="1778">
        <v>1</v>
      </c>
      <c r="I5" s="1779" t="s">
        <v>1121</v>
      </c>
      <c r="J5" s="1780">
        <f ca="1">J6+J10+J12</f>
        <v>0</v>
      </c>
      <c r="K5" s="1781" t="s">
        <v>1122</v>
      </c>
      <c r="L5" s="1782"/>
      <c r="M5" s="1783"/>
    </row>
    <row r="6" spans="1:37" ht="18" customHeight="1">
      <c r="A6" s="1784" t="s">
        <v>822</v>
      </c>
      <c r="B6" s="3468" t="s">
        <v>1123</v>
      </c>
      <c r="C6" s="1785">
        <f ca="1">ROUND(F6*F8*F7*(1-F9),0)</f>
        <v>0</v>
      </c>
      <c r="D6" s="1786" t="s">
        <v>1366</v>
      </c>
      <c r="E6" s="1787" t="s">
        <v>1125</v>
      </c>
      <c r="F6" s="1788">
        <f ca="1">INDIRECT("'数据-取费表'!u"&amp;$G$1)</f>
        <v>0</v>
      </c>
      <c r="G6" s="773"/>
      <c r="H6" s="1784" t="s">
        <v>822</v>
      </c>
      <c r="I6" s="3468" t="s">
        <v>1123</v>
      </c>
      <c r="J6" s="1859">
        <f ca="1">ROUND(M6*M8*M7*(1-M9),0)</f>
        <v>0</v>
      </c>
      <c r="K6" s="1931" t="s">
        <v>1367</v>
      </c>
      <c r="L6" s="1787" t="s">
        <v>1125</v>
      </c>
      <c r="M6" s="1788">
        <f ca="1">INDIRECT("'数据-取费表'!z"&amp;$G$1)</f>
        <v>0</v>
      </c>
    </row>
    <row r="7" spans="1:37" ht="18" customHeight="1">
      <c r="A7" s="1789"/>
      <c r="B7" s="3469"/>
      <c r="C7" s="1790"/>
      <c r="D7" s="1791"/>
      <c r="E7" s="1792" t="s">
        <v>1127</v>
      </c>
      <c r="F7" s="1788">
        <f ca="1">IF(INDIRECT("'数据-取费表'!ah"&amp;$G$1)="",INDIRECT("'数据-取费表'!k"&amp;$G$1),INDIRECT("'数据-取费表'!ah"&amp;$G$1))</f>
        <v>0</v>
      </c>
      <c r="G7" s="773"/>
      <c r="H7" s="1793"/>
      <c r="I7" s="3469"/>
      <c r="J7" s="1794"/>
      <c r="K7" s="1791"/>
      <c r="L7" s="1787" t="s">
        <v>1127</v>
      </c>
      <c r="M7" s="1788">
        <f ca="1">F7</f>
        <v>0</v>
      </c>
    </row>
    <row r="8" spans="1:37" ht="18" customHeight="1">
      <c r="A8" s="1793"/>
      <c r="B8" s="3469"/>
      <c r="C8" s="1794"/>
      <c r="D8" s="1791"/>
      <c r="E8" s="1787" t="s">
        <v>1128</v>
      </c>
      <c r="F8" s="1788">
        <f ca="1">INDIRECT("'数据-取费表'!ai"&amp;$G$1)</f>
        <v>0</v>
      </c>
      <c r="G8" s="773"/>
      <c r="H8" s="1793"/>
      <c r="I8" s="3469"/>
      <c r="J8" s="1794"/>
      <c r="K8" s="1791"/>
      <c r="L8" s="1787" t="s">
        <v>1128</v>
      </c>
      <c r="M8" s="1788">
        <f ca="1">INDIRECT("'数据-取费表'!ai"&amp;$G$1)</f>
        <v>0</v>
      </c>
    </row>
    <row r="9" spans="1:37" ht="18" customHeight="1">
      <c r="A9" s="1793"/>
      <c r="B9" s="3470"/>
      <c r="C9" s="1794"/>
      <c r="D9" s="1791"/>
      <c r="E9" s="1787" t="s">
        <v>1129</v>
      </c>
      <c r="F9" s="1795">
        <f ca="1">INDIRECT("'数据-取费表'!w"&amp;$G$1)</f>
        <v>0</v>
      </c>
      <c r="G9" s="773"/>
      <c r="H9" s="1793"/>
      <c r="I9" s="3470"/>
      <c r="J9" s="1794"/>
      <c r="K9" s="1791"/>
      <c r="L9" s="1798" t="s">
        <v>1129</v>
      </c>
      <c r="M9" s="1803">
        <f ca="1">INDIRECT("'数据-取费表'!ab"&amp;$G$1)</f>
        <v>0</v>
      </c>
    </row>
    <row r="10" spans="1:37" ht="18" customHeight="1">
      <c r="A10" s="1784" t="s">
        <v>826</v>
      </c>
      <c r="B10" s="1796" t="s">
        <v>1130</v>
      </c>
      <c r="C10" s="292">
        <f ca="1">ROUND(IF(F10="押一",C6/12*F11,IF(F10="押二",C6/12*2*F11,IF(F10="押三",C6/12*3*F11,C11*F11))),0)</f>
        <v>0</v>
      </c>
      <c r="D10" s="1797" t="s">
        <v>1131</v>
      </c>
      <c r="E10" s="1798" t="s">
        <v>1132</v>
      </c>
      <c r="F10" s="1799"/>
      <c r="G10" s="773"/>
      <c r="H10" s="1784" t="s">
        <v>826</v>
      </c>
      <c r="I10" s="1796" t="s">
        <v>1130</v>
      </c>
      <c r="J10" s="1859">
        <f ca="1">ROUND(IF(M10="押一",J6/12*M11,IF(M10="押二",J6/12*2*M11,IF(M10="押三",J6/12*3*M11,J11*M11))),0)</f>
        <v>0</v>
      </c>
      <c r="K10" s="1932" t="s">
        <v>1368</v>
      </c>
      <c r="L10" s="1798" t="s">
        <v>1132</v>
      </c>
      <c r="M10" s="1799"/>
    </row>
    <row r="11" spans="1:37" ht="18" customHeight="1">
      <c r="A11" s="1800"/>
      <c r="B11" s="1801" t="s">
        <v>1369</v>
      </c>
      <c r="C11" s="1802"/>
      <c r="D11" s="1791"/>
      <c r="E11" s="1798" t="s">
        <v>1136</v>
      </c>
      <c r="F11" s="1803">
        <f ca="1">'数据-取费表'!B39</f>
        <v>1.4999999999999999E-2</v>
      </c>
      <c r="G11" s="773"/>
      <c r="H11" s="1804"/>
      <c r="I11" s="1801" t="s">
        <v>1370</v>
      </c>
      <c r="J11" s="1802"/>
      <c r="K11" s="1933"/>
      <c r="L11" s="1798" t="s">
        <v>1136</v>
      </c>
      <c r="M11" s="1934">
        <f ca="1">'数据-取费表'!B39</f>
        <v>1.4999999999999999E-2</v>
      </c>
    </row>
    <row r="12" spans="1:37" ht="18" customHeight="1">
      <c r="A12" s="1805" t="s">
        <v>872</v>
      </c>
      <c r="B12" s="1806" t="s">
        <v>1137</v>
      </c>
      <c r="C12" s="1807"/>
      <c r="D12" s="1808"/>
      <c r="E12" s="1809"/>
      <c r="F12" s="1810"/>
      <c r="G12" s="773"/>
      <c r="H12" s="1805" t="s">
        <v>872</v>
      </c>
      <c r="I12" s="1806" t="s">
        <v>1137</v>
      </c>
      <c r="J12" s="1807"/>
      <c r="K12" s="1935"/>
      <c r="L12" s="1809"/>
      <c r="M12" s="1936"/>
    </row>
    <row r="13" spans="1:37" ht="18" customHeight="1">
      <c r="A13" s="1811">
        <v>2</v>
      </c>
      <c r="B13" s="1812" t="s">
        <v>1138</v>
      </c>
      <c r="C13" s="1813">
        <f ca="1">ROUND(C29*F13,0)</f>
        <v>0</v>
      </c>
      <c r="D13" s="1814" t="s">
        <v>1139</v>
      </c>
      <c r="E13" s="1814" t="s">
        <v>1140</v>
      </c>
      <c r="F13" s="1815">
        <f ca="1">INDIRECT("'数据-取费表'!y"&amp;$G$1)</f>
        <v>0</v>
      </c>
      <c r="G13" s="773"/>
      <c r="H13" s="1811">
        <v>2</v>
      </c>
      <c r="I13" s="1812" t="s">
        <v>1138</v>
      </c>
      <c r="J13" s="1937">
        <f ca="1">ROUND(J14*J15,0)</f>
        <v>0</v>
      </c>
      <c r="K13" s="1837" t="s">
        <v>1139</v>
      </c>
      <c r="L13" s="1938"/>
      <c r="M13" s="1939"/>
    </row>
    <row r="14" spans="1:37" ht="18" customHeight="1">
      <c r="A14" s="1816" t="s">
        <v>845</v>
      </c>
      <c r="B14" s="1787" t="s">
        <v>1141</v>
      </c>
      <c r="C14" s="1817">
        <f ca="1">ROUND(INDIRECT("'数据-取费表'!l"&amp;$G$1)*F43+'数据-取费表'!L14*INDIRECT("'数据-取费表'!S"&amp;$G$1),0)</f>
        <v>0</v>
      </c>
      <c r="D14" s="1818" t="s">
        <v>1142</v>
      </c>
      <c r="E14" s="1819"/>
      <c r="F14" s="1820"/>
      <c r="G14" s="773"/>
      <c r="H14" s="1816" t="s">
        <v>822</v>
      </c>
      <c r="I14" s="1787" t="s">
        <v>1143</v>
      </c>
      <c r="J14" s="293">
        <f ca="1">C29</f>
        <v>0</v>
      </c>
      <c r="K14" s="1940"/>
      <c r="L14" s="1941"/>
      <c r="M14" s="1942"/>
    </row>
    <row r="15" spans="1:37" s="1755" customFormat="1" ht="18" customHeight="1">
      <c r="A15" s="1816" t="s">
        <v>849</v>
      </c>
      <c r="B15" s="1787" t="s">
        <v>1144</v>
      </c>
      <c r="C15" s="293">
        <f ca="1">ROUND(C14*F15,0)</f>
        <v>0</v>
      </c>
      <c r="D15" s="1821" t="s">
        <v>1145</v>
      </c>
      <c r="E15" s="1821" t="s">
        <v>1146</v>
      </c>
      <c r="F15" s="1822">
        <f>'数据-取费表'!B33</f>
        <v>0.03</v>
      </c>
      <c r="G15" s="1823"/>
      <c r="H15" s="1824" t="s">
        <v>826</v>
      </c>
      <c r="I15" s="1809" t="s">
        <v>1140</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852</v>
      </c>
      <c r="B16" s="1787" t="s">
        <v>1147</v>
      </c>
      <c r="C16" s="293">
        <f ca="1">ROUND(INDIRECT("'数据-取费表'!l"&amp;$G$1)*F43*F16,0)</f>
        <v>0</v>
      </c>
      <c r="D16" s="1787" t="s">
        <v>1145</v>
      </c>
      <c r="E16" s="1787" t="s">
        <v>1146</v>
      </c>
      <c r="F16" s="1825">
        <f ca="1">IF(INDIRECT("'数据-取费表'!c"&amp;$G$1)="住宅",'数据-取费表'!B34,0)</f>
        <v>0</v>
      </c>
      <c r="G16" s="773"/>
      <c r="H16" s="1811" t="s">
        <v>1148</v>
      </c>
      <c r="I16" s="1812" t="s">
        <v>1149</v>
      </c>
      <c r="J16" s="1813">
        <f ca="1">ROUND(J17+J22+J23+J24,0)</f>
        <v>0</v>
      </c>
      <c r="K16" s="1837" t="s">
        <v>1150</v>
      </c>
      <c r="L16" s="1838"/>
      <c r="M16" s="1783"/>
    </row>
    <row r="17" spans="1:37" s="1755" customFormat="1" ht="18" customHeight="1">
      <c r="A17" s="1816" t="s">
        <v>1151</v>
      </c>
      <c r="B17" s="1787" t="s">
        <v>1152</v>
      </c>
      <c r="C17" s="293">
        <f ca="1">ROUND(F17*(F43+INDIRECT("'数据-取费表'!S"&amp;$G$1)),0)</f>
        <v>0</v>
      </c>
      <c r="D17" s="1787" t="s">
        <v>1153</v>
      </c>
      <c r="E17" s="1787" t="s">
        <v>1154</v>
      </c>
      <c r="F17" s="1826">
        <f>'数据-取费表'!B35</f>
        <v>200</v>
      </c>
      <c r="G17" s="1823"/>
      <c r="H17" s="1816" t="s">
        <v>822</v>
      </c>
      <c r="I17" s="1787" t="s">
        <v>1155</v>
      </c>
      <c r="J17" s="1840">
        <f ca="1">ROUND(IF(AND(项目基本情况!B11="自然人",项目基本情况!B10="北京市"),J6*M17/(1+'数据-取费表'!C42),J18+J19+J20),0)</f>
        <v>0</v>
      </c>
      <c r="K17" s="1818" t="s">
        <v>1156</v>
      </c>
      <c r="L17" s="1841" t="s">
        <v>1157</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1158</v>
      </c>
      <c r="B18" s="1787" t="s">
        <v>1159</v>
      </c>
      <c r="C18" s="293">
        <f ca="1">ROUND(C14*F18,0)</f>
        <v>0</v>
      </c>
      <c r="D18" s="1787" t="s">
        <v>1145</v>
      </c>
      <c r="E18" s="1787" t="s">
        <v>1146</v>
      </c>
      <c r="F18" s="1825">
        <f>'数据-取费表'!B36</f>
        <v>1.4999999999999999E-2</v>
      </c>
      <c r="G18" s="1823"/>
      <c r="H18" s="1816" t="s">
        <v>845</v>
      </c>
      <c r="I18" s="1787" t="s">
        <v>1160</v>
      </c>
      <c r="J18" s="293">
        <f ca="1">ROUND(J6*M18/(1+'数据-取费表'!C42),0)</f>
        <v>0</v>
      </c>
      <c r="K18" s="1841" t="s">
        <v>1161</v>
      </c>
      <c r="L18" s="1787" t="s">
        <v>1146</v>
      </c>
      <c r="M18" s="1825">
        <f>'数据-取费表'!B41</f>
        <v>5.5000000000000007E-2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822</v>
      </c>
      <c r="B19" s="1787" t="s">
        <v>1162</v>
      </c>
      <c r="C19" s="293">
        <f ca="1">SUM(C14:C18)</f>
        <v>0</v>
      </c>
      <c r="D19" s="1827" t="s">
        <v>1163</v>
      </c>
      <c r="E19" s="295"/>
      <c r="F19" s="1826"/>
      <c r="G19" s="773"/>
      <c r="H19" s="1816" t="s">
        <v>849</v>
      </c>
      <c r="I19" s="1787" t="s">
        <v>1164</v>
      </c>
      <c r="J19" s="293">
        <f ca="1">IF(K19="按租金收入计税",ROUND(J6*M19/(1+'数据-取费表'!C42),0),ROUND(C29*M19*0.7,0))</f>
        <v>0</v>
      </c>
      <c r="K19" s="1844" t="s">
        <v>1165</v>
      </c>
      <c r="L19" s="1787" t="s">
        <v>1146</v>
      </c>
      <c r="M19" s="1825">
        <f>IF(K19="按租金收入计税",'数据-取费表'!B51,'数据-取费表'!B50)</f>
        <v>1.2E-2</v>
      </c>
    </row>
    <row r="20" spans="1:37" s="1755" customFormat="1" ht="18" customHeight="1">
      <c r="A20" s="1816" t="s">
        <v>826</v>
      </c>
      <c r="B20" s="1787" t="s">
        <v>1166</v>
      </c>
      <c r="C20" s="293">
        <f ca="1">ROUND(C19*F20,0)</f>
        <v>0</v>
      </c>
      <c r="D20" s="1828" t="s">
        <v>1167</v>
      </c>
      <c r="E20" s="1787" t="s">
        <v>1146</v>
      </c>
      <c r="F20" s="1825">
        <f>'数据-取费表'!B37</f>
        <v>0.02</v>
      </c>
      <c r="G20" s="1823"/>
      <c r="H20" s="1816" t="s">
        <v>852</v>
      </c>
      <c r="I20" s="1786" t="s">
        <v>1168</v>
      </c>
      <c r="J20" s="1846">
        <f ca="1">ROUND(M20*M21,0)</f>
        <v>0</v>
      </c>
      <c r="K20" s="1847" t="s">
        <v>1169</v>
      </c>
      <c r="L20" s="1787" t="s">
        <v>1170</v>
      </c>
      <c r="M20" s="1831">
        <f>'数据-取费表'!B52</f>
        <v>1.5</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872</v>
      </c>
      <c r="B21" s="1787" t="s">
        <v>1171</v>
      </c>
      <c r="C21" s="293" t="s">
        <v>124</v>
      </c>
      <c r="D21" s="1828" t="s">
        <v>1172</v>
      </c>
      <c r="E21" s="1787" t="s">
        <v>1173</v>
      </c>
      <c r="F21" s="1825">
        <f>'数据-取费表'!B38</f>
        <v>0.02</v>
      </c>
      <c r="G21" s="1823"/>
      <c r="H21" s="1829"/>
      <c r="I21" s="1946"/>
      <c r="J21" s="1850"/>
      <c r="K21" s="1851"/>
      <c r="L21" s="1787" t="s">
        <v>1174</v>
      </c>
      <c r="M21" s="1788">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875</v>
      </c>
      <c r="B22" s="1787" t="s">
        <v>1175</v>
      </c>
      <c r="C22" s="293"/>
      <c r="D22" s="1827" t="str">
        <f>IF(F23&lt;=1,"单利计息。","复利计息。")&amp;"建造成本、管理费用、销售费用产生的利息。"</f>
        <v>单利计息。建造成本、管理费用、销售费用产生的利息。</v>
      </c>
      <c r="E22" s="295"/>
      <c r="F22" s="1826"/>
      <c r="G22" s="773"/>
      <c r="H22" s="1816" t="s">
        <v>826</v>
      </c>
      <c r="I22" s="1787" t="s">
        <v>1176</v>
      </c>
      <c r="J22" s="293">
        <f ca="1">ROUND(J14*M22,0)</f>
        <v>0</v>
      </c>
      <c r="K22" s="1841" t="s">
        <v>1177</v>
      </c>
      <c r="L22" s="1787" t="s">
        <v>1146</v>
      </c>
      <c r="M22" s="1853">
        <f ca="1">INDIRECT("'数据-取费表'!Ak"&amp;$G$1)</f>
        <v>0</v>
      </c>
    </row>
    <row r="23" spans="1:37" s="1755" customFormat="1" ht="18" customHeight="1">
      <c r="A23" s="1816" t="s">
        <v>845</v>
      </c>
      <c r="B23" s="1787" t="s">
        <v>1178</v>
      </c>
      <c r="C23" s="293">
        <f ca="1">IF('数据-取费表'!B22&lt;=1,ROUND(C19*F24*F23/2,0)+ROUND(C20*F24*F23/2,0),ROUND(C19*(POWER((1+F24),F23/2)-1),0)+ROUND(C20*(POWER((1+F24),F23/2)-1),0))</f>
        <v>0</v>
      </c>
      <c r="D23" s="1830" t="str">
        <f>IF(F23&lt;=1,"(建造成本+管理费用)×利率×(建设周期÷2)","(建造成本+管理费用)×((1+利率)^(建设周期÷2)-1)")</f>
        <v>(建造成本+管理费用)×利率×(建设周期÷2)</v>
      </c>
      <c r="E23" s="1787" t="s">
        <v>1179</v>
      </c>
      <c r="F23" s="1831">
        <f>'数据-取费表'!B20</f>
        <v>1</v>
      </c>
      <c r="G23" s="1823"/>
      <c r="H23" s="1816" t="s">
        <v>872</v>
      </c>
      <c r="I23" s="1787" t="s">
        <v>1180</v>
      </c>
      <c r="J23" s="293">
        <f ca="1">ROUND(J13*M23,0)</f>
        <v>0</v>
      </c>
      <c r="K23" s="1841" t="s">
        <v>1181</v>
      </c>
      <c r="L23" s="1787" t="s">
        <v>1146</v>
      </c>
      <c r="M23" s="1854">
        <f ca="1">INDIRECT("'数据-取费表'!Al"&amp;$G$1)</f>
        <v>0</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849</v>
      </c>
      <c r="B24" s="1787" t="s">
        <v>1182</v>
      </c>
      <c r="C24" s="293">
        <f ca="1">ROUND(IF('数据-取费表'!B22&lt;=1,F21*F24*F23/2,F21*(POWER((1+F24),F23/2)-1)),4)</f>
        <v>4.0000000000000002E-4</v>
      </c>
      <c r="D24" s="1830" t="str">
        <f>IF(F23&lt;=1,"销售费用×利率×(建设周期÷2)","销售费用×((1+利率)^(建设周期÷2)-1)")</f>
        <v>销售费用×利率×(建设周期÷2)</v>
      </c>
      <c r="E24" s="1787" t="s">
        <v>1183</v>
      </c>
      <c r="F24" s="1832">
        <f ca="1">'数据-取费表'!B40</f>
        <v>4.2000000000000003E-2</v>
      </c>
      <c r="G24" s="1823"/>
      <c r="H24" s="1824" t="s">
        <v>875</v>
      </c>
      <c r="I24" s="1809" t="s">
        <v>1166</v>
      </c>
      <c r="J24" s="1833">
        <f ca="1">ROUND(J5*M24,0)</f>
        <v>0</v>
      </c>
      <c r="K24" s="1834" t="s">
        <v>1184</v>
      </c>
      <c r="L24" s="1809" t="s">
        <v>1146</v>
      </c>
      <c r="M24" s="1810">
        <f ca="1">INDIRECT("'数据-取费表'!Am"&amp;$G$1)</f>
        <v>0</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18" customHeight="1">
      <c r="A25" s="1816" t="s">
        <v>879</v>
      </c>
      <c r="B25" s="1787" t="s">
        <v>1185</v>
      </c>
      <c r="C25" s="293"/>
      <c r="D25" s="1827" t="s">
        <v>1186</v>
      </c>
      <c r="E25" s="295"/>
      <c r="F25" s="1826"/>
      <c r="G25" s="773"/>
      <c r="H25" s="1811" t="s">
        <v>1187</v>
      </c>
      <c r="I25" s="1855" t="s">
        <v>1188</v>
      </c>
      <c r="J25" s="1813">
        <f ca="1">J5-J16</f>
        <v>0</v>
      </c>
      <c r="K25" s="1856" t="s">
        <v>1189</v>
      </c>
      <c r="L25" s="1857"/>
      <c r="M25" s="1858"/>
    </row>
    <row r="26" spans="1:37" ht="18" customHeight="1">
      <c r="A26" s="1816" t="s">
        <v>845</v>
      </c>
      <c r="B26" s="1787" t="s">
        <v>1190</v>
      </c>
      <c r="C26" s="293">
        <f ca="1">ROUND((C19+C20)*F26,0)</f>
        <v>0</v>
      </c>
      <c r="D26" s="1828" t="s">
        <v>1191</v>
      </c>
      <c r="E26" s="1798" t="s">
        <v>1192</v>
      </c>
      <c r="F26" s="1795">
        <f ca="1">INDIRECT("'数据-取费表'!q"&amp;$G$1)</f>
        <v>0</v>
      </c>
      <c r="G26" s="773"/>
      <c r="H26" s="1778" t="s">
        <v>1193</v>
      </c>
      <c r="I26" s="1779" t="s">
        <v>1194</v>
      </c>
      <c r="J26" s="1859">
        <f ca="1">IF(J5&lt;&gt;0,ROUND(J25*(1-((1+M28)/(1+M26))^M27)/(M26-M28),0),0)</f>
        <v>0</v>
      </c>
      <c r="K26" s="1847" t="s">
        <v>1195</v>
      </c>
      <c r="L26" s="1787" t="s">
        <v>1196</v>
      </c>
      <c r="M26" s="1795">
        <f ca="1">INDIRECT("'数据-取费表'!I"&amp;$G$1)</f>
        <v>0</v>
      </c>
    </row>
    <row r="27" spans="1:37" ht="18" customHeight="1">
      <c r="A27" s="1816" t="s">
        <v>849</v>
      </c>
      <c r="B27" s="1787" t="s">
        <v>1197</v>
      </c>
      <c r="C27" s="293">
        <f ca="1">ROUND(F21*F26,4)</f>
        <v>0</v>
      </c>
      <c r="D27" s="1828" t="s">
        <v>1198</v>
      </c>
      <c r="E27" s="1821"/>
      <c r="F27" s="1822"/>
      <c r="G27" s="773"/>
      <c r="H27" s="1793"/>
      <c r="I27" s="1861"/>
      <c r="J27" s="1794"/>
      <c r="K27" s="1862" t="s">
        <v>1199</v>
      </c>
      <c r="L27" s="1787" t="s">
        <v>1200</v>
      </c>
      <c r="M27" s="1863">
        <f ca="1">INDIRECT("'数据-取费表'!ag"&amp;$G$1)</f>
        <v>0</v>
      </c>
    </row>
    <row r="28" spans="1:37" s="1755" customFormat="1" ht="18" customHeight="1">
      <c r="A28" s="1816" t="s">
        <v>880</v>
      </c>
      <c r="B28" s="1787" t="s">
        <v>1201</v>
      </c>
      <c r="C28" s="293">
        <f>ROUND(F28/(1+'数据-取费表'!C42),4)</f>
        <v>5.2400000000000002E-2</v>
      </c>
      <c r="D28" s="1828" t="s">
        <v>1202</v>
      </c>
      <c r="E28" s="1787" t="s">
        <v>1146</v>
      </c>
      <c r="F28" s="1825">
        <f>'数据-取费表'!B41</f>
        <v>5.5000000000000007E-2</v>
      </c>
      <c r="G28" s="1823"/>
      <c r="H28" s="1800"/>
      <c r="I28" s="1865"/>
      <c r="J28" s="1813"/>
      <c r="K28" s="1851"/>
      <c r="L28" s="1787" t="s">
        <v>1203</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1204</v>
      </c>
      <c r="B29" s="1809" t="s">
        <v>1205</v>
      </c>
      <c r="C29" s="1833">
        <f ca="1">ROUND((C19+C20+C23+C26)/(1-F21-C24-C27-C28),0)</f>
        <v>0</v>
      </c>
      <c r="D29" s="1834"/>
      <c r="E29" s="1809"/>
      <c r="F29" s="1835"/>
      <c r="G29" s="1823"/>
      <c r="H29" s="1836" t="s">
        <v>1206</v>
      </c>
      <c r="I29" s="1866" t="s">
        <v>1207</v>
      </c>
      <c r="J29" s="1867">
        <f ca="1">ROUND(J26/(1+F40)^F41,0)</f>
        <v>0</v>
      </c>
      <c r="K29" s="1868" t="s">
        <v>1208</v>
      </c>
      <c r="L29" s="1869"/>
      <c r="M29" s="1870">
        <f ca="1">INDIRECT("'数据-取费表'!k"&amp;$G$1)</f>
        <v>0</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1148</v>
      </c>
      <c r="B30" s="1812" t="s">
        <v>1149</v>
      </c>
      <c r="C30" s="1813">
        <f ca="1">ROUND(C31+C36+C37+C38,0)</f>
        <v>0</v>
      </c>
      <c r="D30" s="1837" t="s">
        <v>1150</v>
      </c>
      <c r="E30" s="1838"/>
      <c r="F30" s="1783"/>
      <c r="G30" s="773"/>
      <c r="H30" s="1839"/>
      <c r="I30" s="1947"/>
      <c r="J30" s="1948"/>
      <c r="K30" s="1949"/>
      <c r="L30" s="1950"/>
      <c r="M30" s="1951"/>
    </row>
    <row r="31" spans="1:37" ht="18" customHeight="1">
      <c r="A31" s="1816" t="s">
        <v>822</v>
      </c>
      <c r="B31" s="1787" t="s">
        <v>1155</v>
      </c>
      <c r="C31" s="1840">
        <f ca="1">ROUND(IF(AND(项目基本情况!B11="自然人",项目基本情况!B10="北京市"),C6*F31/(1+'数据-取费表'!C42),C32+C33+C34),0)</f>
        <v>0</v>
      </c>
      <c r="D31" s="1818" t="s">
        <v>1156</v>
      </c>
      <c r="E31" s="1841" t="s">
        <v>1157</v>
      </c>
      <c r="F31" s="1842" t="str">
        <f>IF(项目基本情况!B11="企业","——",IF('数据-取费表'!B10="住宅",IF(F6*F7*F8/12/(1+'数据-取费表'!F30)&gt;100000,4%,2.5%),IF(F6*F7*F8/12/(1+'数据-取费表'!F30)&gt;100000,12%,7%)))</f>
        <v>——</v>
      </c>
      <c r="G31" s="773"/>
      <c r="H31" s="1843" t="s">
        <v>1209</v>
      </c>
      <c r="I31" s="1947"/>
      <c r="J31" s="1948"/>
      <c r="K31" s="1949"/>
      <c r="L31" s="1950"/>
      <c r="M31" s="1951"/>
    </row>
    <row r="32" spans="1:37" ht="18" customHeight="1">
      <c r="A32" s="1816" t="s">
        <v>845</v>
      </c>
      <c r="B32" s="1787" t="s">
        <v>1160</v>
      </c>
      <c r="C32" s="293">
        <f ca="1">IF(项目基本情况!B11="自然人","——",ROUND(C6*F32/(1+'数据-取费表'!C42),0))</f>
        <v>0</v>
      </c>
      <c r="D32" s="1841" t="s">
        <v>1161</v>
      </c>
      <c r="E32" s="1787" t="s">
        <v>1146</v>
      </c>
      <c r="F32" s="1832">
        <f>'数据-取费表'!B41</f>
        <v>5.5000000000000007E-2</v>
      </c>
      <c r="G32" s="773"/>
      <c r="H32" s="1839"/>
      <c r="I32" s="1947"/>
      <c r="J32" s="1948"/>
      <c r="K32" s="1949"/>
      <c r="L32" s="1950"/>
      <c r="M32" s="1951"/>
    </row>
    <row r="33" spans="1:18" ht="18" customHeight="1">
      <c r="A33" s="1816" t="s">
        <v>849</v>
      </c>
      <c r="B33" s="1787" t="s">
        <v>1164</v>
      </c>
      <c r="C33" s="293">
        <f ca="1">IF(项目基本情况!B11="自然人","——",IF(D33="按租金收入计税",ROUND(C6*F33/(1+'数据-取费表'!C42),0),IF(D33="按房产原值计税",ROUND(C29*F33*0.7,0),INDIRECT("'数据-取费表'!Aj"&amp;$G$1))))</f>
        <v>0</v>
      </c>
      <c r="D33" s="1844" t="s">
        <v>1165</v>
      </c>
      <c r="E33" s="1787" t="s">
        <v>1146</v>
      </c>
      <c r="F33" s="1825">
        <f>IF(D33="按票据","——",IF(D33="按租金收入计税",'数据-取费表'!B51,'数据-取费表'!B50))</f>
        <v>1.2E-2</v>
      </c>
      <c r="G33" s="773"/>
      <c r="H33" s="1845"/>
      <c r="I33" s="1947"/>
      <c r="J33" s="1948"/>
      <c r="K33" s="1952"/>
      <c r="L33" s="1845"/>
      <c r="M33" s="1845"/>
    </row>
    <row r="34" spans="1:18" ht="18" customHeight="1">
      <c r="A34" s="1784" t="s">
        <v>852</v>
      </c>
      <c r="B34" s="1786" t="s">
        <v>1168</v>
      </c>
      <c r="C34" s="1846">
        <f ca="1">IF(项目基本情况!B11="自然人","——",ROUND(F34*F35,))</f>
        <v>0</v>
      </c>
      <c r="D34" s="1847" t="s">
        <v>1169</v>
      </c>
      <c r="E34" s="1787" t="s">
        <v>1170</v>
      </c>
      <c r="F34" s="1831">
        <f>'数据-取费表'!B52</f>
        <v>1.5</v>
      </c>
      <c r="G34" s="773"/>
      <c r="H34" s="1839"/>
      <c r="I34" s="1947"/>
      <c r="J34" s="1948"/>
      <c r="K34" s="1953"/>
      <c r="L34" s="1954"/>
      <c r="M34" s="1954"/>
    </row>
    <row r="35" spans="1:18" ht="18" customHeight="1">
      <c r="A35" s="1848"/>
      <c r="B35" s="1849"/>
      <c r="C35" s="1850"/>
      <c r="D35" s="1851"/>
      <c r="E35" s="1787" t="s">
        <v>1174</v>
      </c>
      <c r="F35" s="1788">
        <f ca="1">INDIRECT("'数据-取费表'!r"&amp;$G$1)</f>
        <v>0</v>
      </c>
      <c r="G35" s="773"/>
      <c r="H35" s="1839"/>
      <c r="I35" s="1947"/>
      <c r="J35" s="1948"/>
      <c r="K35" s="1952"/>
      <c r="L35" s="1845"/>
      <c r="M35" s="1845"/>
    </row>
    <row r="36" spans="1:18" ht="18" customHeight="1">
      <c r="A36" s="1852" t="s">
        <v>826</v>
      </c>
      <c r="B36" s="1787" t="s">
        <v>1176</v>
      </c>
      <c r="C36" s="293">
        <f ca="1">ROUND(C29*F36,0)</f>
        <v>0</v>
      </c>
      <c r="D36" s="1841" t="s">
        <v>1211</v>
      </c>
      <c r="E36" s="1787" t="s">
        <v>1146</v>
      </c>
      <c r="F36" s="1853">
        <f ca="1">INDIRECT("'数据-取费表'!Ak"&amp;$G$1)</f>
        <v>0</v>
      </c>
      <c r="G36" s="773"/>
      <c r="H36" s="1845"/>
      <c r="I36" s="1947"/>
      <c r="J36" s="1948"/>
      <c r="K36" s="1955"/>
      <c r="L36" s="1845"/>
      <c r="M36" s="1845"/>
    </row>
    <row r="37" spans="1:18" ht="18" customHeight="1">
      <c r="A37" s="1816" t="s">
        <v>872</v>
      </c>
      <c r="B37" s="1787" t="s">
        <v>1180</v>
      </c>
      <c r="C37" s="293">
        <f ca="1">ROUND(C13*F37,0)</f>
        <v>0</v>
      </c>
      <c r="D37" s="1841" t="s">
        <v>1181</v>
      </c>
      <c r="E37" s="1787" t="s">
        <v>1146</v>
      </c>
      <c r="F37" s="1854">
        <f ca="1">INDIRECT("'数据-取费表'!Al"&amp;$G$1)</f>
        <v>0</v>
      </c>
      <c r="G37" s="773"/>
      <c r="H37" s="1845"/>
      <c r="I37" s="1947"/>
      <c r="J37" s="1948"/>
      <c r="K37" s="1955"/>
      <c r="L37" s="1845"/>
      <c r="M37" s="1845"/>
    </row>
    <row r="38" spans="1:18" ht="18" customHeight="1">
      <c r="A38" s="1824" t="s">
        <v>875</v>
      </c>
      <c r="B38" s="1809" t="s">
        <v>1166</v>
      </c>
      <c r="C38" s="1833">
        <f ca="1">ROUND(C5*F38,1)</f>
        <v>0</v>
      </c>
      <c r="D38" s="1834" t="s">
        <v>1184</v>
      </c>
      <c r="E38" s="1809" t="s">
        <v>1146</v>
      </c>
      <c r="F38" s="1810">
        <f ca="1">INDIRECT("'数据-取费表'!Am"&amp;$G$1)</f>
        <v>0</v>
      </c>
      <c r="G38" s="773"/>
      <c r="H38" s="1845"/>
      <c r="I38" s="1947"/>
      <c r="J38" s="1948"/>
      <c r="K38" s="1956"/>
      <c r="L38" s="1845"/>
      <c r="M38" s="1845"/>
    </row>
    <row r="39" spans="1:18" ht="24.6" customHeight="1">
      <c r="A39" s="1811" t="s">
        <v>1187</v>
      </c>
      <c r="B39" s="1855" t="s">
        <v>1188</v>
      </c>
      <c r="C39" s="1813">
        <f ca="1">C5-C30</f>
        <v>0</v>
      </c>
      <c r="D39" s="1856" t="s">
        <v>1189</v>
      </c>
      <c r="E39" s="1857"/>
      <c r="F39" s="1858"/>
      <c r="G39" s="773"/>
      <c r="H39" s="1845"/>
      <c r="I39" s="1947"/>
      <c r="J39" s="1948"/>
      <c r="K39" s="1956"/>
      <c r="L39" s="1845"/>
      <c r="M39" s="1845"/>
    </row>
    <row r="40" spans="1:18" ht="18" customHeight="1">
      <c r="A40" s="1778" t="s">
        <v>1193</v>
      </c>
      <c r="B40" s="1779" t="s">
        <v>1212</v>
      </c>
      <c r="C40" s="1859" t="e">
        <f ca="1">ROUND(C39*(1-((1+F42)/(1+F40))^F41)/(F40-F42),0)</f>
        <v>#DIV/0!</v>
      </c>
      <c r="D40" s="1847" t="s">
        <v>1195</v>
      </c>
      <c r="E40" s="1787" t="s">
        <v>1196</v>
      </c>
      <c r="F40" s="1795">
        <f ca="1">INDIRECT("'数据-取费表'!I"&amp;$G$1)</f>
        <v>0</v>
      </c>
      <c r="G40" s="773"/>
      <c r="H40" s="1860"/>
      <c r="I40" s="1947"/>
      <c r="J40" s="1948"/>
      <c r="K40" s="1956"/>
      <c r="L40" s="1860"/>
      <c r="M40" s="1860"/>
    </row>
    <row r="41" spans="1:18" ht="18" customHeight="1">
      <c r="A41" s="1793"/>
      <c r="B41" s="1861"/>
      <c r="C41" s="1794"/>
      <c r="D41" s="1862" t="s">
        <v>1199</v>
      </c>
      <c r="E41" s="1787" t="s">
        <v>1200</v>
      </c>
      <c r="F41" s="1863">
        <f ca="1">IF(INDIRECT("'数据-取费表'!af"&amp;$G$1)=0,INDIRECT("'数据-取费表'!ae"&amp;$G$1),INDIRECT("'数据-取费表'!af"&amp;$G$1))</f>
        <v>0</v>
      </c>
      <c r="G41" s="773"/>
      <c r="H41" s="1864"/>
      <c r="I41" s="1947"/>
      <c r="J41" s="1948"/>
      <c r="K41" s="1955"/>
      <c r="L41" s="1864"/>
      <c r="M41" s="1864"/>
    </row>
    <row r="42" spans="1:18" ht="18" customHeight="1">
      <c r="A42" s="1800"/>
      <c r="B42" s="1865"/>
      <c r="C42" s="1813"/>
      <c r="D42" s="1851"/>
      <c r="E42" s="1787" t="s">
        <v>1203</v>
      </c>
      <c r="F42" s="1795">
        <f ca="1">INDIRECT("'数据-取费表'!v"&amp;$G$1)</f>
        <v>0</v>
      </c>
      <c r="G42" s="773"/>
      <c r="H42" s="1864"/>
      <c r="I42" s="1947"/>
      <c r="J42" s="1948"/>
      <c r="K42" s="1955"/>
      <c r="L42" s="1864"/>
      <c r="M42" s="1864"/>
    </row>
    <row r="43" spans="1:18" ht="18" customHeight="1">
      <c r="A43" s="1836" t="s">
        <v>1206</v>
      </c>
      <c r="B43" s="1866" t="s">
        <v>1213</v>
      </c>
      <c r="C43" s="1867" t="e">
        <f ca="1">ROUND(C40/F43,0)</f>
        <v>#DIV/0!</v>
      </c>
      <c r="D43" s="1868" t="s">
        <v>1214</v>
      </c>
      <c r="E43" s="1869" t="s">
        <v>1215</v>
      </c>
      <c r="F43" s="1870">
        <f ca="1">INDIRECT("'数据-取费表'!k"&amp;$G$1)</f>
        <v>0</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3" t="e">
        <f ca="1">C68-C40</f>
        <v>#DIV/0!</v>
      </c>
      <c r="D45" s="1874" t="s">
        <v>1371</v>
      </c>
      <c r="E45" s="1871"/>
      <c r="F45" s="1871"/>
      <c r="O45" s="1958" t="s">
        <v>1216</v>
      </c>
      <c r="P45" s="1860"/>
      <c r="Q45" s="1860"/>
      <c r="R45" s="1860"/>
    </row>
    <row r="46" spans="1:18" s="773" customFormat="1">
      <c r="A46" s="1875" t="s">
        <v>1217</v>
      </c>
      <c r="C46" s="1876" t="e">
        <f ca="1">ROUND(C45/10000,0)</f>
        <v>#DIV/0!</v>
      </c>
      <c r="D46" s="1877" t="str">
        <f>C2</f>
        <v>万元</v>
      </c>
      <c r="I46" s="1959" t="s">
        <v>1218</v>
      </c>
      <c r="J46" s="1960"/>
      <c r="K46" s="1961"/>
      <c r="L46" s="1962" t="e">
        <f ca="1">IF(M47="住宅",0,IF(L48&gt;J51,L60,J60))</f>
        <v>#DIV/0!</v>
      </c>
      <c r="O46" s="1963" t="s">
        <v>1219</v>
      </c>
      <c r="P46" s="1964" t="s">
        <v>1220</v>
      </c>
      <c r="Q46" s="2008" t="s">
        <v>1221</v>
      </c>
      <c r="R46" s="2008" t="s">
        <v>1222</v>
      </c>
    </row>
    <row r="47" spans="1:18" s="773" customFormat="1">
      <c r="A47" s="1878" t="s">
        <v>1116</v>
      </c>
      <c r="B47" s="1879" t="s">
        <v>1117</v>
      </c>
      <c r="C47" s="1879" t="s">
        <v>1118</v>
      </c>
      <c r="D47" s="1879" t="s">
        <v>1119</v>
      </c>
      <c r="E47" s="1880" t="s">
        <v>1120</v>
      </c>
      <c r="F47" s="286"/>
      <c r="G47" s="1881"/>
      <c r="I47" s="1965" t="s">
        <v>1223</v>
      </c>
      <c r="J47" s="1966"/>
      <c r="K47" s="1967" t="s">
        <v>1225</v>
      </c>
      <c r="L47" s="1968">
        <f ca="1">INDIRECT("'数据-取费表'!d"&amp;$G$1)</f>
        <v>0</v>
      </c>
      <c r="M47" s="1969" t="str">
        <f>IF(ISNUMBER(FIND("住宅",C1)),"住宅","非住宅")</f>
        <v>非住宅</v>
      </c>
      <c r="O47" s="1970" t="s">
        <v>928</v>
      </c>
      <c r="P47" s="1971" t="s">
        <v>1226</v>
      </c>
      <c r="Q47" s="2009" t="e">
        <f ca="1">C40+J29</f>
        <v>#DIV/0!</v>
      </c>
      <c r="R47" s="2009" t="s">
        <v>1227</v>
      </c>
    </row>
    <row r="48" spans="1:18" s="773" customFormat="1" ht="27.75">
      <c r="A48" s="1882" t="s">
        <v>1228</v>
      </c>
      <c r="B48" s="1779" t="s">
        <v>1121</v>
      </c>
      <c r="C48" s="294">
        <f ca="1">C49+C53+C55</f>
        <v>0</v>
      </c>
      <c r="D48" s="1883"/>
      <c r="E48" s="1884"/>
      <c r="F48" s="1885"/>
      <c r="G48" s="1881"/>
      <c r="H48" s="1886"/>
      <c r="I48" s="834" t="s">
        <v>1229</v>
      </c>
      <c r="J48" s="1972"/>
      <c r="K48" s="1973" t="s">
        <v>1231</v>
      </c>
      <c r="L48" s="1974">
        <f ca="1">INDIRECT("'数据-取费表'!f"&amp;$G$1)</f>
        <v>0</v>
      </c>
      <c r="O48" s="1970" t="s">
        <v>932</v>
      </c>
      <c r="P48" s="1971" t="s">
        <v>1232</v>
      </c>
      <c r="Q48" s="2009" t="e">
        <f ca="1">J60</f>
        <v>#DIV/0!</v>
      </c>
      <c r="R48" s="2009" t="s">
        <v>1233</v>
      </c>
    </row>
    <row r="49" spans="1:18" s="773" customFormat="1">
      <c r="A49" s="1887" t="s">
        <v>1234</v>
      </c>
      <c r="B49" s="1888" t="s">
        <v>1235</v>
      </c>
      <c r="C49" s="1889">
        <f ca="1">ROUND(F49*F51*F50*(1-F52),0)</f>
        <v>0</v>
      </c>
      <c r="D49" s="1890" t="s">
        <v>1372</v>
      </c>
      <c r="E49" s="1891" t="s">
        <v>1236</v>
      </c>
      <c r="F49" s="1892"/>
      <c r="G49" s="1893"/>
      <c r="H49" s="1886"/>
      <c r="I49" s="834" t="s">
        <v>1237</v>
      </c>
      <c r="J49" s="1975"/>
      <c r="K49" s="1973" t="s">
        <v>1238</v>
      </c>
      <c r="L49" s="1976"/>
      <c r="O49" s="1977" t="s">
        <v>1239</v>
      </c>
      <c r="P49" s="1971" t="s">
        <v>1240</v>
      </c>
      <c r="Q49" s="2009">
        <f ca="1">C29</f>
        <v>0</v>
      </c>
      <c r="R49" s="2009" t="s">
        <v>1227</v>
      </c>
    </row>
    <row r="50" spans="1:18" s="773" customFormat="1">
      <c r="A50" s="1894"/>
      <c r="B50" s="1895"/>
      <c r="C50" s="1896"/>
      <c r="D50" s="1897"/>
      <c r="E50" s="1898" t="s">
        <v>1127</v>
      </c>
      <c r="F50" s="1899">
        <f ca="1">F7</f>
        <v>0</v>
      </c>
      <c r="H50" s="1886"/>
      <c r="I50" s="834" t="s">
        <v>1241</v>
      </c>
      <c r="J50" s="1978">
        <f>SUMPRODUCT((I63:I65=J47)*(J62:L62=J48)*(J63:L65))</f>
        <v>0</v>
      </c>
      <c r="K50" s="1973" t="s">
        <v>1242</v>
      </c>
      <c r="L50" s="1976"/>
      <c r="M50" s="1979"/>
      <c r="O50" s="1977" t="s">
        <v>1243</v>
      </c>
      <c r="P50" s="1971" t="s">
        <v>1244</v>
      </c>
      <c r="Q50" s="2010" t="e">
        <f ca="1">J58</f>
        <v>#DIV/0!</v>
      </c>
      <c r="R50" s="2009"/>
    </row>
    <row r="51" spans="1:18" s="773" customFormat="1">
      <c r="A51" s="1900"/>
      <c r="B51" s="1895"/>
      <c r="C51" s="1896"/>
      <c r="D51" s="1897"/>
      <c r="E51" s="1901" t="s">
        <v>1128</v>
      </c>
      <c r="F51" s="1788">
        <f ca="1">F8</f>
        <v>0</v>
      </c>
      <c r="I51" s="1980" t="s">
        <v>1245</v>
      </c>
      <c r="J51" s="1981">
        <f>IF(J49="",J50,J49+J50-YEAR('数据-取费表'!B2))</f>
        <v>0</v>
      </c>
      <c r="K51" s="1982" t="s">
        <v>1246</v>
      </c>
      <c r="L51" s="1983">
        <f ca="1">ROUND(-PV(INDIRECT("'数据-取费表'!h"&amp;$G$1),J51,(C39-C13*C76),0),0)</f>
        <v>0</v>
      </c>
      <c r="M51" s="1984"/>
      <c r="O51" s="1977" t="s">
        <v>1247</v>
      </c>
      <c r="P51" s="1971" t="s">
        <v>1248</v>
      </c>
      <c r="Q51" s="2010">
        <f>J52</f>
        <v>0</v>
      </c>
      <c r="R51" s="2009"/>
    </row>
    <row r="52" spans="1:18" s="773" customFormat="1">
      <c r="A52" s="1900"/>
      <c r="B52" s="1895"/>
      <c r="C52" s="1896"/>
      <c r="D52" s="1897"/>
      <c r="E52" s="1901" t="s">
        <v>1129</v>
      </c>
      <c r="F52" s="1902"/>
      <c r="I52" s="1985" t="s">
        <v>1249</v>
      </c>
      <c r="J52" s="1986"/>
      <c r="K52" s="1985" t="s">
        <v>1250</v>
      </c>
      <c r="L52" s="1986"/>
      <c r="O52" s="1977" t="s">
        <v>1251</v>
      </c>
      <c r="P52" s="1971" t="s">
        <v>1252</v>
      </c>
      <c r="Q52" s="2009">
        <f ca="1">J53</f>
        <v>0</v>
      </c>
      <c r="R52" s="2009" t="s">
        <v>1253</v>
      </c>
    </row>
    <row r="53" spans="1:18" s="773" customFormat="1" ht="30.75" customHeight="1">
      <c r="A53" s="1903" t="s">
        <v>1254</v>
      </c>
      <c r="B53" s="1828" t="s">
        <v>1130</v>
      </c>
      <c r="C53" s="292">
        <f ca="1">ROUND(IF(F53="押一",C49/12*F11,IF(F53="押二",C49/12*2*F11,IF(F53="押三",C49/12*3*F11,C54*F11))),0)</f>
        <v>0</v>
      </c>
      <c r="D53" s="1797" t="s">
        <v>1373</v>
      </c>
      <c r="E53" s="1798" t="s">
        <v>1132</v>
      </c>
      <c r="F53" s="1799"/>
      <c r="I53" s="1987" t="s">
        <v>1255</v>
      </c>
      <c r="J53" s="1988">
        <f ca="1">IF(M47="住宅",IF(D1="——",MAX(J51,L48),MAX(J51,L48-'数据-取费表'!B24)),IF(D1="——",MIN(J51,L48),MIN(J51,L48-'数据-取费表'!B24)))</f>
        <v>0</v>
      </c>
      <c r="K53" s="3466" t="s">
        <v>1256</v>
      </c>
      <c r="L53" s="3467"/>
      <c r="O53" s="1970" t="s">
        <v>1257</v>
      </c>
      <c r="P53" s="1971" t="s">
        <v>1258</v>
      </c>
      <c r="Q53" s="2009" t="e">
        <f ca="1">Q47+Q48</f>
        <v>#DIV/0!</v>
      </c>
      <c r="R53" s="2009" t="s">
        <v>1259</v>
      </c>
    </row>
    <row r="54" spans="1:18" s="773" customFormat="1">
      <c r="A54" s="1887"/>
      <c r="B54" s="1904" t="s">
        <v>1370</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3"/>
      <c r="O54" s="1958" t="s">
        <v>1260</v>
      </c>
      <c r="P54" s="1991"/>
      <c r="Q54" s="1991"/>
      <c r="R54" s="1991"/>
    </row>
    <row r="55" spans="1:18" s="773" customFormat="1">
      <c r="A55" s="1805" t="s">
        <v>872</v>
      </c>
      <c r="B55" s="1806" t="s">
        <v>1137</v>
      </c>
      <c r="C55" s="1807"/>
      <c r="D55" s="1797"/>
      <c r="E55" s="1905"/>
      <c r="F55" s="1906"/>
      <c r="I55" s="1992" t="s">
        <v>1261</v>
      </c>
      <c r="J55" s="1993" t="e">
        <f ca="1">ROUND(IF(J47="钢混",J57/J50,1-(1-2%)*(J50-J57)/J50),3)</f>
        <v>#DIV/0!</v>
      </c>
      <c r="K55" s="1994" t="s">
        <v>1262</v>
      </c>
      <c r="L55" s="1995"/>
      <c r="O55" s="1963" t="s">
        <v>1219</v>
      </c>
      <c r="P55" s="1964" t="s">
        <v>1220</v>
      </c>
      <c r="Q55" s="2008" t="s">
        <v>1221</v>
      </c>
      <c r="R55" s="2008" t="s">
        <v>1222</v>
      </c>
    </row>
    <row r="56" spans="1:18" s="773" customFormat="1" ht="36" customHeight="1">
      <c r="A56" s="1907">
        <v>2</v>
      </c>
      <c r="B56" s="1908" t="s">
        <v>1138</v>
      </c>
      <c r="C56" s="186">
        <f ca="1">C13</f>
        <v>0</v>
      </c>
      <c r="D56" s="1909"/>
      <c r="E56" s="1910"/>
      <c r="F56" s="1906"/>
      <c r="I56" s="1996" t="s">
        <v>1264</v>
      </c>
      <c r="J56" s="1997"/>
      <c r="K56" s="834" t="s">
        <v>1265</v>
      </c>
      <c r="L56" s="1974">
        <f ca="1">IF(L48&lt;J51,"——",L48-J51)</f>
        <v>0</v>
      </c>
      <c r="O56" s="1970" t="s">
        <v>928</v>
      </c>
      <c r="P56" s="1971" t="s">
        <v>1226</v>
      </c>
      <c r="Q56" s="2009" t="e">
        <f ca="1">C40+J29</f>
        <v>#DIV/0!</v>
      </c>
      <c r="R56" s="2009" t="s">
        <v>1227</v>
      </c>
    </row>
    <row r="57" spans="1:18" s="773" customFormat="1" ht="24">
      <c r="A57" s="1911"/>
      <c r="B57" s="1912" t="s">
        <v>1205</v>
      </c>
      <c r="C57" s="196">
        <f ca="1">C29</f>
        <v>0</v>
      </c>
      <c r="D57" s="1913"/>
      <c r="E57" s="1914"/>
      <c r="F57" s="1915"/>
      <c r="I57" s="1998" t="s">
        <v>1266</v>
      </c>
      <c r="J57" s="1999">
        <f ca="1">IF(OR(M47="住宅",J51&lt;L48,J56="是"),"——",J51-L48)</f>
        <v>0</v>
      </c>
      <c r="K57" s="834" t="s">
        <v>1374</v>
      </c>
      <c r="L57" s="1974">
        <f ca="1">IF(L48&lt;J51,"——",IF(L55="比较法",L49,IF(L55="基准地价",L50,L51)))</f>
        <v>0</v>
      </c>
      <c r="O57" s="1970" t="s">
        <v>932</v>
      </c>
      <c r="P57" s="1971" t="s">
        <v>1268</v>
      </c>
      <c r="Q57" s="2009" t="e">
        <f ca="1">L60</f>
        <v>#DIV/0!</v>
      </c>
      <c r="R57" s="2009" t="s">
        <v>1269</v>
      </c>
    </row>
    <row r="58" spans="1:18" s="773" customFormat="1" ht="24">
      <c r="A58" s="1916" t="s">
        <v>1148</v>
      </c>
      <c r="B58" s="1908" t="s">
        <v>1149</v>
      </c>
      <c r="C58" s="292">
        <f ca="1">ROUND(C59+C64+C65+C66,0)</f>
        <v>0</v>
      </c>
      <c r="D58" s="1917" t="s">
        <v>1150</v>
      </c>
      <c r="E58" s="1918"/>
      <c r="F58" s="1885"/>
      <c r="I58" s="1998" t="s">
        <v>1270</v>
      </c>
      <c r="J58" s="2000" t="e">
        <f ca="1">IF(J55&lt;0.4,0.4,J55)</f>
        <v>#DIV/0!</v>
      </c>
      <c r="K58" s="1982" t="s">
        <v>1375</v>
      </c>
      <c r="L58" s="1974" t="e">
        <f ca="1">ROUND(POWER(1+L52,L47-L48)*(POWER(1+L52,L48)-1)/(POWER(1+L52,L47)-1),4)</f>
        <v>#DIV/0!</v>
      </c>
      <c r="O58" s="1977" t="s">
        <v>1239</v>
      </c>
      <c r="P58" s="1971" t="s">
        <v>1272</v>
      </c>
      <c r="Q58" s="2009">
        <f>IF(L55="比较法",L49,IF(L55="基准地价",L50,0))</f>
        <v>0</v>
      </c>
      <c r="R58" s="2009" t="s">
        <v>1227</v>
      </c>
    </row>
    <row r="59" spans="1:18" s="773" customFormat="1" ht="24">
      <c r="A59" s="1816" t="s">
        <v>822</v>
      </c>
      <c r="B59" s="1912" t="s">
        <v>1155</v>
      </c>
      <c r="C59" s="1840">
        <f ca="1">ROUND(IF(AND(项目基本情况!B11="自然人",项目基本情况!B10="北京市"),C49*F59/(1+'数据-取费表'!C42),C60+C61+C62),0)</f>
        <v>0</v>
      </c>
      <c r="D59" s="1919" t="s">
        <v>1156</v>
      </c>
      <c r="E59" s="1920" t="s">
        <v>1157</v>
      </c>
      <c r="F59" s="1842" t="str">
        <f>IF(项目基本情况!B11="企业","——",IF('数据-取费表'!B10="住宅",IF(F49*F50*F51/12/(1+'数据-取费表'!F30)&gt;100000,4%,2.5%),IF(F49*F50*F51/12/(1+'数据-取费表'!F30)&gt;100000,12%,7%)))</f>
        <v>——</v>
      </c>
      <c r="I59" s="1998" t="s">
        <v>1273</v>
      </c>
      <c r="J59" s="199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4"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7" t="s">
        <v>1243</v>
      </c>
      <c r="P59" s="1971" t="s">
        <v>1274</v>
      </c>
      <c r="Q59" s="2010">
        <f>L52</f>
        <v>0</v>
      </c>
      <c r="R59" s="2009"/>
    </row>
    <row r="60" spans="1:18" s="773" customFormat="1" ht="15.75">
      <c r="A60" s="1816" t="s">
        <v>845</v>
      </c>
      <c r="B60" s="1912" t="s">
        <v>1160</v>
      </c>
      <c r="C60" s="293">
        <f ca="1">IF(项目基本情况!B11="自然人","——",ROUND(C48*F60/(1+'数据-取费表'!C42),0))</f>
        <v>0</v>
      </c>
      <c r="D60" s="1920" t="s">
        <v>1161</v>
      </c>
      <c r="E60" s="1912" t="s">
        <v>1146</v>
      </c>
      <c r="F60" s="1832">
        <f t="shared" ref="F60:F66" si="0">F32</f>
        <v>5.5000000000000007E-2</v>
      </c>
      <c r="I60" s="2001" t="s">
        <v>1275</v>
      </c>
      <c r="J60" s="2002" t="e">
        <f ca="1">IF(OR(M47="住宅",J51&lt;L48,J56="是"),"0",ROUND(J59/(1+J52)^J53,0))</f>
        <v>#DIV/0!</v>
      </c>
      <c r="K60" s="2003" t="s">
        <v>1276</v>
      </c>
      <c r="L60" s="2002" t="e">
        <f ca="1">IF(OR(M47="住宅",L48&lt;J51),0,ROUND(L57*(L58/L59-1),0))</f>
        <v>#DIV/0!</v>
      </c>
      <c r="O60" s="1977" t="s">
        <v>1247</v>
      </c>
      <c r="P60" s="1971" t="s">
        <v>1277</v>
      </c>
      <c r="Q60" s="2009" t="e">
        <f ca="1">L58</f>
        <v>#DIV/0!</v>
      </c>
      <c r="R60" s="2009" t="s">
        <v>1278</v>
      </c>
    </row>
    <row r="61" spans="1:18" s="773" customFormat="1">
      <c r="A61" s="1816" t="s">
        <v>849</v>
      </c>
      <c r="B61" s="1912" t="s">
        <v>1164</v>
      </c>
      <c r="C61" s="293">
        <f ca="1">IF(项目基本情况!B11="自然人","——",IF(D61="按租金收入计税",ROUND(C49*F61/(1+'数据-取费表'!C42),0),IF(D61="按房产原值计税",ROUND(C57*F61*0.7,0),INDIRECT("'数据-取费表'!Aj"&amp;$G$1))))</f>
        <v>0</v>
      </c>
      <c r="D61" s="1844" t="s">
        <v>1165</v>
      </c>
      <c r="E61" s="1912" t="s">
        <v>1146</v>
      </c>
      <c r="F61" s="1825">
        <f t="shared" si="0"/>
        <v>1.2E-2</v>
      </c>
      <c r="I61" s="1860"/>
      <c r="J61" s="1860"/>
      <c r="K61" s="1860"/>
      <c r="L61" s="1860"/>
      <c r="O61" s="1977" t="s">
        <v>1251</v>
      </c>
      <c r="P61" s="1971" t="str">
        <f>K59</f>
        <v>建设期及建筑物耐用年限下的土地年期修正系数Kn</v>
      </c>
      <c r="Q61" s="2009" t="e">
        <f ca="1">L59</f>
        <v>#DIV/0!</v>
      </c>
      <c r="R61" s="2009" t="s">
        <v>1279</v>
      </c>
    </row>
    <row r="62" spans="1:18" s="773" customFormat="1">
      <c r="A62" s="1816" t="s">
        <v>852</v>
      </c>
      <c r="B62" s="1921" t="s">
        <v>1168</v>
      </c>
      <c r="C62" s="1846">
        <f ca="1">IF(项目基本情况!B11="自然人","——",ROUND(F62*F63,0))</f>
        <v>0</v>
      </c>
      <c r="D62" s="1922" t="s">
        <v>1169</v>
      </c>
      <c r="E62" s="1912" t="s">
        <v>1170</v>
      </c>
      <c r="F62" s="1831">
        <f t="shared" si="0"/>
        <v>1.5</v>
      </c>
      <c r="I62" s="2004" t="s">
        <v>1280</v>
      </c>
      <c r="J62" s="2005" t="s">
        <v>1281</v>
      </c>
      <c r="K62" s="2005" t="s">
        <v>1282</v>
      </c>
      <c r="L62" s="2005" t="s">
        <v>1283</v>
      </c>
      <c r="M62" s="2006" t="s">
        <v>1284</v>
      </c>
      <c r="O62" s="1970" t="s">
        <v>1257</v>
      </c>
      <c r="P62" s="1971" t="s">
        <v>1258</v>
      </c>
      <c r="Q62" s="2009" t="e">
        <f ca="1">Q56+Q57</f>
        <v>#DIV/0!</v>
      </c>
      <c r="R62" s="2009" t="s">
        <v>1259</v>
      </c>
    </row>
    <row r="63" spans="1:18" s="773" customFormat="1">
      <c r="A63" s="1829"/>
      <c r="B63" s="1923"/>
      <c r="C63" s="1850"/>
      <c r="D63" s="1924"/>
      <c r="E63" s="1912" t="s">
        <v>1174</v>
      </c>
      <c r="F63" s="1788">
        <f t="shared" ca="1" si="0"/>
        <v>0</v>
      </c>
      <c r="I63" s="2004" t="s">
        <v>1285</v>
      </c>
      <c r="J63" s="2005">
        <v>70</v>
      </c>
      <c r="K63" s="2005">
        <v>50</v>
      </c>
      <c r="L63" s="2005">
        <v>80</v>
      </c>
      <c r="M63" s="2007">
        <v>0.02</v>
      </c>
      <c r="O63" s="1958" t="s">
        <v>1286</v>
      </c>
      <c r="P63" s="1991"/>
      <c r="Q63" s="1991"/>
      <c r="R63" s="1991"/>
    </row>
    <row r="64" spans="1:18" s="773" customFormat="1">
      <c r="A64" s="1816" t="s">
        <v>826</v>
      </c>
      <c r="B64" s="1912" t="s">
        <v>1176</v>
      </c>
      <c r="C64" s="293">
        <f ca="1">ROUND(C57*F64,0)</f>
        <v>0</v>
      </c>
      <c r="D64" s="1920" t="s">
        <v>1211</v>
      </c>
      <c r="E64" s="1912" t="s">
        <v>1146</v>
      </c>
      <c r="F64" s="1853">
        <f t="shared" ca="1" si="0"/>
        <v>0</v>
      </c>
      <c r="I64" s="2004" t="s">
        <v>1287</v>
      </c>
      <c r="J64" s="2005">
        <v>50</v>
      </c>
      <c r="K64" s="2005">
        <v>35</v>
      </c>
      <c r="L64" s="2005">
        <v>60</v>
      </c>
      <c r="M64" s="2006">
        <v>0</v>
      </c>
      <c r="O64" s="1963" t="s">
        <v>1219</v>
      </c>
      <c r="P64" s="1964" t="s">
        <v>1220</v>
      </c>
      <c r="Q64" s="2008" t="s">
        <v>1221</v>
      </c>
      <c r="R64" s="2008" t="s">
        <v>1222</v>
      </c>
    </row>
    <row r="65" spans="1:18" s="773" customFormat="1">
      <c r="A65" s="1816" t="s">
        <v>872</v>
      </c>
      <c r="B65" s="1912" t="s">
        <v>1180</v>
      </c>
      <c r="C65" s="293">
        <f ca="1">ROUND(C56*F65,0)</f>
        <v>0</v>
      </c>
      <c r="D65" s="1920" t="s">
        <v>1181</v>
      </c>
      <c r="E65" s="1912" t="s">
        <v>1146</v>
      </c>
      <c r="F65" s="1854">
        <f t="shared" ca="1" si="0"/>
        <v>0</v>
      </c>
      <c r="I65" s="2004" t="s">
        <v>1288</v>
      </c>
      <c r="J65" s="2005">
        <v>40</v>
      </c>
      <c r="K65" s="2005">
        <v>30</v>
      </c>
      <c r="L65" s="2005">
        <v>50</v>
      </c>
      <c r="M65" s="2007">
        <v>0.02</v>
      </c>
      <c r="O65" s="1970" t="s">
        <v>928</v>
      </c>
      <c r="P65" s="1971" t="s">
        <v>1226</v>
      </c>
      <c r="Q65" s="2009" t="e">
        <f ca="1">C40+J29</f>
        <v>#DIV/0!</v>
      </c>
      <c r="R65" s="2009" t="s">
        <v>1227</v>
      </c>
    </row>
    <row r="66" spans="1:18" s="773" customFormat="1" ht="15.75">
      <c r="A66" s="1816" t="s">
        <v>875</v>
      </c>
      <c r="B66" s="1912" t="s">
        <v>1166</v>
      </c>
      <c r="C66" s="293">
        <f ca="1">ROUND(C48*F66,0)</f>
        <v>0</v>
      </c>
      <c r="D66" s="1920" t="s">
        <v>1184</v>
      </c>
      <c r="E66" s="1912" t="s">
        <v>1146</v>
      </c>
      <c r="F66" s="1795">
        <f t="shared" ca="1" si="0"/>
        <v>0</v>
      </c>
      <c r="O66" s="1970" t="s">
        <v>932</v>
      </c>
      <c r="P66" s="1971" t="s">
        <v>1268</v>
      </c>
      <c r="Q66" s="2009" t="e">
        <f ca="1">L60</f>
        <v>#DIV/0!</v>
      </c>
      <c r="R66" s="2009" t="s">
        <v>1269</v>
      </c>
    </row>
    <row r="67" spans="1:18" s="773" customFormat="1" ht="15.75">
      <c r="A67" s="1907" t="s">
        <v>1187</v>
      </c>
      <c r="B67" s="2011" t="s">
        <v>1188</v>
      </c>
      <c r="C67" s="292">
        <f ca="1">C48-C58</f>
        <v>0</v>
      </c>
      <c r="D67" s="1919" t="s">
        <v>1189</v>
      </c>
      <c r="E67" s="2012"/>
      <c r="F67" s="2013"/>
      <c r="O67" s="1977" t="s">
        <v>1239</v>
      </c>
      <c r="P67" s="1971" t="s">
        <v>1272</v>
      </c>
      <c r="Q67" s="2033">
        <f ca="1">L51</f>
        <v>0</v>
      </c>
      <c r="R67" s="2009" t="s">
        <v>1289</v>
      </c>
    </row>
    <row r="68" spans="1:18" s="773" customFormat="1" ht="15.75">
      <c r="A68" s="2014" t="s">
        <v>1193</v>
      </c>
      <c r="B68" s="2015" t="s">
        <v>1212</v>
      </c>
      <c r="C68" s="1859" t="e">
        <f ca="1">ROUND(C67*(1-((1+F70)/(1+F68))^F69)/(F68-F70),0)</f>
        <v>#DIV/0!</v>
      </c>
      <c r="D68" s="1922" t="s">
        <v>1195</v>
      </c>
      <c r="E68" s="1912" t="s">
        <v>1196</v>
      </c>
      <c r="F68" s="1795">
        <f ca="1">F40</f>
        <v>0</v>
      </c>
      <c r="O68" s="1977" t="s">
        <v>1243</v>
      </c>
      <c r="P68" s="2032" t="s">
        <v>1290</v>
      </c>
      <c r="Q68" s="2009">
        <f ca="1">ROUND(Q69-Q70*Q71,0)</f>
        <v>0</v>
      </c>
      <c r="R68" s="2009" t="s">
        <v>1291</v>
      </c>
    </row>
    <row r="69" spans="1:18" s="773" customFormat="1">
      <c r="A69" s="2016"/>
      <c r="B69" s="2017"/>
      <c r="C69" s="1794"/>
      <c r="D69" s="2018" t="s">
        <v>1199</v>
      </c>
      <c r="E69" s="1912" t="s">
        <v>1200</v>
      </c>
      <c r="F69" s="1863">
        <f ca="1">F41</f>
        <v>0</v>
      </c>
      <c r="O69" s="1977" t="s">
        <v>1292</v>
      </c>
      <c r="P69" s="2032" t="s">
        <v>1293</v>
      </c>
      <c r="Q69" s="2009">
        <f ca="1">C39</f>
        <v>0</v>
      </c>
      <c r="R69" s="2009" t="s">
        <v>1227</v>
      </c>
    </row>
    <row r="70" spans="1:18" s="773" customFormat="1">
      <c r="A70" s="2019"/>
      <c r="B70" s="2020"/>
      <c r="C70" s="1813"/>
      <c r="D70" s="1924"/>
      <c r="E70" s="1912" t="s">
        <v>1203</v>
      </c>
      <c r="F70" s="1902">
        <f ca="1">F42</f>
        <v>0</v>
      </c>
      <c r="O70" s="1977" t="s">
        <v>1294</v>
      </c>
      <c r="P70" s="2032" t="s">
        <v>1295</v>
      </c>
      <c r="Q70" s="2009">
        <f ca="1">C13</f>
        <v>0</v>
      </c>
      <c r="R70" s="2009" t="s">
        <v>1227</v>
      </c>
    </row>
    <row r="71" spans="1:18" s="773" customFormat="1">
      <c r="A71" s="2021" t="s">
        <v>1206</v>
      </c>
      <c r="B71" s="2022" t="s">
        <v>1213</v>
      </c>
      <c r="C71" s="1867" t="e">
        <f ca="1">ROUND(C68/F71,0)</f>
        <v>#DIV/0!</v>
      </c>
      <c r="D71" s="2023" t="s">
        <v>1214</v>
      </c>
      <c r="E71" s="2024" t="s">
        <v>1215</v>
      </c>
      <c r="F71" s="1870">
        <f ca="1">F43</f>
        <v>0</v>
      </c>
      <c r="O71" s="1977" t="s">
        <v>1296</v>
      </c>
      <c r="P71" s="2032" t="s">
        <v>1297</v>
      </c>
      <c r="Q71" s="2010">
        <f ca="1">C76</f>
        <v>0</v>
      </c>
      <c r="R71" s="2009"/>
    </row>
    <row r="72" spans="1:18" s="773" customFormat="1">
      <c r="B72" s="327"/>
      <c r="C72" s="327"/>
      <c r="O72" s="1977" t="s">
        <v>1247</v>
      </c>
      <c r="P72" s="1971" t="s">
        <v>1274</v>
      </c>
      <c r="Q72" s="2010">
        <f>L52</f>
        <v>0</v>
      </c>
      <c r="R72" s="2009"/>
    </row>
    <row r="73" spans="1:18" ht="15.75">
      <c r="A73" s="773"/>
      <c r="B73" s="327"/>
      <c r="C73" s="327"/>
      <c r="D73" s="773"/>
      <c r="E73" s="773"/>
      <c r="F73" s="773"/>
      <c r="O73" s="1977" t="s">
        <v>1251</v>
      </c>
      <c r="P73" s="1971" t="s">
        <v>1277</v>
      </c>
      <c r="Q73" s="2009" t="e">
        <f ca="1">L58</f>
        <v>#DIV/0!</v>
      </c>
      <c r="R73" s="2009" t="s">
        <v>1278</v>
      </c>
    </row>
    <row r="74" spans="1:18">
      <c r="A74" s="773"/>
      <c r="B74" s="228" t="s">
        <v>1298</v>
      </c>
      <c r="C74" s="2025"/>
      <c r="D74" s="773"/>
      <c r="E74" s="773"/>
      <c r="F74" s="773"/>
      <c r="O74" s="1977" t="s">
        <v>1299</v>
      </c>
      <c r="P74" s="1971" t="str">
        <f>K59</f>
        <v>建设期及建筑物耐用年限下的土地年期修正系数Kn</v>
      </c>
      <c r="Q74" s="2009" t="e">
        <f ca="1">L59</f>
        <v>#DIV/0!</v>
      </c>
      <c r="R74" s="2009" t="s">
        <v>1279</v>
      </c>
    </row>
    <row r="75" spans="1:18">
      <c r="A75" s="773"/>
      <c r="B75" s="2026" t="s">
        <v>1300</v>
      </c>
      <c r="C75" s="2027">
        <f ca="1">ROUND(C13*C76,0)</f>
        <v>0</v>
      </c>
      <c r="D75" s="773"/>
      <c r="E75" s="773"/>
      <c r="F75" s="773"/>
      <c r="K75" s="1957"/>
      <c r="L75" s="773"/>
      <c r="O75" s="1970" t="s">
        <v>1257</v>
      </c>
      <c r="P75" s="1971" t="s">
        <v>1258</v>
      </c>
      <c r="Q75" s="2009" t="e">
        <f ca="1">Q65+Q66</f>
        <v>#DIV/0!</v>
      </c>
      <c r="R75" s="2009" t="s">
        <v>1259</v>
      </c>
    </row>
    <row r="76" spans="1:18">
      <c r="B76" s="592" t="s">
        <v>1301</v>
      </c>
      <c r="C76" s="2028">
        <f ca="1">INDIRECT("'数据-取费表'!j"&amp;$G$1)</f>
        <v>0</v>
      </c>
      <c r="I76" s="773"/>
      <c r="J76" s="773"/>
      <c r="K76" s="1957"/>
      <c r="L76" s="773"/>
    </row>
    <row r="77" spans="1:18">
      <c r="B77" s="2029" t="s">
        <v>1302</v>
      </c>
      <c r="C77" s="2030"/>
      <c r="I77" s="773"/>
      <c r="J77" s="773"/>
      <c r="K77" s="1957"/>
      <c r="L77" s="773"/>
    </row>
    <row r="78" spans="1:18">
      <c r="B78" s="226" t="s">
        <v>1303</v>
      </c>
      <c r="C78" s="2031"/>
    </row>
    <row r="79" spans="1:18">
      <c r="B79" s="2026" t="s">
        <v>1304</v>
      </c>
      <c r="C79" s="229" t="e">
        <f ca="1">1-C80</f>
        <v>#DIV/0!</v>
      </c>
    </row>
    <row r="80" spans="1:18">
      <c r="B80" s="2026" t="s">
        <v>1305</v>
      </c>
      <c r="C80" s="229" t="e">
        <f ca="1">ROUND(C75/C39,3)</f>
        <v>#DIV/0!</v>
      </c>
    </row>
    <row r="81" spans="2:3">
      <c r="B81" s="226" t="s">
        <v>1306</v>
      </c>
      <c r="C81" s="196"/>
    </row>
    <row r="82" spans="2:3">
      <c r="B82" s="228" t="s">
        <v>1009</v>
      </c>
      <c r="C82" s="230" t="e">
        <f ca="1">1-C83</f>
        <v>#DIV/0!</v>
      </c>
    </row>
    <row r="83" spans="2:3">
      <c r="B83" s="228" t="s">
        <v>1010</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93" t="s">
        <v>82</v>
      </c>
    </row>
    <row r="2" spans="1:1">
      <c r="A2" s="3194"/>
    </row>
    <row r="3" spans="1:1" ht="18">
      <c r="A3" s="3195" t="str">
        <f>项目基本情况!B5&amp;"："</f>
        <v>：</v>
      </c>
    </row>
    <row r="4" spans="1:1" ht="36">
      <c r="A4" s="3196" t="str">
        <f>"受贵公司委托，我公司对"&amp;项目基本情况!S1&amp;"进行了预评估。"</f>
        <v>受贵公司委托，我公司对北京市通州区口子村东1号院72号楼-1至3层101房地产抵押价值进行了预评估。</v>
      </c>
    </row>
    <row r="5" spans="1:1" ht="18.75">
      <c r="A5" s="3197" t="s">
        <v>83</v>
      </c>
    </row>
    <row r="6" spans="1:1" ht="18.75">
      <c r="A6" s="3198" t="s">
        <v>84</v>
      </c>
    </row>
    <row r="7" spans="1:1" ht="54">
      <c r="A7" s="31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估价对象为北京市通州区口子村东1号院72号楼-1至3层101房地产，为所有。根据，估价对象（分摊）出让国有建设用地使用权面积为0平方米，建筑面积为842.81平方米。</v>
      </c>
    </row>
    <row r="8" spans="1:1" ht="57.75">
      <c r="A8" s="3199" t="s">
        <v>85</v>
      </c>
    </row>
    <row r="9" spans="1:1" ht="18.75">
      <c r="A9" s="3198" t="s">
        <v>86</v>
      </c>
    </row>
    <row r="10" spans="1:1" ht="54">
      <c r="A10" s="31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估价对象为北京市通州区口子村东1号院72号楼-1至3层101房地产,为开发建设的工业项目，该项目尚在开发建设中。根据，估价对象（分摊）出让国有建设用地使用权面积为0平方米，规划建筑面积为842.81平方米。</v>
      </c>
    </row>
    <row r="11" spans="1:1" ht="76.5">
      <c r="A11" s="3199" t="s">
        <v>87</v>
      </c>
    </row>
    <row r="12" spans="1:1" ht="18.75">
      <c r="A12" s="3197" t="s">
        <v>88</v>
      </c>
    </row>
    <row r="13" spans="1:1" ht="38.25" customHeight="1">
      <c r="A13" s="3200" t="str">
        <f>IF(项目基本情况!B8="抵押",IF(项目基本情况!B5=项目基本情况!B6,定义!C51,定义!B51),定义!D51)</f>
        <v>北京格林彩虹假肢矫形器技术有限公司拟使用北京市通州区口子村东1号院72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3201" t="s">
        <v>89</v>
      </c>
    </row>
    <row r="15" spans="1:1" ht="18">
      <c r="A15" s="3202" t="str">
        <f>TEXT(项目基本情况!D3,"yyyy年m月d日;;")&amp;IF(项目基本情况!D3=项目基本情况!B3,"（评估专业人员实地查勘之日）","")</f>
        <v>2022年6月13日（评估专业人员实地查勘之日）</v>
      </c>
    </row>
    <row r="16" spans="1:1" ht="18.75">
      <c r="A16" s="3201" t="s">
        <v>90</v>
      </c>
    </row>
    <row r="17" spans="1:1" ht="75">
      <c r="A17" s="3196" t="s">
        <v>91</v>
      </c>
    </row>
    <row r="18" spans="1:1" ht="54">
      <c r="A18" s="319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9" spans="1:1" ht="157.5" customHeight="1">
      <c r="A19" s="319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1" t="s">
        <v>92</v>
      </c>
    </row>
    <row r="24" spans="1:1" ht="18">
      <c r="A24" s="3168" t="str">
        <f>"本次评估采用的主估价方法为"&amp;结果表!K4&amp;"和"&amp;结果表!L4&amp;"。"</f>
        <v>本次评估采用的主估价方法为比较法和收益法。</v>
      </c>
    </row>
    <row r="25" spans="1:1" ht="18">
      <c r="A25" s="3168"/>
    </row>
    <row r="26" spans="1:1" ht="18.75">
      <c r="A26" s="3203"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9" sqref="D9"/>
    </sheetView>
  </sheetViews>
  <sheetFormatPr defaultColWidth="9" defaultRowHeight="13.15" customHeight="1"/>
  <cols>
    <col min="1" max="1" width="9.5" style="1581" customWidth="1"/>
    <col min="2" max="2" width="8.875" style="1581"/>
    <col min="3" max="5" width="12.875" style="1581" customWidth="1"/>
    <col min="6" max="6" width="47.5" style="1581" customWidth="1"/>
    <col min="7" max="7" width="13" style="1582" customWidth="1"/>
    <col min="8" max="8" width="8.875" style="1583"/>
    <col min="9" max="9" width="8.875" style="1584"/>
    <col min="10" max="10" width="5.75" style="1585" customWidth="1"/>
    <col min="11" max="11" width="11.75" style="1585" customWidth="1"/>
    <col min="12" max="13" width="10.75" style="1585" customWidth="1"/>
    <col min="14" max="14" width="10" style="1585" customWidth="1"/>
    <col min="15" max="16" width="10.5" style="1585" customWidth="1"/>
    <col min="17" max="17" width="10" style="1585" customWidth="1"/>
    <col min="18" max="18" width="10.125" style="1585" customWidth="1"/>
    <col min="19" max="19" width="10" style="1585" customWidth="1"/>
    <col min="20" max="20" width="26.125" style="1585" customWidth="1"/>
    <col min="21" max="21" width="8.875" style="1585"/>
    <col min="22" max="22" width="8.875" style="1584"/>
    <col min="23" max="256" width="8.875" style="1581"/>
    <col min="257" max="257" width="9.5" style="1581" customWidth="1"/>
    <col min="258" max="258" width="8.875" style="1581"/>
    <col min="259" max="261" width="12.875" style="1581" customWidth="1"/>
    <col min="262" max="262" width="47.5" style="1581" customWidth="1"/>
    <col min="263" max="263" width="13" style="1581" customWidth="1"/>
    <col min="264" max="265" width="8.875" style="1581"/>
    <col min="266" max="266" width="5.75" style="1581" customWidth="1"/>
    <col min="267" max="267" width="11.75" style="1581" customWidth="1"/>
    <col min="268" max="269" width="10.75" style="1581" customWidth="1"/>
    <col min="270" max="270" width="10" style="1581" customWidth="1"/>
    <col min="271" max="272" width="10.5" style="1581" customWidth="1"/>
    <col min="273" max="273" width="10" style="1581" customWidth="1"/>
    <col min="274" max="274" width="10.125" style="1581" customWidth="1"/>
    <col min="275" max="275" width="10" style="1581" customWidth="1"/>
    <col min="276" max="276" width="26.125" style="1581" customWidth="1"/>
    <col min="277" max="512" width="8.875" style="1581"/>
    <col min="513" max="513" width="9.5" style="1581" customWidth="1"/>
    <col min="514" max="514" width="8.875" style="1581"/>
    <col min="515" max="517" width="12.875" style="1581" customWidth="1"/>
    <col min="518" max="518" width="47.5" style="1581" customWidth="1"/>
    <col min="519" max="519" width="13" style="1581" customWidth="1"/>
    <col min="520" max="521" width="8.875" style="1581"/>
    <col min="522" max="522" width="5.75" style="1581" customWidth="1"/>
    <col min="523" max="523" width="11.75" style="1581" customWidth="1"/>
    <col min="524" max="525" width="10.75" style="1581" customWidth="1"/>
    <col min="526" max="526" width="10" style="1581" customWidth="1"/>
    <col min="527" max="528" width="10.5" style="1581" customWidth="1"/>
    <col min="529" max="529" width="10" style="1581" customWidth="1"/>
    <col min="530" max="530" width="10.125" style="1581" customWidth="1"/>
    <col min="531" max="531" width="10" style="1581" customWidth="1"/>
    <col min="532" max="532" width="26.125" style="1581" customWidth="1"/>
    <col min="533" max="768" width="8.875" style="1581"/>
    <col min="769" max="769" width="9.5" style="1581" customWidth="1"/>
    <col min="770" max="770" width="8.875" style="1581"/>
    <col min="771" max="773" width="12.875" style="1581" customWidth="1"/>
    <col min="774" max="774" width="47.5" style="1581" customWidth="1"/>
    <col min="775" max="775" width="13" style="1581" customWidth="1"/>
    <col min="776" max="777" width="8.875" style="1581"/>
    <col min="778" max="778" width="5.75" style="1581" customWidth="1"/>
    <col min="779" max="779" width="11.75" style="1581" customWidth="1"/>
    <col min="780" max="781" width="10.75" style="1581" customWidth="1"/>
    <col min="782" max="782" width="10" style="1581" customWidth="1"/>
    <col min="783" max="784" width="10.5" style="1581" customWidth="1"/>
    <col min="785" max="785" width="10" style="1581" customWidth="1"/>
    <col min="786" max="786" width="10.125" style="1581" customWidth="1"/>
    <col min="787" max="787" width="10" style="1581" customWidth="1"/>
    <col min="788" max="788" width="26.125" style="1581" customWidth="1"/>
    <col min="789" max="1024" width="8.875" style="1581"/>
    <col min="1025" max="1025" width="9.5" style="1581" customWidth="1"/>
    <col min="1026" max="1026" width="8.875" style="1581"/>
    <col min="1027" max="1029" width="12.875" style="1581" customWidth="1"/>
    <col min="1030" max="1030" width="47.5" style="1581" customWidth="1"/>
    <col min="1031" max="1031" width="13" style="1581" customWidth="1"/>
    <col min="1032" max="1033" width="8.875" style="1581"/>
    <col min="1034" max="1034" width="5.75" style="1581" customWidth="1"/>
    <col min="1035" max="1035" width="11.75" style="1581" customWidth="1"/>
    <col min="1036" max="1037" width="10.75" style="1581" customWidth="1"/>
    <col min="1038" max="1038" width="10" style="1581" customWidth="1"/>
    <col min="1039" max="1040" width="10.5" style="1581" customWidth="1"/>
    <col min="1041" max="1041" width="10" style="1581" customWidth="1"/>
    <col min="1042" max="1042" width="10.125" style="1581" customWidth="1"/>
    <col min="1043" max="1043" width="10" style="1581" customWidth="1"/>
    <col min="1044" max="1044" width="26.125" style="1581" customWidth="1"/>
    <col min="1045" max="1280" width="8.875" style="1581"/>
    <col min="1281" max="1281" width="9.5" style="1581" customWidth="1"/>
    <col min="1282" max="1282" width="8.875" style="1581"/>
    <col min="1283" max="1285" width="12.875" style="1581" customWidth="1"/>
    <col min="1286" max="1286" width="47.5" style="1581" customWidth="1"/>
    <col min="1287" max="1287" width="13" style="1581" customWidth="1"/>
    <col min="1288" max="1289" width="8.875" style="1581"/>
    <col min="1290" max="1290" width="5.75" style="1581" customWidth="1"/>
    <col min="1291" max="1291" width="11.75" style="1581" customWidth="1"/>
    <col min="1292" max="1293" width="10.75" style="1581" customWidth="1"/>
    <col min="1294" max="1294" width="10" style="1581" customWidth="1"/>
    <col min="1295" max="1296" width="10.5" style="1581" customWidth="1"/>
    <col min="1297" max="1297" width="10" style="1581" customWidth="1"/>
    <col min="1298" max="1298" width="10.125" style="1581" customWidth="1"/>
    <col min="1299" max="1299" width="10" style="1581" customWidth="1"/>
    <col min="1300" max="1300" width="26.125" style="1581" customWidth="1"/>
    <col min="1301" max="1536" width="8.875" style="1581"/>
    <col min="1537" max="1537" width="9.5" style="1581" customWidth="1"/>
    <col min="1538" max="1538" width="8.875" style="1581"/>
    <col min="1539" max="1541" width="12.875" style="1581" customWidth="1"/>
    <col min="1542" max="1542" width="47.5" style="1581" customWidth="1"/>
    <col min="1543" max="1543" width="13" style="1581" customWidth="1"/>
    <col min="1544" max="1545" width="8.875" style="1581"/>
    <col min="1546" max="1546" width="5.75" style="1581" customWidth="1"/>
    <col min="1547" max="1547" width="11.75" style="1581" customWidth="1"/>
    <col min="1548" max="1549" width="10.75" style="1581" customWidth="1"/>
    <col min="1550" max="1550" width="10" style="1581" customWidth="1"/>
    <col min="1551" max="1552" width="10.5" style="1581" customWidth="1"/>
    <col min="1553" max="1553" width="10" style="1581" customWidth="1"/>
    <col min="1554" max="1554" width="10.125" style="1581" customWidth="1"/>
    <col min="1555" max="1555" width="10" style="1581" customWidth="1"/>
    <col min="1556" max="1556" width="26.125" style="1581" customWidth="1"/>
    <col min="1557" max="1792" width="8.875" style="1581"/>
    <col min="1793" max="1793" width="9.5" style="1581" customWidth="1"/>
    <col min="1794" max="1794" width="8.875" style="1581"/>
    <col min="1795" max="1797" width="12.875" style="1581" customWidth="1"/>
    <col min="1798" max="1798" width="47.5" style="1581" customWidth="1"/>
    <col min="1799" max="1799" width="13" style="1581" customWidth="1"/>
    <col min="1800" max="1801" width="8.875" style="1581"/>
    <col min="1802" max="1802" width="5.75" style="1581" customWidth="1"/>
    <col min="1803" max="1803" width="11.75" style="1581" customWidth="1"/>
    <col min="1804" max="1805" width="10.75" style="1581" customWidth="1"/>
    <col min="1806" max="1806" width="10" style="1581" customWidth="1"/>
    <col min="1807" max="1808" width="10.5" style="1581" customWidth="1"/>
    <col min="1809" max="1809" width="10" style="1581" customWidth="1"/>
    <col min="1810" max="1810" width="10.125" style="1581" customWidth="1"/>
    <col min="1811" max="1811" width="10" style="1581" customWidth="1"/>
    <col min="1812" max="1812" width="26.125" style="1581" customWidth="1"/>
    <col min="1813" max="2048" width="8.875" style="1581"/>
    <col min="2049" max="2049" width="9.5" style="1581" customWidth="1"/>
    <col min="2050" max="2050" width="8.875" style="1581"/>
    <col min="2051" max="2053" width="12.875" style="1581" customWidth="1"/>
    <col min="2054" max="2054" width="47.5" style="1581" customWidth="1"/>
    <col min="2055" max="2055" width="13" style="1581" customWidth="1"/>
    <col min="2056" max="2057" width="8.875" style="1581"/>
    <col min="2058" max="2058" width="5.75" style="1581" customWidth="1"/>
    <col min="2059" max="2059" width="11.75" style="1581" customWidth="1"/>
    <col min="2060" max="2061" width="10.75" style="1581" customWidth="1"/>
    <col min="2062" max="2062" width="10" style="1581" customWidth="1"/>
    <col min="2063" max="2064" width="10.5" style="1581" customWidth="1"/>
    <col min="2065" max="2065" width="10" style="1581" customWidth="1"/>
    <col min="2066" max="2066" width="10.125" style="1581" customWidth="1"/>
    <col min="2067" max="2067" width="10" style="1581" customWidth="1"/>
    <col min="2068" max="2068" width="26.125" style="1581" customWidth="1"/>
    <col min="2069" max="2304" width="8.875" style="1581"/>
    <col min="2305" max="2305" width="9.5" style="1581" customWidth="1"/>
    <col min="2306" max="2306" width="8.875" style="1581"/>
    <col min="2307" max="2309" width="12.875" style="1581" customWidth="1"/>
    <col min="2310" max="2310" width="47.5" style="1581" customWidth="1"/>
    <col min="2311" max="2311" width="13" style="1581" customWidth="1"/>
    <col min="2312" max="2313" width="8.875" style="1581"/>
    <col min="2314" max="2314" width="5.75" style="1581" customWidth="1"/>
    <col min="2315" max="2315" width="11.75" style="1581" customWidth="1"/>
    <col min="2316" max="2317" width="10.75" style="1581" customWidth="1"/>
    <col min="2318" max="2318" width="10" style="1581" customWidth="1"/>
    <col min="2319" max="2320" width="10.5" style="1581" customWidth="1"/>
    <col min="2321" max="2321" width="10" style="1581" customWidth="1"/>
    <col min="2322" max="2322" width="10.125" style="1581" customWidth="1"/>
    <col min="2323" max="2323" width="10" style="1581" customWidth="1"/>
    <col min="2324" max="2324" width="26.125" style="1581" customWidth="1"/>
    <col min="2325" max="2560" width="8.875" style="1581"/>
    <col min="2561" max="2561" width="9.5" style="1581" customWidth="1"/>
    <col min="2562" max="2562" width="8.875" style="1581"/>
    <col min="2563" max="2565" width="12.875" style="1581" customWidth="1"/>
    <col min="2566" max="2566" width="47.5" style="1581" customWidth="1"/>
    <col min="2567" max="2567" width="13" style="1581" customWidth="1"/>
    <col min="2568" max="2569" width="8.875" style="1581"/>
    <col min="2570" max="2570" width="5.75" style="1581" customWidth="1"/>
    <col min="2571" max="2571" width="11.75" style="1581" customWidth="1"/>
    <col min="2572" max="2573" width="10.75" style="1581" customWidth="1"/>
    <col min="2574" max="2574" width="10" style="1581" customWidth="1"/>
    <col min="2575" max="2576" width="10.5" style="1581" customWidth="1"/>
    <col min="2577" max="2577" width="10" style="1581" customWidth="1"/>
    <col min="2578" max="2578" width="10.125" style="1581" customWidth="1"/>
    <col min="2579" max="2579" width="10" style="1581" customWidth="1"/>
    <col min="2580" max="2580" width="26.125" style="1581" customWidth="1"/>
    <col min="2581" max="2816" width="8.875" style="1581"/>
    <col min="2817" max="2817" width="9.5" style="1581" customWidth="1"/>
    <col min="2818" max="2818" width="8.875" style="1581"/>
    <col min="2819" max="2821" width="12.875" style="1581" customWidth="1"/>
    <col min="2822" max="2822" width="47.5" style="1581" customWidth="1"/>
    <col min="2823" max="2823" width="13" style="1581" customWidth="1"/>
    <col min="2824" max="2825" width="8.875" style="1581"/>
    <col min="2826" max="2826" width="5.75" style="1581" customWidth="1"/>
    <col min="2827" max="2827" width="11.75" style="1581" customWidth="1"/>
    <col min="2828" max="2829" width="10.75" style="1581" customWidth="1"/>
    <col min="2830" max="2830" width="10" style="1581" customWidth="1"/>
    <col min="2831" max="2832" width="10.5" style="1581" customWidth="1"/>
    <col min="2833" max="2833" width="10" style="1581" customWidth="1"/>
    <col min="2834" max="2834" width="10.125" style="1581" customWidth="1"/>
    <col min="2835" max="2835" width="10" style="1581" customWidth="1"/>
    <col min="2836" max="2836" width="26.125" style="1581" customWidth="1"/>
    <col min="2837" max="3072" width="8.875" style="1581"/>
    <col min="3073" max="3073" width="9.5" style="1581" customWidth="1"/>
    <col min="3074" max="3074" width="8.875" style="1581"/>
    <col min="3075" max="3077" width="12.875" style="1581" customWidth="1"/>
    <col min="3078" max="3078" width="47.5" style="1581" customWidth="1"/>
    <col min="3079" max="3079" width="13" style="1581" customWidth="1"/>
    <col min="3080" max="3081" width="8.875" style="1581"/>
    <col min="3082" max="3082" width="5.75" style="1581" customWidth="1"/>
    <col min="3083" max="3083" width="11.75" style="1581" customWidth="1"/>
    <col min="3084" max="3085" width="10.75" style="1581" customWidth="1"/>
    <col min="3086" max="3086" width="10" style="1581" customWidth="1"/>
    <col min="3087" max="3088" width="10.5" style="1581" customWidth="1"/>
    <col min="3089" max="3089" width="10" style="1581" customWidth="1"/>
    <col min="3090" max="3090" width="10.125" style="1581" customWidth="1"/>
    <col min="3091" max="3091" width="10" style="1581" customWidth="1"/>
    <col min="3092" max="3092" width="26.125" style="1581" customWidth="1"/>
    <col min="3093" max="3328" width="8.875" style="1581"/>
    <col min="3329" max="3329" width="9.5" style="1581" customWidth="1"/>
    <col min="3330" max="3330" width="8.875" style="1581"/>
    <col min="3331" max="3333" width="12.875" style="1581" customWidth="1"/>
    <col min="3334" max="3334" width="47.5" style="1581" customWidth="1"/>
    <col min="3335" max="3335" width="13" style="1581" customWidth="1"/>
    <col min="3336" max="3337" width="8.875" style="1581"/>
    <col min="3338" max="3338" width="5.75" style="1581" customWidth="1"/>
    <col min="3339" max="3339" width="11.75" style="1581" customWidth="1"/>
    <col min="3340" max="3341" width="10.75" style="1581" customWidth="1"/>
    <col min="3342" max="3342" width="10" style="1581" customWidth="1"/>
    <col min="3343" max="3344" width="10.5" style="1581" customWidth="1"/>
    <col min="3345" max="3345" width="10" style="1581" customWidth="1"/>
    <col min="3346" max="3346" width="10.125" style="1581" customWidth="1"/>
    <col min="3347" max="3347" width="10" style="1581" customWidth="1"/>
    <col min="3348" max="3348" width="26.125" style="1581" customWidth="1"/>
    <col min="3349" max="3584" width="8.875" style="1581"/>
    <col min="3585" max="3585" width="9.5" style="1581" customWidth="1"/>
    <col min="3586" max="3586" width="8.875" style="1581"/>
    <col min="3587" max="3589" width="12.875" style="1581" customWidth="1"/>
    <col min="3590" max="3590" width="47.5" style="1581" customWidth="1"/>
    <col min="3591" max="3591" width="13" style="1581" customWidth="1"/>
    <col min="3592" max="3593" width="8.875" style="1581"/>
    <col min="3594" max="3594" width="5.75" style="1581" customWidth="1"/>
    <col min="3595" max="3595" width="11.75" style="1581" customWidth="1"/>
    <col min="3596" max="3597" width="10.75" style="1581" customWidth="1"/>
    <col min="3598" max="3598" width="10" style="1581" customWidth="1"/>
    <col min="3599" max="3600" width="10.5" style="1581" customWidth="1"/>
    <col min="3601" max="3601" width="10" style="1581" customWidth="1"/>
    <col min="3602" max="3602" width="10.125" style="1581" customWidth="1"/>
    <col min="3603" max="3603" width="10" style="1581" customWidth="1"/>
    <col min="3604" max="3604" width="26.125" style="1581" customWidth="1"/>
    <col min="3605" max="3840" width="8.875" style="1581"/>
    <col min="3841" max="3841" width="9.5" style="1581" customWidth="1"/>
    <col min="3842" max="3842" width="8.875" style="1581"/>
    <col min="3843" max="3845" width="12.875" style="1581" customWidth="1"/>
    <col min="3846" max="3846" width="47.5" style="1581" customWidth="1"/>
    <col min="3847" max="3847" width="13" style="1581" customWidth="1"/>
    <col min="3848" max="3849" width="8.875" style="1581"/>
    <col min="3850" max="3850" width="5.75" style="1581" customWidth="1"/>
    <col min="3851" max="3851" width="11.75" style="1581" customWidth="1"/>
    <col min="3852" max="3853" width="10.75" style="1581" customWidth="1"/>
    <col min="3854" max="3854" width="10" style="1581" customWidth="1"/>
    <col min="3855" max="3856" width="10.5" style="1581" customWidth="1"/>
    <col min="3857" max="3857" width="10" style="1581" customWidth="1"/>
    <col min="3858" max="3858" width="10.125" style="1581" customWidth="1"/>
    <col min="3859" max="3859" width="10" style="1581" customWidth="1"/>
    <col min="3860" max="3860" width="26.125" style="1581" customWidth="1"/>
    <col min="3861" max="4096" width="8.875" style="1581"/>
    <col min="4097" max="4097" width="9.5" style="1581" customWidth="1"/>
    <col min="4098" max="4098" width="8.875" style="1581"/>
    <col min="4099" max="4101" width="12.875" style="1581" customWidth="1"/>
    <col min="4102" max="4102" width="47.5" style="1581" customWidth="1"/>
    <col min="4103" max="4103" width="13" style="1581" customWidth="1"/>
    <col min="4104" max="4105" width="8.875" style="1581"/>
    <col min="4106" max="4106" width="5.75" style="1581" customWidth="1"/>
    <col min="4107" max="4107" width="11.75" style="1581" customWidth="1"/>
    <col min="4108" max="4109" width="10.75" style="1581" customWidth="1"/>
    <col min="4110" max="4110" width="10" style="1581" customWidth="1"/>
    <col min="4111" max="4112" width="10.5" style="1581" customWidth="1"/>
    <col min="4113" max="4113" width="10" style="1581" customWidth="1"/>
    <col min="4114" max="4114" width="10.125" style="1581" customWidth="1"/>
    <col min="4115" max="4115" width="10" style="1581" customWidth="1"/>
    <col min="4116" max="4116" width="26.125" style="1581" customWidth="1"/>
    <col min="4117" max="4352" width="8.875" style="1581"/>
    <col min="4353" max="4353" width="9.5" style="1581" customWidth="1"/>
    <col min="4354" max="4354" width="8.875" style="1581"/>
    <col min="4355" max="4357" width="12.875" style="1581" customWidth="1"/>
    <col min="4358" max="4358" width="47.5" style="1581" customWidth="1"/>
    <col min="4359" max="4359" width="13" style="1581" customWidth="1"/>
    <col min="4360" max="4361" width="8.875" style="1581"/>
    <col min="4362" max="4362" width="5.75" style="1581" customWidth="1"/>
    <col min="4363" max="4363" width="11.75" style="1581" customWidth="1"/>
    <col min="4364" max="4365" width="10.75" style="1581" customWidth="1"/>
    <col min="4366" max="4366" width="10" style="1581" customWidth="1"/>
    <col min="4367" max="4368" width="10.5" style="1581" customWidth="1"/>
    <col min="4369" max="4369" width="10" style="1581" customWidth="1"/>
    <col min="4370" max="4370" width="10.125" style="1581" customWidth="1"/>
    <col min="4371" max="4371" width="10" style="1581" customWidth="1"/>
    <col min="4372" max="4372" width="26.125" style="1581" customWidth="1"/>
    <col min="4373" max="4608" width="8.875" style="1581"/>
    <col min="4609" max="4609" width="9.5" style="1581" customWidth="1"/>
    <col min="4610" max="4610" width="8.875" style="1581"/>
    <col min="4611" max="4613" width="12.875" style="1581" customWidth="1"/>
    <col min="4614" max="4614" width="47.5" style="1581" customWidth="1"/>
    <col min="4615" max="4615" width="13" style="1581" customWidth="1"/>
    <col min="4616" max="4617" width="8.875" style="1581"/>
    <col min="4618" max="4618" width="5.75" style="1581" customWidth="1"/>
    <col min="4619" max="4619" width="11.75" style="1581" customWidth="1"/>
    <col min="4620" max="4621" width="10.75" style="1581" customWidth="1"/>
    <col min="4622" max="4622" width="10" style="1581" customWidth="1"/>
    <col min="4623" max="4624" width="10.5" style="1581" customWidth="1"/>
    <col min="4625" max="4625" width="10" style="1581" customWidth="1"/>
    <col min="4626" max="4626" width="10.125" style="1581" customWidth="1"/>
    <col min="4627" max="4627" width="10" style="1581" customWidth="1"/>
    <col min="4628" max="4628" width="26.125" style="1581" customWidth="1"/>
    <col min="4629" max="4864" width="8.875" style="1581"/>
    <col min="4865" max="4865" width="9.5" style="1581" customWidth="1"/>
    <col min="4866" max="4866" width="8.875" style="1581"/>
    <col min="4867" max="4869" width="12.875" style="1581" customWidth="1"/>
    <col min="4870" max="4870" width="47.5" style="1581" customWidth="1"/>
    <col min="4871" max="4871" width="13" style="1581" customWidth="1"/>
    <col min="4872" max="4873" width="8.875" style="1581"/>
    <col min="4874" max="4874" width="5.75" style="1581" customWidth="1"/>
    <col min="4875" max="4875" width="11.75" style="1581" customWidth="1"/>
    <col min="4876" max="4877" width="10.75" style="1581" customWidth="1"/>
    <col min="4878" max="4878" width="10" style="1581" customWidth="1"/>
    <col min="4879" max="4880" width="10.5" style="1581" customWidth="1"/>
    <col min="4881" max="4881" width="10" style="1581" customWidth="1"/>
    <col min="4882" max="4882" width="10.125" style="1581" customWidth="1"/>
    <col min="4883" max="4883" width="10" style="1581" customWidth="1"/>
    <col min="4884" max="4884" width="26.125" style="1581" customWidth="1"/>
    <col min="4885" max="5120" width="8.875" style="1581"/>
    <col min="5121" max="5121" width="9.5" style="1581" customWidth="1"/>
    <col min="5122" max="5122" width="8.875" style="1581"/>
    <col min="5123" max="5125" width="12.875" style="1581" customWidth="1"/>
    <col min="5126" max="5126" width="47.5" style="1581" customWidth="1"/>
    <col min="5127" max="5127" width="13" style="1581" customWidth="1"/>
    <col min="5128" max="5129" width="8.875" style="1581"/>
    <col min="5130" max="5130" width="5.75" style="1581" customWidth="1"/>
    <col min="5131" max="5131" width="11.75" style="1581" customWidth="1"/>
    <col min="5132" max="5133" width="10.75" style="1581" customWidth="1"/>
    <col min="5134" max="5134" width="10" style="1581" customWidth="1"/>
    <col min="5135" max="5136" width="10.5" style="1581" customWidth="1"/>
    <col min="5137" max="5137" width="10" style="1581" customWidth="1"/>
    <col min="5138" max="5138" width="10.125" style="1581" customWidth="1"/>
    <col min="5139" max="5139" width="10" style="1581" customWidth="1"/>
    <col min="5140" max="5140" width="26.125" style="1581" customWidth="1"/>
    <col min="5141" max="5376" width="8.875" style="1581"/>
    <col min="5377" max="5377" width="9.5" style="1581" customWidth="1"/>
    <col min="5378" max="5378" width="8.875" style="1581"/>
    <col min="5379" max="5381" width="12.875" style="1581" customWidth="1"/>
    <col min="5382" max="5382" width="47.5" style="1581" customWidth="1"/>
    <col min="5383" max="5383" width="13" style="1581" customWidth="1"/>
    <col min="5384" max="5385" width="8.875" style="1581"/>
    <col min="5386" max="5386" width="5.75" style="1581" customWidth="1"/>
    <col min="5387" max="5387" width="11.75" style="1581" customWidth="1"/>
    <col min="5388" max="5389" width="10.75" style="1581" customWidth="1"/>
    <col min="5390" max="5390" width="10" style="1581" customWidth="1"/>
    <col min="5391" max="5392" width="10.5" style="1581" customWidth="1"/>
    <col min="5393" max="5393" width="10" style="1581" customWidth="1"/>
    <col min="5394" max="5394" width="10.125" style="1581" customWidth="1"/>
    <col min="5395" max="5395" width="10" style="1581" customWidth="1"/>
    <col min="5396" max="5396" width="26.125" style="1581" customWidth="1"/>
    <col min="5397" max="5632" width="8.875" style="1581"/>
    <col min="5633" max="5633" width="9.5" style="1581" customWidth="1"/>
    <col min="5634" max="5634" width="8.875" style="1581"/>
    <col min="5635" max="5637" width="12.875" style="1581" customWidth="1"/>
    <col min="5638" max="5638" width="47.5" style="1581" customWidth="1"/>
    <col min="5639" max="5639" width="13" style="1581" customWidth="1"/>
    <col min="5640" max="5641" width="8.875" style="1581"/>
    <col min="5642" max="5642" width="5.75" style="1581" customWidth="1"/>
    <col min="5643" max="5643" width="11.75" style="1581" customWidth="1"/>
    <col min="5644" max="5645" width="10.75" style="1581" customWidth="1"/>
    <col min="5646" max="5646" width="10" style="1581" customWidth="1"/>
    <col min="5647" max="5648" width="10.5" style="1581" customWidth="1"/>
    <col min="5649" max="5649" width="10" style="1581" customWidth="1"/>
    <col min="5650" max="5650" width="10.125" style="1581" customWidth="1"/>
    <col min="5651" max="5651" width="10" style="1581" customWidth="1"/>
    <col min="5652" max="5652" width="26.125" style="1581" customWidth="1"/>
    <col min="5653" max="5888" width="8.875" style="1581"/>
    <col min="5889" max="5889" width="9.5" style="1581" customWidth="1"/>
    <col min="5890" max="5890" width="8.875" style="1581"/>
    <col min="5891" max="5893" width="12.875" style="1581" customWidth="1"/>
    <col min="5894" max="5894" width="47.5" style="1581" customWidth="1"/>
    <col min="5895" max="5895" width="13" style="1581" customWidth="1"/>
    <col min="5896" max="5897" width="8.875" style="1581"/>
    <col min="5898" max="5898" width="5.75" style="1581" customWidth="1"/>
    <col min="5899" max="5899" width="11.75" style="1581" customWidth="1"/>
    <col min="5900" max="5901" width="10.75" style="1581" customWidth="1"/>
    <col min="5902" max="5902" width="10" style="1581" customWidth="1"/>
    <col min="5903" max="5904" width="10.5" style="1581" customWidth="1"/>
    <col min="5905" max="5905" width="10" style="1581" customWidth="1"/>
    <col min="5906" max="5906" width="10.125" style="1581" customWidth="1"/>
    <col min="5907" max="5907" width="10" style="1581" customWidth="1"/>
    <col min="5908" max="5908" width="26.125" style="1581" customWidth="1"/>
    <col min="5909" max="6144" width="8.875" style="1581"/>
    <col min="6145" max="6145" width="9.5" style="1581" customWidth="1"/>
    <col min="6146" max="6146" width="8.875" style="1581"/>
    <col min="6147" max="6149" width="12.875" style="1581" customWidth="1"/>
    <col min="6150" max="6150" width="47.5" style="1581" customWidth="1"/>
    <col min="6151" max="6151" width="13" style="1581" customWidth="1"/>
    <col min="6152" max="6153" width="8.875" style="1581"/>
    <col min="6154" max="6154" width="5.75" style="1581" customWidth="1"/>
    <col min="6155" max="6155" width="11.75" style="1581" customWidth="1"/>
    <col min="6156" max="6157" width="10.75" style="1581" customWidth="1"/>
    <col min="6158" max="6158" width="10" style="1581" customWidth="1"/>
    <col min="6159" max="6160" width="10.5" style="1581" customWidth="1"/>
    <col min="6161" max="6161" width="10" style="1581" customWidth="1"/>
    <col min="6162" max="6162" width="10.125" style="1581" customWidth="1"/>
    <col min="6163" max="6163" width="10" style="1581" customWidth="1"/>
    <col min="6164" max="6164" width="26.125" style="1581" customWidth="1"/>
    <col min="6165" max="6400" width="8.875" style="1581"/>
    <col min="6401" max="6401" width="9.5" style="1581" customWidth="1"/>
    <col min="6402" max="6402" width="8.875" style="1581"/>
    <col min="6403" max="6405" width="12.875" style="1581" customWidth="1"/>
    <col min="6406" max="6406" width="47.5" style="1581" customWidth="1"/>
    <col min="6407" max="6407" width="13" style="1581" customWidth="1"/>
    <col min="6408" max="6409" width="8.875" style="1581"/>
    <col min="6410" max="6410" width="5.75" style="1581" customWidth="1"/>
    <col min="6411" max="6411" width="11.75" style="1581" customWidth="1"/>
    <col min="6412" max="6413" width="10.75" style="1581" customWidth="1"/>
    <col min="6414" max="6414" width="10" style="1581" customWidth="1"/>
    <col min="6415" max="6416" width="10.5" style="1581" customWidth="1"/>
    <col min="6417" max="6417" width="10" style="1581" customWidth="1"/>
    <col min="6418" max="6418" width="10.125" style="1581" customWidth="1"/>
    <col min="6419" max="6419" width="10" style="1581" customWidth="1"/>
    <col min="6420" max="6420" width="26.125" style="1581" customWidth="1"/>
    <col min="6421" max="6656" width="8.875" style="1581"/>
    <col min="6657" max="6657" width="9.5" style="1581" customWidth="1"/>
    <col min="6658" max="6658" width="8.875" style="1581"/>
    <col min="6659" max="6661" width="12.875" style="1581" customWidth="1"/>
    <col min="6662" max="6662" width="47.5" style="1581" customWidth="1"/>
    <col min="6663" max="6663" width="13" style="1581" customWidth="1"/>
    <col min="6664" max="6665" width="8.875" style="1581"/>
    <col min="6666" max="6666" width="5.75" style="1581" customWidth="1"/>
    <col min="6667" max="6667" width="11.75" style="1581" customWidth="1"/>
    <col min="6668" max="6669" width="10.75" style="1581" customWidth="1"/>
    <col min="6670" max="6670" width="10" style="1581" customWidth="1"/>
    <col min="6671" max="6672" width="10.5" style="1581" customWidth="1"/>
    <col min="6673" max="6673" width="10" style="1581" customWidth="1"/>
    <col min="6674" max="6674" width="10.125" style="1581" customWidth="1"/>
    <col min="6675" max="6675" width="10" style="1581" customWidth="1"/>
    <col min="6676" max="6676" width="26.125" style="1581" customWidth="1"/>
    <col min="6677" max="6912" width="8.875" style="1581"/>
    <col min="6913" max="6913" width="9.5" style="1581" customWidth="1"/>
    <col min="6914" max="6914" width="8.875" style="1581"/>
    <col min="6915" max="6917" width="12.875" style="1581" customWidth="1"/>
    <col min="6918" max="6918" width="47.5" style="1581" customWidth="1"/>
    <col min="6919" max="6919" width="13" style="1581" customWidth="1"/>
    <col min="6920" max="6921" width="8.875" style="1581"/>
    <col min="6922" max="6922" width="5.75" style="1581" customWidth="1"/>
    <col min="6923" max="6923" width="11.75" style="1581" customWidth="1"/>
    <col min="6924" max="6925" width="10.75" style="1581" customWidth="1"/>
    <col min="6926" max="6926" width="10" style="1581" customWidth="1"/>
    <col min="6927" max="6928" width="10.5" style="1581" customWidth="1"/>
    <col min="6929" max="6929" width="10" style="1581" customWidth="1"/>
    <col min="6930" max="6930" width="10.125" style="1581" customWidth="1"/>
    <col min="6931" max="6931" width="10" style="1581" customWidth="1"/>
    <col min="6932" max="6932" width="26.125" style="1581" customWidth="1"/>
    <col min="6933" max="7168" width="8.875" style="1581"/>
    <col min="7169" max="7169" width="9.5" style="1581" customWidth="1"/>
    <col min="7170" max="7170" width="8.875" style="1581"/>
    <col min="7171" max="7173" width="12.875" style="1581" customWidth="1"/>
    <col min="7174" max="7174" width="47.5" style="1581" customWidth="1"/>
    <col min="7175" max="7175" width="13" style="1581" customWidth="1"/>
    <col min="7176" max="7177" width="8.875" style="1581"/>
    <col min="7178" max="7178" width="5.75" style="1581" customWidth="1"/>
    <col min="7179" max="7179" width="11.75" style="1581" customWidth="1"/>
    <col min="7180" max="7181" width="10.75" style="1581" customWidth="1"/>
    <col min="7182" max="7182" width="10" style="1581" customWidth="1"/>
    <col min="7183" max="7184" width="10.5" style="1581" customWidth="1"/>
    <col min="7185" max="7185" width="10" style="1581" customWidth="1"/>
    <col min="7186" max="7186" width="10.125" style="1581" customWidth="1"/>
    <col min="7187" max="7187" width="10" style="1581" customWidth="1"/>
    <col min="7188" max="7188" width="26.125" style="1581" customWidth="1"/>
    <col min="7189" max="7424" width="8.875" style="1581"/>
    <col min="7425" max="7425" width="9.5" style="1581" customWidth="1"/>
    <col min="7426" max="7426" width="8.875" style="1581"/>
    <col min="7427" max="7429" width="12.875" style="1581" customWidth="1"/>
    <col min="7430" max="7430" width="47.5" style="1581" customWidth="1"/>
    <col min="7431" max="7431" width="13" style="1581" customWidth="1"/>
    <col min="7432" max="7433" width="8.875" style="1581"/>
    <col min="7434" max="7434" width="5.75" style="1581" customWidth="1"/>
    <col min="7435" max="7435" width="11.75" style="1581" customWidth="1"/>
    <col min="7436" max="7437" width="10.75" style="1581" customWidth="1"/>
    <col min="7438" max="7438" width="10" style="1581" customWidth="1"/>
    <col min="7439" max="7440" width="10.5" style="1581" customWidth="1"/>
    <col min="7441" max="7441" width="10" style="1581" customWidth="1"/>
    <col min="7442" max="7442" width="10.125" style="1581" customWidth="1"/>
    <col min="7443" max="7443" width="10" style="1581" customWidth="1"/>
    <col min="7444" max="7444" width="26.125" style="1581" customWidth="1"/>
    <col min="7445" max="7680" width="8.875" style="1581"/>
    <col min="7681" max="7681" width="9.5" style="1581" customWidth="1"/>
    <col min="7682" max="7682" width="8.875" style="1581"/>
    <col min="7683" max="7685" width="12.875" style="1581" customWidth="1"/>
    <col min="7686" max="7686" width="47.5" style="1581" customWidth="1"/>
    <col min="7687" max="7687" width="13" style="1581" customWidth="1"/>
    <col min="7688" max="7689" width="8.875" style="1581"/>
    <col min="7690" max="7690" width="5.75" style="1581" customWidth="1"/>
    <col min="7691" max="7691" width="11.75" style="1581" customWidth="1"/>
    <col min="7692" max="7693" width="10.75" style="1581" customWidth="1"/>
    <col min="7694" max="7694" width="10" style="1581" customWidth="1"/>
    <col min="7695" max="7696" width="10.5" style="1581" customWidth="1"/>
    <col min="7697" max="7697" width="10" style="1581" customWidth="1"/>
    <col min="7698" max="7698" width="10.125" style="1581" customWidth="1"/>
    <col min="7699" max="7699" width="10" style="1581" customWidth="1"/>
    <col min="7700" max="7700" width="26.125" style="1581" customWidth="1"/>
    <col min="7701" max="7936" width="8.875" style="1581"/>
    <col min="7937" max="7937" width="9.5" style="1581" customWidth="1"/>
    <col min="7938" max="7938" width="8.875" style="1581"/>
    <col min="7939" max="7941" width="12.875" style="1581" customWidth="1"/>
    <col min="7942" max="7942" width="47.5" style="1581" customWidth="1"/>
    <col min="7943" max="7943" width="13" style="1581" customWidth="1"/>
    <col min="7944" max="7945" width="8.875" style="1581"/>
    <col min="7946" max="7946" width="5.75" style="1581" customWidth="1"/>
    <col min="7947" max="7947" width="11.75" style="1581" customWidth="1"/>
    <col min="7948" max="7949" width="10.75" style="1581" customWidth="1"/>
    <col min="7950" max="7950" width="10" style="1581" customWidth="1"/>
    <col min="7951" max="7952" width="10.5" style="1581" customWidth="1"/>
    <col min="7953" max="7953" width="10" style="1581" customWidth="1"/>
    <col min="7954" max="7954" width="10.125" style="1581" customWidth="1"/>
    <col min="7955" max="7955" width="10" style="1581" customWidth="1"/>
    <col min="7956" max="7956" width="26.125" style="1581" customWidth="1"/>
    <col min="7957" max="8192" width="8.875" style="1581"/>
    <col min="8193" max="8193" width="9.5" style="1581" customWidth="1"/>
    <col min="8194" max="8194" width="8.875" style="1581"/>
    <col min="8195" max="8197" width="12.875" style="1581" customWidth="1"/>
    <col min="8198" max="8198" width="47.5" style="1581" customWidth="1"/>
    <col min="8199" max="8199" width="13" style="1581" customWidth="1"/>
    <col min="8200" max="8201" width="8.875" style="1581"/>
    <col min="8202" max="8202" width="5.75" style="1581" customWidth="1"/>
    <col min="8203" max="8203" width="11.75" style="1581" customWidth="1"/>
    <col min="8204" max="8205" width="10.75" style="1581" customWidth="1"/>
    <col min="8206" max="8206" width="10" style="1581" customWidth="1"/>
    <col min="8207" max="8208" width="10.5" style="1581" customWidth="1"/>
    <col min="8209" max="8209" width="10" style="1581" customWidth="1"/>
    <col min="8210" max="8210" width="10.125" style="1581" customWidth="1"/>
    <col min="8211" max="8211" width="10" style="1581" customWidth="1"/>
    <col min="8212" max="8212" width="26.125" style="1581" customWidth="1"/>
    <col min="8213" max="8448" width="8.875" style="1581"/>
    <col min="8449" max="8449" width="9.5" style="1581" customWidth="1"/>
    <col min="8450" max="8450" width="8.875" style="1581"/>
    <col min="8451" max="8453" width="12.875" style="1581" customWidth="1"/>
    <col min="8454" max="8454" width="47.5" style="1581" customWidth="1"/>
    <col min="8455" max="8455" width="13" style="1581" customWidth="1"/>
    <col min="8456" max="8457" width="8.875" style="1581"/>
    <col min="8458" max="8458" width="5.75" style="1581" customWidth="1"/>
    <col min="8459" max="8459" width="11.75" style="1581" customWidth="1"/>
    <col min="8460" max="8461" width="10.75" style="1581" customWidth="1"/>
    <col min="8462" max="8462" width="10" style="1581" customWidth="1"/>
    <col min="8463" max="8464" width="10.5" style="1581" customWidth="1"/>
    <col min="8465" max="8465" width="10" style="1581" customWidth="1"/>
    <col min="8466" max="8466" width="10.125" style="1581" customWidth="1"/>
    <col min="8467" max="8467" width="10" style="1581" customWidth="1"/>
    <col min="8468" max="8468" width="26.125" style="1581" customWidth="1"/>
    <col min="8469" max="8704" width="8.875" style="1581"/>
    <col min="8705" max="8705" width="9.5" style="1581" customWidth="1"/>
    <col min="8706" max="8706" width="8.875" style="1581"/>
    <col min="8707" max="8709" width="12.875" style="1581" customWidth="1"/>
    <col min="8710" max="8710" width="47.5" style="1581" customWidth="1"/>
    <col min="8711" max="8711" width="13" style="1581" customWidth="1"/>
    <col min="8712" max="8713" width="8.875" style="1581"/>
    <col min="8714" max="8714" width="5.75" style="1581" customWidth="1"/>
    <col min="8715" max="8715" width="11.75" style="1581" customWidth="1"/>
    <col min="8716" max="8717" width="10.75" style="1581" customWidth="1"/>
    <col min="8718" max="8718" width="10" style="1581" customWidth="1"/>
    <col min="8719" max="8720" width="10.5" style="1581" customWidth="1"/>
    <col min="8721" max="8721" width="10" style="1581" customWidth="1"/>
    <col min="8722" max="8722" width="10.125" style="1581" customWidth="1"/>
    <col min="8723" max="8723" width="10" style="1581" customWidth="1"/>
    <col min="8724" max="8724" width="26.125" style="1581" customWidth="1"/>
    <col min="8725" max="8960" width="8.875" style="1581"/>
    <col min="8961" max="8961" width="9.5" style="1581" customWidth="1"/>
    <col min="8962" max="8962" width="8.875" style="1581"/>
    <col min="8963" max="8965" width="12.875" style="1581" customWidth="1"/>
    <col min="8966" max="8966" width="47.5" style="1581" customWidth="1"/>
    <col min="8967" max="8967" width="13" style="1581" customWidth="1"/>
    <col min="8968" max="8969" width="8.875" style="1581"/>
    <col min="8970" max="8970" width="5.75" style="1581" customWidth="1"/>
    <col min="8971" max="8971" width="11.75" style="1581" customWidth="1"/>
    <col min="8972" max="8973" width="10.75" style="1581" customWidth="1"/>
    <col min="8974" max="8974" width="10" style="1581" customWidth="1"/>
    <col min="8975" max="8976" width="10.5" style="1581" customWidth="1"/>
    <col min="8977" max="8977" width="10" style="1581" customWidth="1"/>
    <col min="8978" max="8978" width="10.125" style="1581" customWidth="1"/>
    <col min="8979" max="8979" width="10" style="1581" customWidth="1"/>
    <col min="8980" max="8980" width="26.125" style="1581" customWidth="1"/>
    <col min="8981" max="9216" width="8.875" style="1581"/>
    <col min="9217" max="9217" width="9.5" style="1581" customWidth="1"/>
    <col min="9218" max="9218" width="8.875" style="1581"/>
    <col min="9219" max="9221" width="12.875" style="1581" customWidth="1"/>
    <col min="9222" max="9222" width="47.5" style="1581" customWidth="1"/>
    <col min="9223" max="9223" width="13" style="1581" customWidth="1"/>
    <col min="9224" max="9225" width="8.875" style="1581"/>
    <col min="9226" max="9226" width="5.75" style="1581" customWidth="1"/>
    <col min="9227" max="9227" width="11.75" style="1581" customWidth="1"/>
    <col min="9228" max="9229" width="10.75" style="1581" customWidth="1"/>
    <col min="9230" max="9230" width="10" style="1581" customWidth="1"/>
    <col min="9231" max="9232" width="10.5" style="1581" customWidth="1"/>
    <col min="9233" max="9233" width="10" style="1581" customWidth="1"/>
    <col min="9234" max="9234" width="10.125" style="1581" customWidth="1"/>
    <col min="9235" max="9235" width="10" style="1581" customWidth="1"/>
    <col min="9236" max="9236" width="26.125" style="1581" customWidth="1"/>
    <col min="9237" max="9472" width="8.875" style="1581"/>
    <col min="9473" max="9473" width="9.5" style="1581" customWidth="1"/>
    <col min="9474" max="9474" width="8.875" style="1581"/>
    <col min="9475" max="9477" width="12.875" style="1581" customWidth="1"/>
    <col min="9478" max="9478" width="47.5" style="1581" customWidth="1"/>
    <col min="9479" max="9479" width="13" style="1581" customWidth="1"/>
    <col min="9480" max="9481" width="8.875" style="1581"/>
    <col min="9482" max="9482" width="5.75" style="1581" customWidth="1"/>
    <col min="9483" max="9483" width="11.75" style="1581" customWidth="1"/>
    <col min="9484" max="9485" width="10.75" style="1581" customWidth="1"/>
    <col min="9486" max="9486" width="10" style="1581" customWidth="1"/>
    <col min="9487" max="9488" width="10.5" style="1581" customWidth="1"/>
    <col min="9489" max="9489" width="10" style="1581" customWidth="1"/>
    <col min="9490" max="9490" width="10.125" style="1581" customWidth="1"/>
    <col min="9491" max="9491" width="10" style="1581" customWidth="1"/>
    <col min="9492" max="9492" width="26.125" style="1581" customWidth="1"/>
    <col min="9493" max="9728" width="8.875" style="1581"/>
    <col min="9729" max="9729" width="9.5" style="1581" customWidth="1"/>
    <col min="9730" max="9730" width="8.875" style="1581"/>
    <col min="9731" max="9733" width="12.875" style="1581" customWidth="1"/>
    <col min="9734" max="9734" width="47.5" style="1581" customWidth="1"/>
    <col min="9735" max="9735" width="13" style="1581" customWidth="1"/>
    <col min="9736" max="9737" width="8.875" style="1581"/>
    <col min="9738" max="9738" width="5.75" style="1581" customWidth="1"/>
    <col min="9739" max="9739" width="11.75" style="1581" customWidth="1"/>
    <col min="9740" max="9741" width="10.75" style="1581" customWidth="1"/>
    <col min="9742" max="9742" width="10" style="1581" customWidth="1"/>
    <col min="9743" max="9744" width="10.5" style="1581" customWidth="1"/>
    <col min="9745" max="9745" width="10" style="1581" customWidth="1"/>
    <col min="9746" max="9746" width="10.125" style="1581" customWidth="1"/>
    <col min="9747" max="9747" width="10" style="1581" customWidth="1"/>
    <col min="9748" max="9748" width="26.125" style="1581" customWidth="1"/>
    <col min="9749" max="9984" width="8.875" style="1581"/>
    <col min="9985" max="9985" width="9.5" style="1581" customWidth="1"/>
    <col min="9986" max="9986" width="8.875" style="1581"/>
    <col min="9987" max="9989" width="12.875" style="1581" customWidth="1"/>
    <col min="9990" max="9990" width="47.5" style="1581" customWidth="1"/>
    <col min="9991" max="9991" width="13" style="1581" customWidth="1"/>
    <col min="9992" max="9993" width="8.875" style="1581"/>
    <col min="9994" max="9994" width="5.75" style="1581" customWidth="1"/>
    <col min="9995" max="9995" width="11.75" style="1581" customWidth="1"/>
    <col min="9996" max="9997" width="10.75" style="1581" customWidth="1"/>
    <col min="9998" max="9998" width="10" style="1581" customWidth="1"/>
    <col min="9999" max="10000" width="10.5" style="1581" customWidth="1"/>
    <col min="10001" max="10001" width="10" style="1581" customWidth="1"/>
    <col min="10002" max="10002" width="10.125" style="1581" customWidth="1"/>
    <col min="10003" max="10003" width="10" style="1581" customWidth="1"/>
    <col min="10004" max="10004" width="26.125" style="1581" customWidth="1"/>
    <col min="10005" max="10240" width="8.875" style="1581"/>
    <col min="10241" max="10241" width="9.5" style="1581" customWidth="1"/>
    <col min="10242" max="10242" width="8.875" style="1581"/>
    <col min="10243" max="10245" width="12.875" style="1581" customWidth="1"/>
    <col min="10246" max="10246" width="47.5" style="1581" customWidth="1"/>
    <col min="10247" max="10247" width="13" style="1581" customWidth="1"/>
    <col min="10248" max="10249" width="8.875" style="1581"/>
    <col min="10250" max="10250" width="5.75" style="1581" customWidth="1"/>
    <col min="10251" max="10251" width="11.75" style="1581" customWidth="1"/>
    <col min="10252" max="10253" width="10.75" style="1581" customWidth="1"/>
    <col min="10254" max="10254" width="10" style="1581" customWidth="1"/>
    <col min="10255" max="10256" width="10.5" style="1581" customWidth="1"/>
    <col min="10257" max="10257" width="10" style="1581" customWidth="1"/>
    <col min="10258" max="10258" width="10.125" style="1581" customWidth="1"/>
    <col min="10259" max="10259" width="10" style="1581" customWidth="1"/>
    <col min="10260" max="10260" width="26.125" style="1581" customWidth="1"/>
    <col min="10261" max="10496" width="8.875" style="1581"/>
    <col min="10497" max="10497" width="9.5" style="1581" customWidth="1"/>
    <col min="10498" max="10498" width="8.875" style="1581"/>
    <col min="10499" max="10501" width="12.875" style="1581" customWidth="1"/>
    <col min="10502" max="10502" width="47.5" style="1581" customWidth="1"/>
    <col min="10503" max="10503" width="13" style="1581" customWidth="1"/>
    <col min="10504" max="10505" width="8.875" style="1581"/>
    <col min="10506" max="10506" width="5.75" style="1581" customWidth="1"/>
    <col min="10507" max="10507" width="11.75" style="1581" customWidth="1"/>
    <col min="10508" max="10509" width="10.75" style="1581" customWidth="1"/>
    <col min="10510" max="10510" width="10" style="1581" customWidth="1"/>
    <col min="10511" max="10512" width="10.5" style="1581" customWidth="1"/>
    <col min="10513" max="10513" width="10" style="1581" customWidth="1"/>
    <col min="10514" max="10514" width="10.125" style="1581" customWidth="1"/>
    <col min="10515" max="10515" width="10" style="1581" customWidth="1"/>
    <col min="10516" max="10516" width="26.125" style="1581" customWidth="1"/>
    <col min="10517" max="10752" width="8.875" style="1581"/>
    <col min="10753" max="10753" width="9.5" style="1581" customWidth="1"/>
    <col min="10754" max="10754" width="8.875" style="1581"/>
    <col min="10755" max="10757" width="12.875" style="1581" customWidth="1"/>
    <col min="10758" max="10758" width="47.5" style="1581" customWidth="1"/>
    <col min="10759" max="10759" width="13" style="1581" customWidth="1"/>
    <col min="10760" max="10761" width="8.875" style="1581"/>
    <col min="10762" max="10762" width="5.75" style="1581" customWidth="1"/>
    <col min="10763" max="10763" width="11.75" style="1581" customWidth="1"/>
    <col min="10764" max="10765" width="10.75" style="1581" customWidth="1"/>
    <col min="10766" max="10766" width="10" style="1581" customWidth="1"/>
    <col min="10767" max="10768" width="10.5" style="1581" customWidth="1"/>
    <col min="10769" max="10769" width="10" style="1581" customWidth="1"/>
    <col min="10770" max="10770" width="10.125" style="1581" customWidth="1"/>
    <col min="10771" max="10771" width="10" style="1581" customWidth="1"/>
    <col min="10772" max="10772" width="26.125" style="1581" customWidth="1"/>
    <col min="10773" max="11008" width="8.875" style="1581"/>
    <col min="11009" max="11009" width="9.5" style="1581" customWidth="1"/>
    <col min="11010" max="11010" width="8.875" style="1581"/>
    <col min="11011" max="11013" width="12.875" style="1581" customWidth="1"/>
    <col min="11014" max="11014" width="47.5" style="1581" customWidth="1"/>
    <col min="11015" max="11015" width="13" style="1581" customWidth="1"/>
    <col min="11016" max="11017" width="8.875" style="1581"/>
    <col min="11018" max="11018" width="5.75" style="1581" customWidth="1"/>
    <col min="11019" max="11019" width="11.75" style="1581" customWidth="1"/>
    <col min="11020" max="11021" width="10.75" style="1581" customWidth="1"/>
    <col min="11022" max="11022" width="10" style="1581" customWidth="1"/>
    <col min="11023" max="11024" width="10.5" style="1581" customWidth="1"/>
    <col min="11025" max="11025" width="10" style="1581" customWidth="1"/>
    <col min="11026" max="11026" width="10.125" style="1581" customWidth="1"/>
    <col min="11027" max="11027" width="10" style="1581" customWidth="1"/>
    <col min="11028" max="11028" width="26.125" style="1581" customWidth="1"/>
    <col min="11029" max="11264" width="8.875" style="1581"/>
    <col min="11265" max="11265" width="9.5" style="1581" customWidth="1"/>
    <col min="11266" max="11266" width="8.875" style="1581"/>
    <col min="11267" max="11269" width="12.875" style="1581" customWidth="1"/>
    <col min="11270" max="11270" width="47.5" style="1581" customWidth="1"/>
    <col min="11271" max="11271" width="13" style="1581" customWidth="1"/>
    <col min="11272" max="11273" width="8.875" style="1581"/>
    <col min="11274" max="11274" width="5.75" style="1581" customWidth="1"/>
    <col min="11275" max="11275" width="11.75" style="1581" customWidth="1"/>
    <col min="11276" max="11277" width="10.75" style="1581" customWidth="1"/>
    <col min="11278" max="11278" width="10" style="1581" customWidth="1"/>
    <col min="11279" max="11280" width="10.5" style="1581" customWidth="1"/>
    <col min="11281" max="11281" width="10" style="1581" customWidth="1"/>
    <col min="11282" max="11282" width="10.125" style="1581" customWidth="1"/>
    <col min="11283" max="11283" width="10" style="1581" customWidth="1"/>
    <col min="11284" max="11284" width="26.125" style="1581" customWidth="1"/>
    <col min="11285" max="11520" width="8.875" style="1581"/>
    <col min="11521" max="11521" width="9.5" style="1581" customWidth="1"/>
    <col min="11522" max="11522" width="8.875" style="1581"/>
    <col min="11523" max="11525" width="12.875" style="1581" customWidth="1"/>
    <col min="11526" max="11526" width="47.5" style="1581" customWidth="1"/>
    <col min="11527" max="11527" width="13" style="1581" customWidth="1"/>
    <col min="11528" max="11529" width="8.875" style="1581"/>
    <col min="11530" max="11530" width="5.75" style="1581" customWidth="1"/>
    <col min="11531" max="11531" width="11.75" style="1581" customWidth="1"/>
    <col min="11532" max="11533" width="10.75" style="1581" customWidth="1"/>
    <col min="11534" max="11534" width="10" style="1581" customWidth="1"/>
    <col min="11535" max="11536" width="10.5" style="1581" customWidth="1"/>
    <col min="11537" max="11537" width="10" style="1581" customWidth="1"/>
    <col min="11538" max="11538" width="10.125" style="1581" customWidth="1"/>
    <col min="11539" max="11539" width="10" style="1581" customWidth="1"/>
    <col min="11540" max="11540" width="26.125" style="1581" customWidth="1"/>
    <col min="11541" max="11776" width="8.875" style="1581"/>
    <col min="11777" max="11777" width="9.5" style="1581" customWidth="1"/>
    <col min="11778" max="11778" width="8.875" style="1581"/>
    <col min="11779" max="11781" width="12.875" style="1581" customWidth="1"/>
    <col min="11782" max="11782" width="47.5" style="1581" customWidth="1"/>
    <col min="11783" max="11783" width="13" style="1581" customWidth="1"/>
    <col min="11784" max="11785" width="8.875" style="1581"/>
    <col min="11786" max="11786" width="5.75" style="1581" customWidth="1"/>
    <col min="11787" max="11787" width="11.75" style="1581" customWidth="1"/>
    <col min="11788" max="11789" width="10.75" style="1581" customWidth="1"/>
    <col min="11790" max="11790" width="10" style="1581" customWidth="1"/>
    <col min="11791" max="11792" width="10.5" style="1581" customWidth="1"/>
    <col min="11793" max="11793" width="10" style="1581" customWidth="1"/>
    <col min="11794" max="11794" width="10.125" style="1581" customWidth="1"/>
    <col min="11795" max="11795" width="10" style="1581" customWidth="1"/>
    <col min="11796" max="11796" width="26.125" style="1581" customWidth="1"/>
    <col min="11797" max="12032" width="8.875" style="1581"/>
    <col min="12033" max="12033" width="9.5" style="1581" customWidth="1"/>
    <col min="12034" max="12034" width="8.875" style="1581"/>
    <col min="12035" max="12037" width="12.875" style="1581" customWidth="1"/>
    <col min="12038" max="12038" width="47.5" style="1581" customWidth="1"/>
    <col min="12039" max="12039" width="13" style="1581" customWidth="1"/>
    <col min="12040" max="12041" width="8.875" style="1581"/>
    <col min="12042" max="12042" width="5.75" style="1581" customWidth="1"/>
    <col min="12043" max="12043" width="11.75" style="1581" customWidth="1"/>
    <col min="12044" max="12045" width="10.75" style="1581" customWidth="1"/>
    <col min="12046" max="12046" width="10" style="1581" customWidth="1"/>
    <col min="12047" max="12048" width="10.5" style="1581" customWidth="1"/>
    <col min="12049" max="12049" width="10" style="1581" customWidth="1"/>
    <col min="12050" max="12050" width="10.125" style="1581" customWidth="1"/>
    <col min="12051" max="12051" width="10" style="1581" customWidth="1"/>
    <col min="12052" max="12052" width="26.125" style="1581" customWidth="1"/>
    <col min="12053" max="12288" width="8.875" style="1581"/>
    <col min="12289" max="12289" width="9.5" style="1581" customWidth="1"/>
    <col min="12290" max="12290" width="8.875" style="1581"/>
    <col min="12291" max="12293" width="12.875" style="1581" customWidth="1"/>
    <col min="12294" max="12294" width="47.5" style="1581" customWidth="1"/>
    <col min="12295" max="12295" width="13" style="1581" customWidth="1"/>
    <col min="12296" max="12297" width="8.875" style="1581"/>
    <col min="12298" max="12298" width="5.75" style="1581" customWidth="1"/>
    <col min="12299" max="12299" width="11.75" style="1581" customWidth="1"/>
    <col min="12300" max="12301" width="10.75" style="1581" customWidth="1"/>
    <col min="12302" max="12302" width="10" style="1581" customWidth="1"/>
    <col min="12303" max="12304" width="10.5" style="1581" customWidth="1"/>
    <col min="12305" max="12305" width="10" style="1581" customWidth="1"/>
    <col min="12306" max="12306" width="10.125" style="1581" customWidth="1"/>
    <col min="12307" max="12307" width="10" style="1581" customWidth="1"/>
    <col min="12308" max="12308" width="26.125" style="1581" customWidth="1"/>
    <col min="12309" max="12544" width="8.875" style="1581"/>
    <col min="12545" max="12545" width="9.5" style="1581" customWidth="1"/>
    <col min="12546" max="12546" width="8.875" style="1581"/>
    <col min="12547" max="12549" width="12.875" style="1581" customWidth="1"/>
    <col min="12550" max="12550" width="47.5" style="1581" customWidth="1"/>
    <col min="12551" max="12551" width="13" style="1581" customWidth="1"/>
    <col min="12552" max="12553" width="8.875" style="1581"/>
    <col min="12554" max="12554" width="5.75" style="1581" customWidth="1"/>
    <col min="12555" max="12555" width="11.75" style="1581" customWidth="1"/>
    <col min="12556" max="12557" width="10.75" style="1581" customWidth="1"/>
    <col min="12558" max="12558" width="10" style="1581" customWidth="1"/>
    <col min="12559" max="12560" width="10.5" style="1581" customWidth="1"/>
    <col min="12561" max="12561" width="10" style="1581" customWidth="1"/>
    <col min="12562" max="12562" width="10.125" style="1581" customWidth="1"/>
    <col min="12563" max="12563" width="10" style="1581" customWidth="1"/>
    <col min="12564" max="12564" width="26.125" style="1581" customWidth="1"/>
    <col min="12565" max="12800" width="8.875" style="1581"/>
    <col min="12801" max="12801" width="9.5" style="1581" customWidth="1"/>
    <col min="12802" max="12802" width="8.875" style="1581"/>
    <col min="12803" max="12805" width="12.875" style="1581" customWidth="1"/>
    <col min="12806" max="12806" width="47.5" style="1581" customWidth="1"/>
    <col min="12807" max="12807" width="13" style="1581" customWidth="1"/>
    <col min="12808" max="12809" width="8.875" style="1581"/>
    <col min="12810" max="12810" width="5.75" style="1581" customWidth="1"/>
    <col min="12811" max="12811" width="11.75" style="1581" customWidth="1"/>
    <col min="12812" max="12813" width="10.75" style="1581" customWidth="1"/>
    <col min="12814" max="12814" width="10" style="1581" customWidth="1"/>
    <col min="12815" max="12816" width="10.5" style="1581" customWidth="1"/>
    <col min="12817" max="12817" width="10" style="1581" customWidth="1"/>
    <col min="12818" max="12818" width="10.125" style="1581" customWidth="1"/>
    <col min="12819" max="12819" width="10" style="1581" customWidth="1"/>
    <col min="12820" max="12820" width="26.125" style="1581" customWidth="1"/>
    <col min="12821" max="13056" width="8.875" style="1581"/>
    <col min="13057" max="13057" width="9.5" style="1581" customWidth="1"/>
    <col min="13058" max="13058" width="8.875" style="1581"/>
    <col min="13059" max="13061" width="12.875" style="1581" customWidth="1"/>
    <col min="13062" max="13062" width="47.5" style="1581" customWidth="1"/>
    <col min="13063" max="13063" width="13" style="1581" customWidth="1"/>
    <col min="13064" max="13065" width="8.875" style="1581"/>
    <col min="13066" max="13066" width="5.75" style="1581" customWidth="1"/>
    <col min="13067" max="13067" width="11.75" style="1581" customWidth="1"/>
    <col min="13068" max="13069" width="10.75" style="1581" customWidth="1"/>
    <col min="13070" max="13070" width="10" style="1581" customWidth="1"/>
    <col min="13071" max="13072" width="10.5" style="1581" customWidth="1"/>
    <col min="13073" max="13073" width="10" style="1581" customWidth="1"/>
    <col min="13074" max="13074" width="10.125" style="1581" customWidth="1"/>
    <col min="13075" max="13075" width="10" style="1581" customWidth="1"/>
    <col min="13076" max="13076" width="26.125" style="1581" customWidth="1"/>
    <col min="13077" max="13312" width="8.875" style="1581"/>
    <col min="13313" max="13313" width="9.5" style="1581" customWidth="1"/>
    <col min="13314" max="13314" width="8.875" style="1581"/>
    <col min="13315" max="13317" width="12.875" style="1581" customWidth="1"/>
    <col min="13318" max="13318" width="47.5" style="1581" customWidth="1"/>
    <col min="13319" max="13319" width="13" style="1581" customWidth="1"/>
    <col min="13320" max="13321" width="8.875" style="1581"/>
    <col min="13322" max="13322" width="5.75" style="1581" customWidth="1"/>
    <col min="13323" max="13323" width="11.75" style="1581" customWidth="1"/>
    <col min="13324" max="13325" width="10.75" style="1581" customWidth="1"/>
    <col min="13326" max="13326" width="10" style="1581" customWidth="1"/>
    <col min="13327" max="13328" width="10.5" style="1581" customWidth="1"/>
    <col min="13329" max="13329" width="10" style="1581" customWidth="1"/>
    <col min="13330" max="13330" width="10.125" style="1581" customWidth="1"/>
    <col min="13331" max="13331" width="10" style="1581" customWidth="1"/>
    <col min="13332" max="13332" width="26.125" style="1581" customWidth="1"/>
    <col min="13333" max="13568" width="8.875" style="1581"/>
    <col min="13569" max="13569" width="9.5" style="1581" customWidth="1"/>
    <col min="13570" max="13570" width="8.875" style="1581"/>
    <col min="13571" max="13573" width="12.875" style="1581" customWidth="1"/>
    <col min="13574" max="13574" width="47.5" style="1581" customWidth="1"/>
    <col min="13575" max="13575" width="13" style="1581" customWidth="1"/>
    <col min="13576" max="13577" width="8.875" style="1581"/>
    <col min="13578" max="13578" width="5.75" style="1581" customWidth="1"/>
    <col min="13579" max="13579" width="11.75" style="1581" customWidth="1"/>
    <col min="13580" max="13581" width="10.75" style="1581" customWidth="1"/>
    <col min="13582" max="13582" width="10" style="1581" customWidth="1"/>
    <col min="13583" max="13584" width="10.5" style="1581" customWidth="1"/>
    <col min="13585" max="13585" width="10" style="1581" customWidth="1"/>
    <col min="13586" max="13586" width="10.125" style="1581" customWidth="1"/>
    <col min="13587" max="13587" width="10" style="1581" customWidth="1"/>
    <col min="13588" max="13588" width="26.125" style="1581" customWidth="1"/>
    <col min="13589" max="13824" width="8.875" style="1581"/>
    <col min="13825" max="13825" width="9.5" style="1581" customWidth="1"/>
    <col min="13826" max="13826" width="8.875" style="1581"/>
    <col min="13827" max="13829" width="12.875" style="1581" customWidth="1"/>
    <col min="13830" max="13830" width="47.5" style="1581" customWidth="1"/>
    <col min="13831" max="13831" width="13" style="1581" customWidth="1"/>
    <col min="13832" max="13833" width="8.875" style="1581"/>
    <col min="13834" max="13834" width="5.75" style="1581" customWidth="1"/>
    <col min="13835" max="13835" width="11.75" style="1581" customWidth="1"/>
    <col min="13836" max="13837" width="10.75" style="1581" customWidth="1"/>
    <col min="13838" max="13838" width="10" style="1581" customWidth="1"/>
    <col min="13839" max="13840" width="10.5" style="1581" customWidth="1"/>
    <col min="13841" max="13841" width="10" style="1581" customWidth="1"/>
    <col min="13842" max="13842" width="10.125" style="1581" customWidth="1"/>
    <col min="13843" max="13843" width="10" style="1581" customWidth="1"/>
    <col min="13844" max="13844" width="26.125" style="1581" customWidth="1"/>
    <col min="13845" max="14080" width="8.875" style="1581"/>
    <col min="14081" max="14081" width="9.5" style="1581" customWidth="1"/>
    <col min="14082" max="14082" width="8.875" style="1581"/>
    <col min="14083" max="14085" width="12.875" style="1581" customWidth="1"/>
    <col min="14086" max="14086" width="47.5" style="1581" customWidth="1"/>
    <col min="14087" max="14087" width="13" style="1581" customWidth="1"/>
    <col min="14088" max="14089" width="8.875" style="1581"/>
    <col min="14090" max="14090" width="5.75" style="1581" customWidth="1"/>
    <col min="14091" max="14091" width="11.75" style="1581" customWidth="1"/>
    <col min="14092" max="14093" width="10.75" style="1581" customWidth="1"/>
    <col min="14094" max="14094" width="10" style="1581" customWidth="1"/>
    <col min="14095" max="14096" width="10.5" style="1581" customWidth="1"/>
    <col min="14097" max="14097" width="10" style="1581" customWidth="1"/>
    <col min="14098" max="14098" width="10.125" style="1581" customWidth="1"/>
    <col min="14099" max="14099" width="10" style="1581" customWidth="1"/>
    <col min="14100" max="14100" width="26.125" style="1581" customWidth="1"/>
    <col min="14101" max="14336" width="8.875" style="1581"/>
    <col min="14337" max="14337" width="9.5" style="1581" customWidth="1"/>
    <col min="14338" max="14338" width="8.875" style="1581"/>
    <col min="14339" max="14341" width="12.875" style="1581" customWidth="1"/>
    <col min="14342" max="14342" width="47.5" style="1581" customWidth="1"/>
    <col min="14343" max="14343" width="13" style="1581" customWidth="1"/>
    <col min="14344" max="14345" width="8.875" style="1581"/>
    <col min="14346" max="14346" width="5.75" style="1581" customWidth="1"/>
    <col min="14347" max="14347" width="11.75" style="1581" customWidth="1"/>
    <col min="14348" max="14349" width="10.75" style="1581" customWidth="1"/>
    <col min="14350" max="14350" width="10" style="1581" customWidth="1"/>
    <col min="14351" max="14352" width="10.5" style="1581" customWidth="1"/>
    <col min="14353" max="14353" width="10" style="1581" customWidth="1"/>
    <col min="14354" max="14354" width="10.125" style="1581" customWidth="1"/>
    <col min="14355" max="14355" width="10" style="1581" customWidth="1"/>
    <col min="14356" max="14356" width="26.125" style="1581" customWidth="1"/>
    <col min="14357" max="14592" width="8.875" style="1581"/>
    <col min="14593" max="14593" width="9.5" style="1581" customWidth="1"/>
    <col min="14594" max="14594" width="8.875" style="1581"/>
    <col min="14595" max="14597" width="12.875" style="1581" customWidth="1"/>
    <col min="14598" max="14598" width="47.5" style="1581" customWidth="1"/>
    <col min="14599" max="14599" width="13" style="1581" customWidth="1"/>
    <col min="14600" max="14601" width="8.875" style="1581"/>
    <col min="14602" max="14602" width="5.75" style="1581" customWidth="1"/>
    <col min="14603" max="14603" width="11.75" style="1581" customWidth="1"/>
    <col min="14604" max="14605" width="10.75" style="1581" customWidth="1"/>
    <col min="14606" max="14606" width="10" style="1581" customWidth="1"/>
    <col min="14607" max="14608" width="10.5" style="1581" customWidth="1"/>
    <col min="14609" max="14609" width="10" style="1581" customWidth="1"/>
    <col min="14610" max="14610" width="10.125" style="1581" customWidth="1"/>
    <col min="14611" max="14611" width="10" style="1581" customWidth="1"/>
    <col min="14612" max="14612" width="26.125" style="1581" customWidth="1"/>
    <col min="14613" max="14848" width="8.875" style="1581"/>
    <col min="14849" max="14849" width="9.5" style="1581" customWidth="1"/>
    <col min="14850" max="14850" width="8.875" style="1581"/>
    <col min="14851" max="14853" width="12.875" style="1581" customWidth="1"/>
    <col min="14854" max="14854" width="47.5" style="1581" customWidth="1"/>
    <col min="14855" max="14855" width="13" style="1581" customWidth="1"/>
    <col min="14856" max="14857" width="8.875" style="1581"/>
    <col min="14858" max="14858" width="5.75" style="1581" customWidth="1"/>
    <col min="14859" max="14859" width="11.75" style="1581" customWidth="1"/>
    <col min="14860" max="14861" width="10.75" style="1581" customWidth="1"/>
    <col min="14862" max="14862" width="10" style="1581" customWidth="1"/>
    <col min="14863" max="14864" width="10.5" style="1581" customWidth="1"/>
    <col min="14865" max="14865" width="10" style="1581" customWidth="1"/>
    <col min="14866" max="14866" width="10.125" style="1581" customWidth="1"/>
    <col min="14867" max="14867" width="10" style="1581" customWidth="1"/>
    <col min="14868" max="14868" width="26.125" style="1581" customWidth="1"/>
    <col min="14869" max="15104" width="8.875" style="1581"/>
    <col min="15105" max="15105" width="9.5" style="1581" customWidth="1"/>
    <col min="15106" max="15106" width="8.875" style="1581"/>
    <col min="15107" max="15109" width="12.875" style="1581" customWidth="1"/>
    <col min="15110" max="15110" width="47.5" style="1581" customWidth="1"/>
    <col min="15111" max="15111" width="13" style="1581" customWidth="1"/>
    <col min="15112" max="15113" width="8.875" style="1581"/>
    <col min="15114" max="15114" width="5.75" style="1581" customWidth="1"/>
    <col min="15115" max="15115" width="11.75" style="1581" customWidth="1"/>
    <col min="15116" max="15117" width="10.75" style="1581" customWidth="1"/>
    <col min="15118" max="15118" width="10" style="1581" customWidth="1"/>
    <col min="15119" max="15120" width="10.5" style="1581" customWidth="1"/>
    <col min="15121" max="15121" width="10" style="1581" customWidth="1"/>
    <col min="15122" max="15122" width="10.125" style="1581" customWidth="1"/>
    <col min="15123" max="15123" width="10" style="1581" customWidth="1"/>
    <col min="15124" max="15124" width="26.125" style="1581" customWidth="1"/>
    <col min="15125" max="15360" width="8.875" style="1581"/>
    <col min="15361" max="15361" width="9.5" style="1581" customWidth="1"/>
    <col min="15362" max="15362" width="8.875" style="1581"/>
    <col min="15363" max="15365" width="12.875" style="1581" customWidth="1"/>
    <col min="15366" max="15366" width="47.5" style="1581" customWidth="1"/>
    <col min="15367" max="15367" width="13" style="1581" customWidth="1"/>
    <col min="15368" max="15369" width="8.875" style="1581"/>
    <col min="15370" max="15370" width="5.75" style="1581" customWidth="1"/>
    <col min="15371" max="15371" width="11.75" style="1581" customWidth="1"/>
    <col min="15372" max="15373" width="10.75" style="1581" customWidth="1"/>
    <col min="15374" max="15374" width="10" style="1581" customWidth="1"/>
    <col min="15375" max="15376" width="10.5" style="1581" customWidth="1"/>
    <col min="15377" max="15377" width="10" style="1581" customWidth="1"/>
    <col min="15378" max="15378" width="10.125" style="1581" customWidth="1"/>
    <col min="15379" max="15379" width="10" style="1581" customWidth="1"/>
    <col min="15380" max="15380" width="26.125" style="1581" customWidth="1"/>
    <col min="15381" max="15616" width="8.875" style="1581"/>
    <col min="15617" max="15617" width="9.5" style="1581" customWidth="1"/>
    <col min="15618" max="15618" width="8.875" style="1581"/>
    <col min="15619" max="15621" width="12.875" style="1581" customWidth="1"/>
    <col min="15622" max="15622" width="47.5" style="1581" customWidth="1"/>
    <col min="15623" max="15623" width="13" style="1581" customWidth="1"/>
    <col min="15624" max="15625" width="8.875" style="1581"/>
    <col min="15626" max="15626" width="5.75" style="1581" customWidth="1"/>
    <col min="15627" max="15627" width="11.75" style="1581" customWidth="1"/>
    <col min="15628" max="15629" width="10.75" style="1581" customWidth="1"/>
    <col min="15630" max="15630" width="10" style="1581" customWidth="1"/>
    <col min="15631" max="15632" width="10.5" style="1581" customWidth="1"/>
    <col min="15633" max="15633" width="10" style="1581" customWidth="1"/>
    <col min="15634" max="15634" width="10.125" style="1581" customWidth="1"/>
    <col min="15635" max="15635" width="10" style="1581" customWidth="1"/>
    <col min="15636" max="15636" width="26.125" style="1581" customWidth="1"/>
    <col min="15637" max="15872" width="8.875" style="1581"/>
    <col min="15873" max="15873" width="9.5" style="1581" customWidth="1"/>
    <col min="15874" max="15874" width="8.875" style="1581"/>
    <col min="15875" max="15877" width="12.875" style="1581" customWidth="1"/>
    <col min="15878" max="15878" width="47.5" style="1581" customWidth="1"/>
    <col min="15879" max="15879" width="13" style="1581" customWidth="1"/>
    <col min="15880" max="15881" width="8.875" style="1581"/>
    <col min="15882" max="15882" width="5.75" style="1581" customWidth="1"/>
    <col min="15883" max="15883" width="11.75" style="1581" customWidth="1"/>
    <col min="15884" max="15885" width="10.75" style="1581" customWidth="1"/>
    <col min="15886" max="15886" width="10" style="1581" customWidth="1"/>
    <col min="15887" max="15888" width="10.5" style="1581" customWidth="1"/>
    <col min="15889" max="15889" width="10" style="1581" customWidth="1"/>
    <col min="15890" max="15890" width="10.125" style="1581" customWidth="1"/>
    <col min="15891" max="15891" width="10" style="1581" customWidth="1"/>
    <col min="15892" max="15892" width="26.125" style="1581" customWidth="1"/>
    <col min="15893" max="16128" width="8.875" style="1581"/>
    <col min="16129" max="16129" width="9.5" style="1581" customWidth="1"/>
    <col min="16130" max="16130" width="8.875" style="1581"/>
    <col min="16131" max="16133" width="12.875" style="1581" customWidth="1"/>
    <col min="16134" max="16134" width="47.5" style="1581" customWidth="1"/>
    <col min="16135" max="16135" width="13" style="1581" customWidth="1"/>
    <col min="16136" max="16137" width="8.875" style="1581"/>
    <col min="16138" max="16138" width="5.75" style="1581" customWidth="1"/>
    <col min="16139" max="16139" width="11.75" style="1581" customWidth="1"/>
    <col min="16140" max="16141" width="10.75" style="1581" customWidth="1"/>
    <col min="16142" max="16142" width="10" style="1581" customWidth="1"/>
    <col min="16143" max="16144" width="10.5" style="1581" customWidth="1"/>
    <col min="16145" max="16145" width="10" style="1581" customWidth="1"/>
    <col min="16146" max="16146" width="10.125" style="1581" customWidth="1"/>
    <col min="16147" max="16147" width="10" style="1581" customWidth="1"/>
    <col min="16148" max="16148" width="26.125" style="1581" customWidth="1"/>
    <col min="16149" max="16384" width="8.875" style="1581"/>
  </cols>
  <sheetData>
    <row r="1" spans="1:22" ht="21" customHeight="1">
      <c r="A1" s="1586" t="s">
        <v>1376</v>
      </c>
      <c r="B1" s="1587"/>
      <c r="C1" s="1588"/>
      <c r="D1" s="1588"/>
      <c r="E1" s="1589"/>
      <c r="F1" s="1590"/>
      <c r="G1" s="1591"/>
      <c r="J1" s="1691" t="s">
        <v>1377</v>
      </c>
      <c r="K1" s="1692"/>
      <c r="L1" s="1692"/>
      <c r="M1" s="1692"/>
      <c r="N1" s="1692"/>
      <c r="O1" s="1692"/>
      <c r="P1" s="1692"/>
      <c r="Q1" s="1692"/>
      <c r="R1" s="1731"/>
      <c r="S1" s="1732"/>
      <c r="T1" s="1732"/>
      <c r="U1" s="1732"/>
    </row>
    <row r="2" spans="1:22" s="1579" customFormat="1" ht="13.15" customHeight="1">
      <c r="A2" s="1592" t="s">
        <v>1111</v>
      </c>
      <c r="B2" s="1593" t="e">
        <f>C40</f>
        <v>#DIV/0!</v>
      </c>
      <c r="C2" s="1588" t="s">
        <v>1112</v>
      </c>
      <c r="D2" s="1588"/>
      <c r="E2" s="1594"/>
      <c r="F2" s="1595"/>
      <c r="G2" s="1596"/>
      <c r="H2" s="1597"/>
      <c r="I2" s="1693"/>
      <c r="J2" s="3483" t="s">
        <v>1378</v>
      </c>
      <c r="K2" s="3484"/>
      <c r="L2" s="1694" t="s">
        <v>1379</v>
      </c>
      <c r="M2" s="1694" t="s">
        <v>1380</v>
      </c>
      <c r="N2" s="1694" t="s">
        <v>1381</v>
      </c>
      <c r="O2" s="1694" t="s">
        <v>1382</v>
      </c>
      <c r="P2" s="1694" t="s">
        <v>1383</v>
      </c>
      <c r="Q2" s="1733" t="s">
        <v>1384</v>
      </c>
      <c r="R2" s="1734" t="s">
        <v>1385</v>
      </c>
      <c r="S2" s="1732"/>
      <c r="T2" s="1732"/>
      <c r="U2" s="1732"/>
      <c r="V2" s="1693"/>
    </row>
    <row r="3" spans="1:22" s="1579" customFormat="1" ht="13.15" customHeight="1">
      <c r="A3" s="1598" t="s">
        <v>1113</v>
      </c>
      <c r="B3" s="1599" t="e">
        <f>ROUND(B2*10000/B4,0)</f>
        <v>#DIV/0!</v>
      </c>
      <c r="C3" s="1588" t="s">
        <v>1114</v>
      </c>
      <c r="D3" s="1588"/>
      <c r="E3" s="1594"/>
      <c r="F3" s="1595"/>
      <c r="G3" s="1596"/>
      <c r="H3" s="1597"/>
      <c r="I3" s="1693"/>
      <c r="J3" s="3477" t="s">
        <v>1386</v>
      </c>
      <c r="K3" s="3478"/>
      <c r="L3" s="1695"/>
      <c r="M3" s="1695"/>
      <c r="N3" s="1695"/>
      <c r="O3" s="1695"/>
      <c r="P3" s="1695"/>
      <c r="Q3" s="1735"/>
      <c r="R3" s="1736">
        <f>SUM(L3:Q3)</f>
        <v>0</v>
      </c>
      <c r="S3" s="1732"/>
      <c r="T3" s="1732"/>
      <c r="U3" s="1732"/>
      <c r="V3" s="1693"/>
    </row>
    <row r="4" spans="1:22" s="1579" customFormat="1" ht="13.15" customHeight="1">
      <c r="A4" s="1600" t="s">
        <v>422</v>
      </c>
      <c r="B4" s="1601"/>
      <c r="C4" s="1588"/>
      <c r="D4" s="1588"/>
      <c r="E4" s="1594"/>
      <c r="F4" s="1595"/>
      <c r="G4" s="1596"/>
      <c r="H4" s="1597"/>
      <c r="I4" s="1693"/>
      <c r="J4" s="3477" t="s">
        <v>1387</v>
      </c>
      <c r="K4" s="3478"/>
      <c r="L4" s="1696"/>
      <c r="M4" s="1696"/>
      <c r="N4" s="1696"/>
      <c r="O4" s="1696"/>
      <c r="P4" s="1696"/>
      <c r="Q4" s="1737"/>
      <c r="R4" s="1738">
        <f>SUM(L4:Q4)</f>
        <v>0</v>
      </c>
      <c r="S4" s="1732"/>
      <c r="T4" s="1732"/>
      <c r="U4" s="1732"/>
      <c r="V4" s="1693"/>
    </row>
    <row r="5" spans="1:22" s="1579" customFormat="1" ht="13.15" customHeight="1">
      <c r="A5" s="1602" t="s">
        <v>423</v>
      </c>
      <c r="B5" s="1603"/>
      <c r="C5" s="1588"/>
      <c r="D5" s="1604"/>
      <c r="E5" s="1595"/>
      <c r="F5" s="1595"/>
      <c r="G5" s="1596"/>
      <c r="H5" s="1597"/>
      <c r="I5" s="1693"/>
      <c r="J5" s="1697" t="s">
        <v>1388</v>
      </c>
      <c r="K5" s="1698"/>
      <c r="L5" s="1698"/>
      <c r="M5" s="1699"/>
      <c r="N5" s="1699"/>
      <c r="O5" s="1699"/>
      <c r="P5" s="1699"/>
      <c r="Q5" s="1699"/>
      <c r="R5" s="1734">
        <f>SUM(R14,R19,R24,R25,R27,R28)</f>
        <v>0</v>
      </c>
      <c r="S5" s="1732"/>
      <c r="T5" s="1732" t="s">
        <v>1389</v>
      </c>
      <c r="U5" s="1732" t="e">
        <f>ROUND(R5*10000/365/R3,1)</f>
        <v>#DIV/0!</v>
      </c>
      <c r="V5" s="1693"/>
    </row>
    <row r="6" spans="1:22" s="1579" customFormat="1" ht="13.15" customHeight="1">
      <c r="A6" s="3487" t="s">
        <v>1390</v>
      </c>
      <c r="B6" s="3488"/>
      <c r="C6" s="3489"/>
      <c r="D6" s="1605"/>
      <c r="E6" s="1606"/>
      <c r="F6" s="1607"/>
      <c r="G6" s="1608"/>
      <c r="H6" s="1597"/>
      <c r="I6" s="1693"/>
      <c r="J6" s="3471">
        <v>1</v>
      </c>
      <c r="K6" s="3474" t="s">
        <v>1391</v>
      </c>
      <c r="L6" s="1701" t="s">
        <v>1392</v>
      </c>
      <c r="M6" s="1702" t="s">
        <v>1393</v>
      </c>
      <c r="N6" s="1702" t="s">
        <v>1394</v>
      </c>
      <c r="O6" s="1702" t="s">
        <v>1395</v>
      </c>
      <c r="P6" s="1702" t="s">
        <v>1396</v>
      </c>
      <c r="Q6" s="1702" t="s">
        <v>1397</v>
      </c>
      <c r="R6" s="1736" t="s">
        <v>1398</v>
      </c>
      <c r="S6" s="1732"/>
      <c r="T6" s="1732" t="s">
        <v>1399</v>
      </c>
      <c r="U6" s="1732"/>
      <c r="V6" s="1693"/>
    </row>
    <row r="7" spans="1:22" s="1579" customFormat="1" ht="13.15" customHeight="1">
      <c r="A7" s="1609" t="s">
        <v>1400</v>
      </c>
      <c r="B7" s="1610"/>
      <c r="C7" s="1611"/>
      <c r="D7" s="1612">
        <f>SUM(D9,D10,D11,D17,0)</f>
        <v>0</v>
      </c>
      <c r="E7" s="1613" t="e">
        <f>E9+E10+E11+E17</f>
        <v>#DIV/0!</v>
      </c>
      <c r="F7" s="1614"/>
      <c r="G7" s="1615"/>
      <c r="H7" s="1597"/>
      <c r="I7" s="1693"/>
      <c r="J7" s="3471"/>
      <c r="K7" s="3475"/>
      <c r="L7" s="1703" t="s">
        <v>1401</v>
      </c>
      <c r="M7" s="1704"/>
      <c r="N7" s="1601"/>
      <c r="O7" s="1705"/>
      <c r="P7" s="1705"/>
      <c r="Q7" s="1634">
        <v>365</v>
      </c>
      <c r="R7" s="1739">
        <f>ROUND(M7*N7*O7*P7*Q7/10000,0)</f>
        <v>0</v>
      </c>
      <c r="S7" s="1732"/>
      <c r="T7" s="1732" t="s">
        <v>1402</v>
      </c>
      <c r="U7" s="1732"/>
      <c r="V7" s="1693"/>
    </row>
    <row r="8" spans="1:22" s="1579" customFormat="1" ht="13.15" customHeight="1">
      <c r="A8" s="1616" t="s">
        <v>1403</v>
      </c>
      <c r="B8" s="3485" t="s">
        <v>1404</v>
      </c>
      <c r="C8" s="3486"/>
      <c r="D8" s="1619" t="s">
        <v>1405</v>
      </c>
      <c r="E8" s="1620" t="s">
        <v>1406</v>
      </c>
      <c r="F8" s="1621" t="s">
        <v>1407</v>
      </c>
      <c r="G8" s="1622"/>
      <c r="H8" s="1597"/>
      <c r="I8" s="1693"/>
      <c r="J8" s="3471"/>
      <c r="K8" s="3475"/>
      <c r="L8" s="1703" t="s">
        <v>1408</v>
      </c>
      <c r="M8" s="1704"/>
      <c r="N8" s="1601"/>
      <c r="O8" s="1705"/>
      <c r="P8" s="1705"/>
      <c r="Q8" s="1634">
        <v>365</v>
      </c>
      <c r="R8" s="1739">
        <f t="shared" ref="R8:R13" si="0">ROUND(M8*N8*O8*P8*Q8/10000,0)</f>
        <v>0</v>
      </c>
      <c r="S8" s="1732"/>
      <c r="T8" s="1732" t="s">
        <v>1409</v>
      </c>
      <c r="U8" s="1732"/>
      <c r="V8" s="1693"/>
    </row>
    <row r="9" spans="1:22" s="1579" customFormat="1" ht="13.15" customHeight="1">
      <c r="A9" s="1616">
        <v>1</v>
      </c>
      <c r="B9" s="3485" t="s">
        <v>1410</v>
      </c>
      <c r="C9" s="3486"/>
      <c r="D9" s="1619">
        <f>ROUND(D6*E9,0)</f>
        <v>0</v>
      </c>
      <c r="E9" s="1623"/>
      <c r="F9" s="1624" t="s">
        <v>1411</v>
      </c>
      <c r="G9" s="1608"/>
      <c r="H9" s="1597"/>
      <c r="I9" s="1693"/>
      <c r="J9" s="3471"/>
      <c r="K9" s="3475"/>
      <c r="L9" s="1703" t="s">
        <v>1412</v>
      </c>
      <c r="M9" s="1704"/>
      <c r="N9" s="1601"/>
      <c r="O9" s="1705"/>
      <c r="P9" s="1705"/>
      <c r="Q9" s="1634">
        <v>365</v>
      </c>
      <c r="R9" s="1739">
        <f t="shared" si="0"/>
        <v>0</v>
      </c>
      <c r="S9" s="1732"/>
      <c r="T9" s="1732"/>
      <c r="U9" s="1732"/>
      <c r="V9" s="1693"/>
    </row>
    <row r="10" spans="1:22" s="1579" customFormat="1" ht="13.15" customHeight="1">
      <c r="A10" s="1616">
        <v>2</v>
      </c>
      <c r="B10" s="3485" t="s">
        <v>1413</v>
      </c>
      <c r="C10" s="3486"/>
      <c r="D10" s="1619">
        <f>ROUND(D6*E10,0)</f>
        <v>0</v>
      </c>
      <c r="E10" s="1623"/>
      <c r="F10" s="1624" t="s">
        <v>1414</v>
      </c>
      <c r="G10" s="1608"/>
      <c r="H10" s="1597"/>
      <c r="I10" s="1693"/>
      <c r="J10" s="3471"/>
      <c r="K10" s="3475"/>
      <c r="L10" s="1703" t="s">
        <v>1415</v>
      </c>
      <c r="M10" s="1704"/>
      <c r="N10" s="1601"/>
      <c r="O10" s="1705"/>
      <c r="P10" s="1705"/>
      <c r="Q10" s="1634">
        <v>365</v>
      </c>
      <c r="R10" s="1739">
        <f t="shared" si="0"/>
        <v>0</v>
      </c>
      <c r="S10" s="1732"/>
      <c r="T10" s="1732"/>
      <c r="U10" s="1732"/>
      <c r="V10" s="1693"/>
    </row>
    <row r="11" spans="1:22" s="1579" customFormat="1" ht="13.15" customHeight="1">
      <c r="A11" s="1616">
        <v>3</v>
      </c>
      <c r="B11" s="3485" t="s">
        <v>1416</v>
      </c>
      <c r="C11" s="3486"/>
      <c r="D11" s="1619">
        <f>D12+D14+D15+D16</f>
        <v>0</v>
      </c>
      <c r="E11" s="1625" t="e">
        <f>D11/D6</f>
        <v>#DIV/0!</v>
      </c>
      <c r="F11" s="1621"/>
      <c r="G11" s="1622"/>
      <c r="H11" s="1597"/>
      <c r="I11" s="1693"/>
      <c r="J11" s="3471"/>
      <c r="K11" s="3475"/>
      <c r="L11" s="1703" t="s">
        <v>1417</v>
      </c>
      <c r="M11" s="1704"/>
      <c r="N11" s="1601"/>
      <c r="O11" s="1705"/>
      <c r="P11" s="1705"/>
      <c r="Q11" s="1634">
        <v>365</v>
      </c>
      <c r="R11" s="1739">
        <f t="shared" si="0"/>
        <v>0</v>
      </c>
      <c r="S11" s="1732"/>
      <c r="T11" s="1732"/>
      <c r="U11" s="1732"/>
      <c r="V11" s="1693"/>
    </row>
    <row r="12" spans="1:22" s="1579" customFormat="1" ht="13.15" customHeight="1">
      <c r="A12" s="1626" t="s">
        <v>1418</v>
      </c>
      <c r="B12" s="3479" t="s">
        <v>1419</v>
      </c>
      <c r="C12" s="3480"/>
      <c r="D12" s="1629">
        <f>ROUND(D13*1.2%*(1-30%),0)</f>
        <v>0</v>
      </c>
      <c r="E12" s="1630">
        <v>1.2E-2</v>
      </c>
      <c r="F12" s="1621" t="s">
        <v>1420</v>
      </c>
      <c r="G12" s="1622"/>
      <c r="H12" s="1597"/>
      <c r="I12" s="1693"/>
      <c r="J12" s="3471"/>
      <c r="K12" s="3475"/>
      <c r="L12" s="1703" t="s">
        <v>1421</v>
      </c>
      <c r="M12" s="1704"/>
      <c r="N12" s="1601"/>
      <c r="O12" s="1705"/>
      <c r="P12" s="1705"/>
      <c r="Q12" s="1634">
        <v>365</v>
      </c>
      <c r="R12" s="1739">
        <f t="shared" si="0"/>
        <v>0</v>
      </c>
      <c r="S12" s="1732"/>
      <c r="T12" s="1732"/>
      <c r="U12" s="1732"/>
      <c r="V12" s="1693"/>
    </row>
    <row r="13" spans="1:22" s="1579" customFormat="1" ht="13.15" customHeight="1">
      <c r="A13" s="1626"/>
      <c r="B13" s="1627"/>
      <c r="C13" s="1631" t="s">
        <v>1422</v>
      </c>
      <c r="D13" s="1632"/>
      <c r="E13" s="1633"/>
      <c r="F13" s="1621"/>
      <c r="G13" s="1622"/>
      <c r="H13" s="1597"/>
      <c r="I13" s="1693"/>
      <c r="J13" s="3471"/>
      <c r="K13" s="3475"/>
      <c r="L13" s="1703" t="s">
        <v>1423</v>
      </c>
      <c r="M13" s="1704"/>
      <c r="N13" s="1601"/>
      <c r="O13" s="1705"/>
      <c r="P13" s="1705"/>
      <c r="Q13" s="1634">
        <v>365</v>
      </c>
      <c r="R13" s="1739">
        <f t="shared" si="0"/>
        <v>0</v>
      </c>
      <c r="S13" s="1732"/>
      <c r="T13" s="1732"/>
      <c r="U13" s="1732"/>
      <c r="V13" s="1693"/>
    </row>
    <row r="14" spans="1:22" s="1579" customFormat="1" ht="13.15" customHeight="1">
      <c r="A14" s="1626" t="s">
        <v>1424</v>
      </c>
      <c r="B14" s="3479" t="s">
        <v>1425</v>
      </c>
      <c r="C14" s="3480"/>
      <c r="D14" s="1629">
        <f>ROUND(E14*B5/10000,0)</f>
        <v>0</v>
      </c>
      <c r="E14" s="1634"/>
      <c r="F14" s="1621" t="s">
        <v>1426</v>
      </c>
      <c r="G14" s="1622"/>
      <c r="H14" s="1597"/>
      <c r="I14" s="1693"/>
      <c r="J14" s="3471"/>
      <c r="K14" s="3476"/>
      <c r="L14" s="1706" t="s">
        <v>1427</v>
      </c>
      <c r="M14" s="1707">
        <f>SUM(M7:M13)</f>
        <v>0</v>
      </c>
      <c r="N14" s="1707" t="e">
        <f>ROUND((N7*M7+N8*M8+N9*M9+N10*M10+N11*M11+N12*M12+N13*M13)/M14,0)</f>
        <v>#DIV/0!</v>
      </c>
      <c r="O14" s="1708"/>
      <c r="P14" s="1708"/>
      <c r="Q14" s="1740"/>
      <c r="R14" s="1734">
        <f>SUM(R7:R13)</f>
        <v>0</v>
      </c>
      <c r="S14" s="1732"/>
      <c r="T14" s="1732"/>
      <c r="U14" s="1732"/>
      <c r="V14" s="1693"/>
    </row>
    <row r="15" spans="1:22" s="1579" customFormat="1" ht="13.15" customHeight="1">
      <c r="A15" s="1626" t="s">
        <v>1428</v>
      </c>
      <c r="B15" s="3479" t="s">
        <v>1429</v>
      </c>
      <c r="C15" s="3480"/>
      <c r="D15" s="1629">
        <f>ROUND(D6*E15,0)</f>
        <v>0</v>
      </c>
      <c r="E15" s="1630">
        <v>5.5E-2</v>
      </c>
      <c r="F15" s="1621" t="s">
        <v>1430</v>
      </c>
      <c r="G15" s="1608"/>
      <c r="H15" s="1597"/>
      <c r="I15" s="1693"/>
      <c r="J15" s="3471">
        <v>2</v>
      </c>
      <c r="K15" s="3474" t="s">
        <v>1431</v>
      </c>
      <c r="L15" s="1703" t="s">
        <v>1432</v>
      </c>
      <c r="M15" s="1704" t="s">
        <v>1433</v>
      </c>
      <c r="N15" s="1704" t="s">
        <v>1434</v>
      </c>
      <c r="O15" s="1705" t="s">
        <v>1435</v>
      </c>
      <c r="P15" s="1705" t="s">
        <v>1397</v>
      </c>
      <c r="Q15" s="1601" t="s">
        <v>124</v>
      </c>
      <c r="R15" s="1741" t="s">
        <v>1398</v>
      </c>
      <c r="S15" s="1732"/>
      <c r="T15" s="1732"/>
      <c r="U15" s="1732"/>
      <c r="V15" s="1693"/>
    </row>
    <row r="16" spans="1:22" s="1579" customFormat="1" ht="13.15" customHeight="1">
      <c r="A16" s="1626" t="s">
        <v>1436</v>
      </c>
      <c r="B16" s="3479" t="s">
        <v>1437</v>
      </c>
      <c r="C16" s="3480"/>
      <c r="D16" s="1635">
        <f>D6*E16</f>
        <v>0</v>
      </c>
      <c r="E16" s="1636"/>
      <c r="F16" s="1624" t="s">
        <v>1438</v>
      </c>
      <c r="G16" s="1608"/>
      <c r="H16" s="1597"/>
      <c r="I16" s="1693"/>
      <c r="J16" s="3471"/>
      <c r="K16" s="3475"/>
      <c r="L16" s="1703" t="s">
        <v>1439</v>
      </c>
      <c r="M16" s="1704"/>
      <c r="N16" s="1704"/>
      <c r="O16" s="1705"/>
      <c r="P16" s="1634">
        <v>365</v>
      </c>
      <c r="Q16" s="1601"/>
      <c r="R16" s="1741">
        <f>ROUND(M16*N16*O16*P16/10000,0)</f>
        <v>0</v>
      </c>
      <c r="S16" s="1732"/>
      <c r="T16" s="1732"/>
      <c r="U16" s="1732"/>
      <c r="V16" s="1693"/>
    </row>
    <row r="17" spans="1:22" s="1579" customFormat="1" ht="13.15" customHeight="1">
      <c r="A17" s="1637">
        <v>4</v>
      </c>
      <c r="B17" s="3481" t="s">
        <v>1440</v>
      </c>
      <c r="C17" s="3482"/>
      <c r="D17" s="1638">
        <f>ROUND(D6*E17,0)</f>
        <v>0</v>
      </c>
      <c r="E17" s="1639"/>
      <c r="F17" s="1640" t="s">
        <v>1441</v>
      </c>
      <c r="G17" s="1608"/>
      <c r="H17" s="1597"/>
      <c r="I17" s="1693"/>
      <c r="J17" s="3471"/>
      <c r="K17" s="3475"/>
      <c r="L17" s="1703" t="s">
        <v>1442</v>
      </c>
      <c r="M17" s="1704"/>
      <c r="N17" s="1704"/>
      <c r="O17" s="1705"/>
      <c r="P17" s="1634">
        <v>365</v>
      </c>
      <c r="Q17" s="1601"/>
      <c r="R17" s="1741">
        <f>ROUND(M17*N17*O17*P17/10000,0)</f>
        <v>0</v>
      </c>
      <c r="S17" s="1732"/>
      <c r="T17" s="1732"/>
      <c r="U17" s="1732"/>
      <c r="V17" s="1693"/>
    </row>
    <row r="18" spans="1:22" s="1579" customFormat="1" ht="13.15" customHeight="1">
      <c r="A18" s="1609" t="s">
        <v>1443</v>
      </c>
      <c r="B18" s="1610"/>
      <c r="C18" s="1610"/>
      <c r="D18" s="1641">
        <f>ROUND(D6*E18,0)</f>
        <v>0</v>
      </c>
      <c r="E18" s="1642"/>
      <c r="F18" s="1643" t="s">
        <v>1444</v>
      </c>
      <c r="G18" s="1608"/>
      <c r="H18" s="1597"/>
      <c r="I18" s="1693"/>
      <c r="J18" s="3471"/>
      <c r="K18" s="3475"/>
      <c r="L18" s="1703" t="s">
        <v>1445</v>
      </c>
      <c r="M18" s="1704"/>
      <c r="N18" s="1704"/>
      <c r="O18" s="1705"/>
      <c r="P18" s="1634">
        <v>365</v>
      </c>
      <c r="Q18" s="1601"/>
      <c r="R18" s="1741">
        <f>ROUND(M18*N18*O18*P18/10000,0)</f>
        <v>0</v>
      </c>
      <c r="S18" s="1732"/>
      <c r="T18" s="1732"/>
      <c r="U18" s="1732"/>
      <c r="V18" s="1693"/>
    </row>
    <row r="19" spans="1:22" s="1579" customFormat="1" ht="13.15" customHeight="1">
      <c r="A19" s="1644" t="s">
        <v>1446</v>
      </c>
      <c r="B19" s="1606"/>
      <c r="C19" s="1606"/>
      <c r="D19" s="1606"/>
      <c r="E19" s="1606"/>
      <c r="F19" s="1607"/>
      <c r="G19" s="1622"/>
      <c r="H19" s="1597"/>
      <c r="I19" s="1693"/>
      <c r="J19" s="3471"/>
      <c r="K19" s="3476"/>
      <c r="L19" s="1706" t="s">
        <v>1427</v>
      </c>
      <c r="M19" s="1707"/>
      <c r="N19" s="1707">
        <f>SUM(N16:N18)</f>
        <v>0</v>
      </c>
      <c r="O19" s="1708"/>
      <c r="P19" s="1709" t="s">
        <v>1447</v>
      </c>
      <c r="Q19" s="1705">
        <v>0</v>
      </c>
      <c r="R19" s="1742">
        <f>ROUND(IF(P19="按比例",R14*Q19,SUM(R16:R18)),0)</f>
        <v>0</v>
      </c>
      <c r="S19" s="1732"/>
      <c r="T19" s="1732"/>
      <c r="U19" s="1732"/>
      <c r="V19" s="1693"/>
    </row>
    <row r="20" spans="1:22" s="1579" customFormat="1" ht="13.15" customHeight="1">
      <c r="A20" s="1609"/>
      <c r="B20" s="1610"/>
      <c r="C20" s="1610"/>
      <c r="D20" s="1610"/>
      <c r="E20" s="1610"/>
      <c r="F20" s="1645"/>
      <c r="G20" s="1622"/>
      <c r="H20" s="1597"/>
      <c r="I20" s="1693"/>
      <c r="J20" s="3471">
        <v>3</v>
      </c>
      <c r="K20" s="3474" t="s">
        <v>1448</v>
      </c>
      <c r="L20" s="1703" t="s">
        <v>1449</v>
      </c>
      <c r="M20" s="1704" t="s">
        <v>1450</v>
      </c>
      <c r="N20" s="1710" t="s">
        <v>1451</v>
      </c>
      <c r="O20" s="1705" t="s">
        <v>1452</v>
      </c>
      <c r="P20" s="1634" t="s">
        <v>1397</v>
      </c>
      <c r="Q20" s="1601" t="s">
        <v>124</v>
      </c>
      <c r="R20" s="1741" t="s">
        <v>1398</v>
      </c>
      <c r="S20" s="1729"/>
      <c r="T20" s="1729"/>
      <c r="U20" s="1729"/>
      <c r="V20" s="1693"/>
    </row>
    <row r="21" spans="1:22" s="1579" customFormat="1" ht="13.15" customHeight="1">
      <c r="A21" s="1609"/>
      <c r="B21" s="1610"/>
      <c r="C21" s="1617" t="s">
        <v>1453</v>
      </c>
      <c r="D21" s="1646" t="s">
        <v>1454</v>
      </c>
      <c r="E21" s="1618" t="s">
        <v>1455</v>
      </c>
      <c r="F21" s="1645"/>
      <c r="G21" s="1622"/>
      <c r="H21" s="1597"/>
      <c r="I21" s="1693"/>
      <c r="J21" s="3471"/>
      <c r="K21" s="3475"/>
      <c r="L21" s="1703" t="s">
        <v>1456</v>
      </c>
      <c r="M21" s="1704"/>
      <c r="N21" s="1704"/>
      <c r="O21" s="1705"/>
      <c r="P21" s="1634">
        <v>365</v>
      </c>
      <c r="Q21" s="1601"/>
      <c r="R21" s="1743">
        <f>ROUND(M21*N21*O21*P21/10000,0)</f>
        <v>0</v>
      </c>
      <c r="S21" s="1729"/>
      <c r="T21" s="1729"/>
      <c r="U21" s="1729"/>
      <c r="V21" s="1693"/>
    </row>
    <row r="22" spans="1:22" s="1579" customFormat="1" ht="13.15" customHeight="1">
      <c r="A22" s="1609"/>
      <c r="B22" s="1610"/>
      <c r="C22" s="1647" t="s">
        <v>1457</v>
      </c>
      <c r="D22" s="1648" t="s">
        <v>1458</v>
      </c>
      <c r="E22" s="1649" t="s">
        <v>1459</v>
      </c>
      <c r="F22" s="1645"/>
      <c r="G22" s="1650"/>
      <c r="H22" s="1597"/>
      <c r="I22" s="1693"/>
      <c r="J22" s="3471"/>
      <c r="K22" s="3475"/>
      <c r="L22" s="1703" t="s">
        <v>1460</v>
      </c>
      <c r="M22" s="1704"/>
      <c r="N22" s="1704"/>
      <c r="O22" s="1705"/>
      <c r="P22" s="1634">
        <v>365</v>
      </c>
      <c r="Q22" s="1601"/>
      <c r="R22" s="1743">
        <f>ROUND(M22*N22*O22*P22/10000,0)</f>
        <v>0</v>
      </c>
      <c r="S22" s="1729"/>
      <c r="T22" s="1729"/>
      <c r="U22" s="1729"/>
      <c r="V22" s="1693"/>
    </row>
    <row r="23" spans="1:22" s="1579" customFormat="1" ht="13.15" customHeight="1">
      <c r="A23" s="1651">
        <v>1</v>
      </c>
      <c r="B23" s="1652" t="s">
        <v>1461</v>
      </c>
      <c r="C23" s="1653">
        <f>D6</f>
        <v>0</v>
      </c>
      <c r="D23" s="1654">
        <f>C23*(1+D24)</f>
        <v>0</v>
      </c>
      <c r="E23" s="1655">
        <f>D23*(1+E24)</f>
        <v>0</v>
      </c>
      <c r="F23" s="1656"/>
      <c r="G23" s="1657"/>
      <c r="H23" s="1597"/>
      <c r="I23" s="1693"/>
      <c r="J23" s="3471"/>
      <c r="K23" s="3475"/>
      <c r="L23" s="1703" t="s">
        <v>1462</v>
      </c>
      <c r="M23" s="1704"/>
      <c r="N23" s="1704"/>
      <c r="O23" s="1705"/>
      <c r="P23" s="1634">
        <v>365</v>
      </c>
      <c r="Q23" s="1601"/>
      <c r="R23" s="1743">
        <f>ROUND(M23*N23*O23*P23/10000,0)</f>
        <v>0</v>
      </c>
      <c r="S23" s="1732"/>
      <c r="T23" s="1732"/>
      <c r="U23" s="1732"/>
      <c r="V23" s="1693"/>
    </row>
    <row r="24" spans="1:22" s="1579" customFormat="1" ht="13.15" customHeight="1">
      <c r="A24" s="1658"/>
      <c r="B24" s="1659" t="s">
        <v>1463</v>
      </c>
      <c r="C24" s="1660"/>
      <c r="D24" s="1661"/>
      <c r="E24" s="1662"/>
      <c r="F24" s="1663"/>
      <c r="G24" s="1657"/>
      <c r="H24" s="1597"/>
      <c r="I24" s="1693"/>
      <c r="J24" s="3471"/>
      <c r="K24" s="3476"/>
      <c r="L24" s="1706" t="s">
        <v>1427</v>
      </c>
      <c r="M24" s="1707">
        <f>SUM(M21:M23)</f>
        <v>0</v>
      </c>
      <c r="N24" s="1707"/>
      <c r="O24" s="1708"/>
      <c r="P24" s="1709" t="s">
        <v>1447</v>
      </c>
      <c r="Q24" s="1705">
        <v>0</v>
      </c>
      <c r="R24" s="1742">
        <f>ROUND(IF(P24="按比例",R14*Q24,SUM(R21:R23)),0)</f>
        <v>0</v>
      </c>
      <c r="S24" s="1732"/>
      <c r="T24" s="1732"/>
      <c r="U24" s="1732"/>
      <c r="V24" s="1693"/>
    </row>
    <row r="25" spans="1:22" s="1580" customFormat="1" ht="13.15" customHeight="1">
      <c r="A25" s="1658"/>
      <c r="B25" s="1659"/>
      <c r="C25" s="1660"/>
      <c r="D25" s="1661"/>
      <c r="E25" s="1662"/>
      <c r="F25" s="1663"/>
      <c r="G25" s="1650"/>
      <c r="H25" s="1597"/>
      <c r="I25" s="1693"/>
      <c r="J25" s="1700">
        <v>4</v>
      </c>
      <c r="K25" s="1711" t="s">
        <v>1464</v>
      </c>
      <c r="L25" s="1712"/>
      <c r="M25" s="1712"/>
      <c r="N25" s="1712"/>
      <c r="O25" s="1712"/>
      <c r="P25" s="1713"/>
      <c r="Q25" s="1744">
        <v>0</v>
      </c>
      <c r="R25" s="1742">
        <f>ROUND(R14*Q25,0)</f>
        <v>0</v>
      </c>
      <c r="S25" s="1732"/>
      <c r="T25" s="1732"/>
      <c r="U25" s="1732"/>
      <c r="V25" s="1719"/>
    </row>
    <row r="26" spans="1:22" s="1580" customFormat="1" ht="13.15" customHeight="1">
      <c r="A26" s="1651">
        <v>2</v>
      </c>
      <c r="B26" s="1652" t="s">
        <v>1465</v>
      </c>
      <c r="C26" s="1653">
        <f>D7</f>
        <v>0</v>
      </c>
      <c r="D26" s="1654">
        <f>D23*D27</f>
        <v>0</v>
      </c>
      <c r="E26" s="1655">
        <f>E23*E27</f>
        <v>0</v>
      </c>
      <c r="F26" s="1656"/>
      <c r="G26" s="1657"/>
      <c r="H26" s="1597"/>
      <c r="I26" s="1693"/>
      <c r="J26" s="3472">
        <v>5</v>
      </c>
      <c r="K26" s="1714" t="s">
        <v>1466</v>
      </c>
      <c r="L26" s="1715"/>
      <c r="M26" s="1716"/>
      <c r="N26" s="1717" t="s">
        <v>362</v>
      </c>
      <c r="O26" s="1717" t="s">
        <v>1467</v>
      </c>
      <c r="P26" s="1718" t="s">
        <v>1468</v>
      </c>
      <c r="Q26" s="1718" t="s">
        <v>1469</v>
      </c>
      <c r="R26" s="1736" t="s">
        <v>1398</v>
      </c>
      <c r="S26" s="1745"/>
      <c r="T26" s="1745"/>
      <c r="U26" s="1745"/>
      <c r="V26" s="1719"/>
    </row>
    <row r="27" spans="1:22" s="1579" customFormat="1" ht="13.15" customHeight="1">
      <c r="A27" s="1658"/>
      <c r="B27" s="1659" t="s">
        <v>1470</v>
      </c>
      <c r="C27" s="1664" t="e">
        <f>E7</f>
        <v>#DIV/0!</v>
      </c>
      <c r="D27" s="1661"/>
      <c r="E27" s="1662"/>
      <c r="F27" s="1663"/>
      <c r="G27" s="1657"/>
      <c r="H27" s="1665"/>
      <c r="I27" s="1719"/>
      <c r="J27" s="3473"/>
      <c r="K27" s="1720"/>
      <c r="L27" s="1721"/>
      <c r="M27" s="1722"/>
      <c r="N27" s="1723"/>
      <c r="O27" s="1723"/>
      <c r="P27" s="1723"/>
      <c r="Q27" s="1746"/>
      <c r="R27" s="1742">
        <f>ROUND(O27*N27*P27*(1-Q27)/10000,0)</f>
        <v>0</v>
      </c>
      <c r="S27" s="1732"/>
      <c r="T27" s="1732"/>
      <c r="U27" s="1732"/>
      <c r="V27" s="1693"/>
    </row>
    <row r="28" spans="1:22" s="1580" customFormat="1" ht="13.15" customHeight="1">
      <c r="A28" s="1658"/>
      <c r="B28" s="1659"/>
      <c r="C28" s="1664"/>
      <c r="D28" s="1661"/>
      <c r="E28" s="1662" t="s">
        <v>1471</v>
      </c>
      <c r="F28" s="1663"/>
      <c r="G28" s="1650"/>
      <c r="H28" s="1665"/>
      <c r="I28" s="1719"/>
      <c r="J28" s="1724">
        <v>6</v>
      </c>
      <c r="K28" s="1725" t="s">
        <v>1472</v>
      </c>
      <c r="L28" s="1726" t="s">
        <v>1473</v>
      </c>
      <c r="M28" s="1727"/>
      <c r="N28" s="1726" t="s">
        <v>1474</v>
      </c>
      <c r="O28" s="1728"/>
      <c r="P28" s="1726" t="s">
        <v>1475</v>
      </c>
      <c r="Q28" s="1747">
        <v>1.4999999999999999E-2</v>
      </c>
      <c r="R28" s="1748"/>
      <c r="S28" s="1729"/>
      <c r="T28" s="1729"/>
      <c r="U28" s="1729"/>
      <c r="V28" s="1719"/>
    </row>
    <row r="29" spans="1:22" s="1580" customFormat="1" ht="13.15" customHeight="1">
      <c r="A29" s="1651">
        <v>3</v>
      </c>
      <c r="B29" s="1652" t="s">
        <v>1476</v>
      </c>
      <c r="C29" s="1653">
        <f>C23*C30</f>
        <v>0</v>
      </c>
      <c r="D29" s="1654">
        <f>D23*C30</f>
        <v>0</v>
      </c>
      <c r="E29" s="1655">
        <f>E23*C30</f>
        <v>0</v>
      </c>
      <c r="F29" s="1656"/>
      <c r="G29" s="1657"/>
      <c r="H29" s="1597"/>
      <c r="I29" s="1693"/>
      <c r="J29" s="1729"/>
      <c r="K29" s="1729"/>
      <c r="L29" s="1729"/>
      <c r="M29" s="1729"/>
      <c r="N29" s="1729"/>
      <c r="O29" s="1729"/>
      <c r="P29" s="1729"/>
      <c r="Q29" s="1729"/>
      <c r="R29" s="1729"/>
      <c r="S29" s="1729"/>
      <c r="T29" s="1729"/>
      <c r="U29" s="1729"/>
      <c r="V29" s="1719"/>
    </row>
    <row r="30" spans="1:22" s="1579" customFormat="1" ht="13.15" customHeight="1">
      <c r="A30" s="1658"/>
      <c r="B30" s="1659" t="s">
        <v>1470</v>
      </c>
      <c r="C30" s="1664">
        <f>E18</f>
        <v>0</v>
      </c>
      <c r="D30" s="1666"/>
      <c r="E30" s="1633"/>
      <c r="F30" s="1663"/>
      <c r="G30" s="1657"/>
      <c r="H30" s="1665"/>
      <c r="I30" s="1719"/>
      <c r="J30" s="1729"/>
      <c r="K30" s="1729"/>
      <c r="L30" s="1729"/>
      <c r="M30" s="1729"/>
      <c r="N30" s="1729"/>
      <c r="O30" s="1729"/>
      <c r="P30" s="1729"/>
      <c r="Q30" s="1729"/>
      <c r="R30" s="1729"/>
      <c r="S30" s="1729"/>
      <c r="T30" s="1729"/>
      <c r="U30" s="1732"/>
      <c r="V30" s="1693"/>
    </row>
    <row r="31" spans="1:22" s="1580" customFormat="1" ht="13.15" customHeight="1">
      <c r="A31" s="1658"/>
      <c r="B31" s="1659"/>
      <c r="C31" s="1667"/>
      <c r="D31" s="1666"/>
      <c r="E31" s="1633"/>
      <c r="F31" s="1663"/>
      <c r="G31" s="1650"/>
      <c r="H31" s="1665"/>
      <c r="I31" s="1719"/>
      <c r="J31" s="1691" t="s">
        <v>1477</v>
      </c>
      <c r="K31" s="1692"/>
      <c r="L31" s="1692"/>
      <c r="M31" s="1692"/>
      <c r="N31" s="1692"/>
      <c r="O31" s="1692"/>
      <c r="P31" s="1692"/>
      <c r="Q31" s="1692"/>
      <c r="R31" s="1731"/>
      <c r="S31" s="1729"/>
      <c r="T31" s="1732"/>
      <c r="U31" s="1732"/>
      <c r="V31" s="1719"/>
    </row>
    <row r="32" spans="1:22" s="1580" customFormat="1" ht="13.15" customHeight="1">
      <c r="A32" s="1651">
        <v>4</v>
      </c>
      <c r="B32" s="1652" t="s">
        <v>1478</v>
      </c>
      <c r="C32" s="1653">
        <f>C23-C26-C29</f>
        <v>0</v>
      </c>
      <c r="D32" s="1654">
        <f>D23-D26-D29</f>
        <v>0</v>
      </c>
      <c r="E32" s="1655">
        <f>E23-E26-E29</f>
        <v>0</v>
      </c>
      <c r="F32" s="1656"/>
      <c r="G32" s="1650"/>
      <c r="H32" s="1597"/>
      <c r="I32" s="1693"/>
      <c r="J32" s="3483" t="s">
        <v>1378</v>
      </c>
      <c r="K32" s="3484"/>
      <c r="L32" s="1694" t="s">
        <v>1379</v>
      </c>
      <c r="M32" s="1694" t="s">
        <v>1380</v>
      </c>
      <c r="N32" s="1694" t="s">
        <v>1381</v>
      </c>
      <c r="O32" s="1694" t="s">
        <v>1382</v>
      </c>
      <c r="P32" s="1694" t="s">
        <v>1383</v>
      </c>
      <c r="Q32" s="1733" t="s">
        <v>1384</v>
      </c>
      <c r="R32" s="1749" t="s">
        <v>1385</v>
      </c>
      <c r="S32" s="1729"/>
      <c r="T32" s="1732"/>
      <c r="U32" s="1732"/>
      <c r="V32" s="1719"/>
    </row>
    <row r="33" spans="1:23" s="1579" customFormat="1" ht="13.15" customHeight="1">
      <c r="A33" s="1651"/>
      <c r="B33" s="1652"/>
      <c r="C33" s="1653"/>
      <c r="D33" s="1668"/>
      <c r="E33" s="1628"/>
      <c r="F33" s="1656"/>
      <c r="G33" s="1650"/>
      <c r="H33" s="1665"/>
      <c r="I33" s="1719"/>
      <c r="J33" s="3477" t="s">
        <v>1386</v>
      </c>
      <c r="K33" s="3478"/>
      <c r="L33" s="1695"/>
      <c r="M33" s="1695"/>
      <c r="N33" s="1695"/>
      <c r="O33" s="1695"/>
      <c r="P33" s="1695"/>
      <c r="Q33" s="1735"/>
      <c r="R33" s="1750">
        <f>SUM(L33:Q33)</f>
        <v>0</v>
      </c>
      <c r="S33" s="1729"/>
      <c r="T33" s="1732"/>
      <c r="U33" s="1732"/>
      <c r="V33" s="1693"/>
    </row>
    <row r="34" spans="1:23" s="1579" customFormat="1" ht="13.15" customHeight="1">
      <c r="A34" s="1651">
        <v>5</v>
      </c>
      <c r="B34" s="1652" t="s">
        <v>1479</v>
      </c>
      <c r="C34" s="1669"/>
      <c r="D34" s="1670"/>
      <c r="E34" s="1671"/>
      <c r="F34" s="1656"/>
      <c r="G34" s="1650"/>
      <c r="H34" s="1665"/>
      <c r="I34" s="1719"/>
      <c r="J34" s="3477" t="s">
        <v>1387</v>
      </c>
      <c r="K34" s="3478"/>
      <c r="L34" s="1696"/>
      <c r="M34" s="1696"/>
      <c r="N34" s="1696"/>
      <c r="O34" s="1696"/>
      <c r="P34" s="1696"/>
      <c r="Q34" s="1737"/>
      <c r="R34" s="1751">
        <f>SUM(L34:Q34)</f>
        <v>0</v>
      </c>
      <c r="S34" s="1729"/>
      <c r="T34" s="1732"/>
      <c r="U34" s="1732" t="e">
        <f>ROUND(R35*10000/365/R33,1)</f>
        <v>#DIV/0!</v>
      </c>
      <c r="V34" s="1693"/>
    </row>
    <row r="35" spans="1:23" s="1579" customFormat="1" ht="13.15" customHeight="1">
      <c r="A35" s="1651">
        <v>6</v>
      </c>
      <c r="B35" s="1652" t="s">
        <v>1480</v>
      </c>
      <c r="C35" s="1672"/>
      <c r="D35" s="1673"/>
      <c r="E35" s="1674"/>
      <c r="F35" s="1656"/>
      <c r="G35" s="1675"/>
      <c r="H35" s="1597"/>
      <c r="I35" s="1719"/>
      <c r="J35" s="1697" t="s">
        <v>1388</v>
      </c>
      <c r="K35" s="1698"/>
      <c r="L35" s="1698"/>
      <c r="M35" s="1699"/>
      <c r="N35" s="1699"/>
      <c r="O35" s="1699"/>
      <c r="P35" s="1699"/>
      <c r="Q35" s="1699"/>
      <c r="R35" s="1752">
        <f>R40+R41+R43</f>
        <v>0</v>
      </c>
      <c r="S35" s="1729"/>
      <c r="T35" s="1732" t="s">
        <v>1389</v>
      </c>
      <c r="U35" s="1732"/>
      <c r="V35" s="1693"/>
    </row>
    <row r="36" spans="1:23" s="1579" customFormat="1" ht="13.15" customHeight="1">
      <c r="A36" s="1651">
        <v>7</v>
      </c>
      <c r="B36" s="1676" t="s">
        <v>1481</v>
      </c>
      <c r="C36" s="1677"/>
      <c r="D36" s="1678"/>
      <c r="E36" s="1679"/>
      <c r="F36" s="1680">
        <f>C36+D36+E36</f>
        <v>0</v>
      </c>
      <c r="G36" s="1650"/>
      <c r="H36" s="1597"/>
      <c r="I36" s="1693"/>
      <c r="J36" s="3471">
        <v>1</v>
      </c>
      <c r="K36" s="3474" t="s">
        <v>1482</v>
      </c>
      <c r="L36" s="1701"/>
      <c r="M36" s="1702"/>
      <c r="N36" s="1702"/>
      <c r="O36" s="1702"/>
      <c r="P36" s="1702"/>
      <c r="Q36" s="1702"/>
      <c r="R36" s="1736" t="s">
        <v>1398</v>
      </c>
      <c r="S36" s="1729"/>
      <c r="T36" s="1732" t="s">
        <v>1399</v>
      </c>
      <c r="U36" s="1732"/>
      <c r="V36" s="1693"/>
    </row>
    <row r="37" spans="1:23" s="1579" customFormat="1" ht="13.15" customHeight="1">
      <c r="A37" s="1651"/>
      <c r="B37" s="1652"/>
      <c r="C37" s="1652"/>
      <c r="D37" s="1652"/>
      <c r="E37" s="1652"/>
      <c r="F37" s="1656"/>
      <c r="G37" s="1650"/>
      <c r="H37" s="1597"/>
      <c r="I37" s="1693"/>
      <c r="J37" s="3471"/>
      <c r="K37" s="3475"/>
      <c r="L37" s="1703"/>
      <c r="M37" s="1704"/>
      <c r="N37" s="1601"/>
      <c r="O37" s="1705"/>
      <c r="P37" s="1705"/>
      <c r="Q37" s="1634"/>
      <c r="R37" s="1739"/>
      <c r="S37" s="1729"/>
      <c r="T37" s="1732" t="s">
        <v>1402</v>
      </c>
      <c r="U37" s="1732"/>
      <c r="V37" s="1693"/>
    </row>
    <row r="38" spans="1:23" s="1579" customFormat="1" ht="13.15" customHeight="1">
      <c r="A38" s="1651">
        <v>8</v>
      </c>
      <c r="B38" s="1652"/>
      <c r="C38" s="1619" t="e">
        <f>ROUND(C32*(1-((1+C35)/(1+C34))^C36)/(C34-C35),0)</f>
        <v>#DIV/0!</v>
      </c>
      <c r="D38" s="1619">
        <f>IF(D23=0,0,ROUND(D32*(1-((1+D35)/(1+D34))^D36)/(D34-D35),0))</f>
        <v>0</v>
      </c>
      <c r="E38" s="1619">
        <f>IF(E23=0,0,ROUND(E32*(1-((1+E35)/(1+E34))^E36)/(E34-E35),0))</f>
        <v>0</v>
      </c>
      <c r="F38" s="1656"/>
      <c r="G38" s="1650"/>
      <c r="H38" s="1597"/>
      <c r="I38" s="1693"/>
      <c r="J38" s="3471"/>
      <c r="K38" s="3475"/>
      <c r="L38" s="1703"/>
      <c r="M38" s="1704"/>
      <c r="N38" s="1601"/>
      <c r="O38" s="1705"/>
      <c r="P38" s="1705"/>
      <c r="Q38" s="1634"/>
      <c r="R38" s="1739"/>
      <c r="S38" s="1729"/>
      <c r="T38" s="1732" t="s">
        <v>1409</v>
      </c>
      <c r="U38" s="1732"/>
      <c r="V38" s="1693"/>
    </row>
    <row r="39" spans="1:23" s="1579" customFormat="1" ht="13.15" customHeight="1">
      <c r="A39" s="1651">
        <v>9</v>
      </c>
      <c r="B39" s="1652" t="s">
        <v>1483</v>
      </c>
      <c r="C39" s="1629" t="e">
        <f>C38</f>
        <v>#DIV/0!</v>
      </c>
      <c r="D39" s="1652">
        <f>D38/(1+D34)^C36</f>
        <v>0</v>
      </c>
      <c r="E39" s="1652">
        <f>E38/(1+E34)^(C36+D36)</f>
        <v>0</v>
      </c>
      <c r="F39" s="1656"/>
      <c r="G39" s="1681"/>
      <c r="H39" s="1597"/>
      <c r="I39" s="1693"/>
      <c r="J39" s="3471"/>
      <c r="K39" s="3475"/>
      <c r="L39" s="1703"/>
      <c r="M39" s="1704"/>
      <c r="N39" s="1601"/>
      <c r="O39" s="1705"/>
      <c r="P39" s="1705"/>
      <c r="Q39" s="1634"/>
      <c r="R39" s="1739"/>
      <c r="S39" s="1729"/>
      <c r="T39" s="1732"/>
      <c r="U39" s="1732"/>
      <c r="V39" s="1693"/>
    </row>
    <row r="40" spans="1:23" s="1579" customFormat="1" ht="13.15" customHeight="1">
      <c r="A40" s="1682">
        <v>10</v>
      </c>
      <c r="B40" s="1652" t="s">
        <v>1484</v>
      </c>
      <c r="C40" s="1683" t="e">
        <f>C39+D39+E39</f>
        <v>#DIV/0!</v>
      </c>
      <c r="D40" s="1684"/>
      <c r="E40" s="1684"/>
      <c r="F40" s="1685"/>
      <c r="G40" s="1650"/>
      <c r="H40" s="1597"/>
      <c r="I40" s="1693"/>
      <c r="J40" s="3471"/>
      <c r="K40" s="3476"/>
      <c r="L40" s="1706" t="s">
        <v>1427</v>
      </c>
      <c r="M40" s="1707"/>
      <c r="N40" s="1707"/>
      <c r="O40" s="1708"/>
      <c r="P40" s="1708"/>
      <c r="Q40" s="1740"/>
      <c r="R40" s="1734">
        <f>SUM(R37:R39)</f>
        <v>0</v>
      </c>
      <c r="S40" s="1729"/>
      <c r="T40" s="1732"/>
      <c r="U40" s="1732"/>
      <c r="V40" s="1693"/>
    </row>
    <row r="41" spans="1:23" s="1579" customFormat="1" ht="13.15" customHeight="1">
      <c r="A41" s="1686">
        <v>11</v>
      </c>
      <c r="B41" s="1687" t="s">
        <v>1485</v>
      </c>
      <c r="C41" s="1687" t="e">
        <f>ROUND(C40*10000/B4,0)</f>
        <v>#DIV/0!</v>
      </c>
      <c r="D41" s="1688"/>
      <c r="E41" s="1688"/>
      <c r="F41" s="1689"/>
      <c r="G41" s="1690"/>
      <c r="H41" s="1597"/>
      <c r="I41" s="1693"/>
      <c r="J41" s="1700">
        <v>2</v>
      </c>
      <c r="K41" s="1711" t="s">
        <v>1464</v>
      </c>
      <c r="L41" s="1712"/>
      <c r="M41" s="1712"/>
      <c r="N41" s="1712"/>
      <c r="O41" s="1712"/>
      <c r="P41" s="1713"/>
      <c r="Q41" s="1744"/>
      <c r="R41" s="1742">
        <f>ROUND(R40*Q41,0)</f>
        <v>0</v>
      </c>
      <c r="S41" s="1729"/>
      <c r="T41" s="1732"/>
      <c r="U41" s="1745"/>
      <c r="V41" s="1693"/>
    </row>
    <row r="42" spans="1:23" s="1579" customFormat="1" ht="13.15" customHeight="1">
      <c r="G42" s="1690"/>
      <c r="H42" s="1597"/>
      <c r="I42" s="1693"/>
      <c r="J42" s="3472">
        <v>3</v>
      </c>
      <c r="K42" s="1714" t="s">
        <v>1466</v>
      </c>
      <c r="L42" s="1715"/>
      <c r="M42" s="1716"/>
      <c r="N42" s="1717" t="s">
        <v>362</v>
      </c>
      <c r="O42" s="1717" t="s">
        <v>1467</v>
      </c>
      <c r="P42" s="1718" t="s">
        <v>1468</v>
      </c>
      <c r="Q42" s="1718" t="s">
        <v>1469</v>
      </c>
      <c r="R42" s="1736" t="s">
        <v>1398</v>
      </c>
      <c r="S42" s="1745"/>
      <c r="T42" s="1745"/>
      <c r="U42" s="1732"/>
      <c r="V42" s="1693"/>
    </row>
    <row r="43" spans="1:23" ht="13.15" customHeight="1">
      <c r="A43" s="1579"/>
      <c r="B43" s="1579"/>
      <c r="C43" s="1579"/>
      <c r="D43" s="1579"/>
      <c r="E43" s="1579"/>
      <c r="F43" s="1579"/>
      <c r="I43" s="1583"/>
      <c r="J43" s="3473"/>
      <c r="K43" s="1720"/>
      <c r="L43" s="1721"/>
      <c r="M43" s="1722"/>
      <c r="N43" s="1704"/>
      <c r="O43" s="1704"/>
      <c r="P43" s="1704"/>
      <c r="Q43" s="1744"/>
      <c r="R43" s="1742">
        <f>ROUND(O43*N43*P43*(1-Q43)/10000,0)</f>
        <v>0</v>
      </c>
      <c r="S43" s="1729"/>
      <c r="T43" s="1732"/>
      <c r="V43" s="1585"/>
      <c r="W43" s="1753"/>
    </row>
    <row r="44" spans="1:23" ht="13.15" customHeight="1">
      <c r="J44" s="1724">
        <v>6</v>
      </c>
      <c r="K44" s="1725" t="s">
        <v>1472</v>
      </c>
      <c r="L44" s="1730" t="s">
        <v>1473</v>
      </c>
      <c r="M44" s="1727"/>
      <c r="N44" s="1730" t="s">
        <v>1474</v>
      </c>
      <c r="O44" s="1727"/>
      <c r="P44" s="1730" t="s">
        <v>1475</v>
      </c>
      <c r="Q44" s="1747">
        <v>1.4999999999999999E-2</v>
      </c>
      <c r="R44" s="174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1486</v>
      </c>
      <c r="B1" s="1556"/>
      <c r="C1" s="1556"/>
      <c r="D1" s="1556"/>
      <c r="E1" s="1557"/>
      <c r="F1" s="1558"/>
      <c r="G1" s="1559"/>
      <c r="H1" s="1559"/>
      <c r="I1" s="1559"/>
      <c r="J1" s="1559"/>
      <c r="K1" s="1559"/>
      <c r="L1" s="1559"/>
      <c r="M1" s="1559"/>
      <c r="N1" s="1559"/>
      <c r="O1" s="1559"/>
      <c r="P1" s="1559"/>
      <c r="Q1" s="1559"/>
      <c r="R1" s="1559"/>
      <c r="S1" s="1559"/>
    </row>
    <row r="2" spans="1:22" ht="15.75">
      <c r="A2" s="1560" t="s">
        <v>913</v>
      </c>
      <c r="B2" s="1561">
        <f ca="1">SUMIF(B6:B13,"&lt;&gt;#ref!",B6:B13)</f>
        <v>913</v>
      </c>
      <c r="C2" s="1562" t="s">
        <v>1487</v>
      </c>
      <c r="D2" s="1563" t="s">
        <v>1488</v>
      </c>
      <c r="E2" s="1564">
        <f>SUM(E6:E13)</f>
        <v>842.81</v>
      </c>
      <c r="F2" s="1558"/>
      <c r="G2" s="1559"/>
      <c r="H2" s="1559"/>
      <c r="I2" s="1559"/>
      <c r="J2" s="1559"/>
      <c r="K2" s="1559"/>
      <c r="L2" s="1559"/>
      <c r="M2" s="1559"/>
      <c r="N2" s="1559"/>
      <c r="O2" s="1559"/>
      <c r="P2" s="1559"/>
      <c r="Q2" s="1559"/>
      <c r="R2" s="1559"/>
      <c r="S2" s="1559"/>
    </row>
    <row r="3" spans="1:22" ht="15.75">
      <c r="A3" s="1560" t="s">
        <v>915</v>
      </c>
      <c r="B3" s="1565">
        <f ca="1">ROUND(B2*10000/E2,0)</f>
        <v>10833</v>
      </c>
      <c r="C3" s="1562" t="s">
        <v>1489</v>
      </c>
      <c r="D3" s="1566"/>
      <c r="E3" s="1567"/>
      <c r="F3" s="1558"/>
      <c r="G3" s="1559"/>
      <c r="H3" s="1559"/>
      <c r="I3" s="1559"/>
      <c r="J3" s="1559"/>
      <c r="K3" s="1559"/>
      <c r="L3" s="1559"/>
      <c r="M3" s="1559"/>
      <c r="N3" s="1559"/>
      <c r="O3" s="1559"/>
      <c r="P3" s="1559"/>
      <c r="Q3" s="1559"/>
      <c r="R3" s="1559"/>
      <c r="S3" s="1559"/>
    </row>
    <row r="4" spans="1:22" ht="15.75">
      <c r="A4" s="1568"/>
      <c r="B4" s="1566"/>
      <c r="C4" s="1566"/>
      <c r="D4" s="1566"/>
      <c r="E4" s="1567"/>
      <c r="F4" s="1558"/>
      <c r="G4" s="1559"/>
      <c r="H4" s="1559"/>
      <c r="I4" s="1559"/>
      <c r="J4" s="1559"/>
      <c r="K4" s="1559"/>
      <c r="L4" s="1559"/>
      <c r="M4" s="1559"/>
      <c r="N4" s="1559"/>
      <c r="O4" s="1559"/>
      <c r="P4" s="1559"/>
      <c r="Q4" s="1559"/>
      <c r="R4" s="1559"/>
      <c r="S4" s="1559"/>
    </row>
    <row r="5" spans="1:22" ht="15">
      <c r="A5" s="1569" t="s">
        <v>1490</v>
      </c>
      <c r="B5" s="3490" t="s">
        <v>1491</v>
      </c>
      <c r="C5" s="3491"/>
      <c r="D5" s="1570"/>
      <c r="E5" s="1571" t="s">
        <v>1492</v>
      </c>
      <c r="F5" s="1572" t="s">
        <v>1493</v>
      </c>
      <c r="G5" s="1559"/>
      <c r="H5" s="1559"/>
      <c r="I5" s="1559"/>
      <c r="J5" s="1559"/>
      <c r="K5" s="1559"/>
      <c r="L5" s="1559"/>
      <c r="M5" s="1559"/>
      <c r="N5" s="1559"/>
      <c r="O5" s="1559"/>
      <c r="P5" s="1559"/>
      <c r="Q5" s="1559"/>
      <c r="R5" s="1559"/>
      <c r="S5" s="1559"/>
    </row>
    <row r="6" spans="1:22">
      <c r="A6" s="1573" t="str">
        <f>'数据-取费表'!AN6</f>
        <v>收益法</v>
      </c>
      <c r="B6" s="498">
        <f ca="1">IF(F6="是",'数据-取费表'!AO6,0)</f>
        <v>913</v>
      </c>
      <c r="C6" s="1562" t="s">
        <v>1487</v>
      </c>
      <c r="D6" s="1566"/>
      <c r="E6" s="1574">
        <f>IF(OR(A6=0,F6="否"),0,'数据-取费表'!K6+'数据-取费表'!S6)</f>
        <v>842.81</v>
      </c>
      <c r="F6" s="1575" t="s">
        <v>1494</v>
      </c>
      <c r="G6" s="1559"/>
      <c r="H6" s="1559"/>
      <c r="I6" s="1559"/>
      <c r="J6" s="1559"/>
      <c r="K6" s="1559"/>
      <c r="L6" s="1559"/>
      <c r="M6" s="1559"/>
      <c r="N6" s="1559"/>
      <c r="O6" s="1559"/>
      <c r="P6" s="1559"/>
      <c r="Q6" s="1559"/>
      <c r="R6" s="1559"/>
      <c r="S6" s="1559"/>
    </row>
    <row r="7" spans="1:22">
      <c r="A7" s="1573">
        <f>'数据-取费表'!AN7</f>
        <v>0</v>
      </c>
      <c r="B7" s="498" t="e">
        <f ca="1">IF(F7="是",'数据-取费表'!AO7,0)</f>
        <v>#REF!</v>
      </c>
      <c r="C7" s="1562" t="s">
        <v>1487</v>
      </c>
      <c r="D7" s="1566"/>
      <c r="E7" s="1574">
        <f>IF(OR(A7=0,F7="否"),0,'数据-取费表'!K7+'数据-取费表'!S7)</f>
        <v>0</v>
      </c>
      <c r="F7" s="1575" t="s">
        <v>1494</v>
      </c>
      <c r="G7" s="1559"/>
      <c r="H7" s="1559"/>
      <c r="I7" s="1559"/>
      <c r="J7" s="1559"/>
      <c r="K7" s="1559"/>
      <c r="L7" s="1559"/>
      <c r="M7" s="1559"/>
      <c r="N7" s="1559"/>
      <c r="O7" s="1559"/>
      <c r="P7" s="1559"/>
      <c r="Q7" s="1559"/>
      <c r="R7" s="1559"/>
      <c r="S7" s="1559"/>
    </row>
    <row r="8" spans="1:22">
      <c r="A8" s="1573">
        <f>'数据-取费表'!AN8</f>
        <v>0</v>
      </c>
      <c r="B8" s="498" t="e">
        <f ca="1">IF(F8="是",'数据-取费表'!AO8,0)</f>
        <v>#REF!</v>
      </c>
      <c r="C8" s="1562" t="s">
        <v>1487</v>
      </c>
      <c r="D8" s="1566"/>
      <c r="E8" s="1574">
        <f>IF(OR(A8=0,F8="否"),0,'数据-取费表'!K8+'数据-取费表'!S8)</f>
        <v>0</v>
      </c>
      <c r="F8" s="1575" t="s">
        <v>1494</v>
      </c>
      <c r="G8" s="1559"/>
      <c r="H8" s="1559"/>
      <c r="I8" s="1559"/>
      <c r="J8" s="1559"/>
      <c r="K8" s="1559"/>
      <c r="L8" s="1559"/>
      <c r="M8" s="1559"/>
      <c r="N8" s="1559"/>
      <c r="O8" s="1559"/>
      <c r="P8" s="1559"/>
      <c r="Q8" s="1559"/>
      <c r="R8" s="1559"/>
      <c r="S8" s="1559"/>
    </row>
    <row r="9" spans="1:22">
      <c r="A9" s="1573">
        <f>'数据-取费表'!AN9</f>
        <v>0</v>
      </c>
      <c r="B9" s="498" t="e">
        <f ca="1">IF(F9="是",'数据-取费表'!AO9,0)</f>
        <v>#REF!</v>
      </c>
      <c r="C9" s="1562" t="s">
        <v>1487</v>
      </c>
      <c r="D9" s="1566"/>
      <c r="E9" s="1574">
        <f>IF(OR(A9=0,F9="否"),0,'数据-取费表'!K9+'数据-取费表'!S9)</f>
        <v>0</v>
      </c>
      <c r="F9" s="1575" t="s">
        <v>1494</v>
      </c>
      <c r="G9" s="1559"/>
      <c r="H9" s="1559"/>
      <c r="I9" s="1559"/>
      <c r="J9" s="1559"/>
      <c r="K9" s="1559"/>
      <c r="L9" s="1559"/>
      <c r="M9" s="1559"/>
      <c r="N9" s="1559"/>
      <c r="O9" s="1559"/>
      <c r="P9" s="1559"/>
      <c r="Q9" s="1559"/>
      <c r="R9" s="1559"/>
      <c r="S9" s="1559"/>
    </row>
    <row r="10" spans="1:22">
      <c r="A10" s="1573">
        <f>'数据-取费表'!AN10</f>
        <v>0</v>
      </c>
      <c r="B10" s="498" t="e">
        <f ca="1">IF(F10="是",'数据-取费表'!AO10,0)</f>
        <v>#REF!</v>
      </c>
      <c r="C10" s="1562" t="s">
        <v>1487</v>
      </c>
      <c r="D10" s="1566"/>
      <c r="E10" s="1574">
        <f>IF(OR(A10=0,F10="否"),0,'数据-取费表'!K10+'数据-取费表'!S10)</f>
        <v>0</v>
      </c>
      <c r="F10" s="1575" t="s">
        <v>1494</v>
      </c>
      <c r="G10" s="1559"/>
      <c r="H10" s="1559"/>
      <c r="I10" s="1559"/>
      <c r="J10" s="1559"/>
      <c r="K10" s="1559"/>
      <c r="L10" s="1559"/>
      <c r="M10" s="1559"/>
      <c r="N10" s="1559"/>
      <c r="O10" s="1559"/>
      <c r="P10" s="1559"/>
      <c r="Q10" s="1559"/>
      <c r="R10" s="1559"/>
      <c r="S10" s="1559"/>
    </row>
    <row r="11" spans="1:22">
      <c r="A11" s="1573">
        <f>'数据-取费表'!AN11</f>
        <v>0</v>
      </c>
      <c r="B11" s="498" t="e">
        <f ca="1">IF(F11="是",'数据-取费表'!AO11,0)</f>
        <v>#REF!</v>
      </c>
      <c r="C11" s="1562" t="s">
        <v>1487</v>
      </c>
      <c r="D11" s="1566"/>
      <c r="E11" s="1574">
        <f>IF(OR(A11=0,F11="否"),0,'数据-取费表'!K11+'数据-取费表'!S11)</f>
        <v>0</v>
      </c>
      <c r="F11" s="1575" t="s">
        <v>1494</v>
      </c>
      <c r="G11" s="1559"/>
      <c r="H11" s="1559"/>
      <c r="I11" s="1559"/>
      <c r="J11" s="1559"/>
      <c r="K11" s="1559"/>
      <c r="L11" s="1559"/>
      <c r="M11" s="1559"/>
      <c r="N11" s="1559"/>
      <c r="O11" s="1559"/>
      <c r="P11" s="1559"/>
      <c r="Q11" s="1559"/>
      <c r="R11" s="1559"/>
      <c r="S11" s="1559"/>
    </row>
    <row r="12" spans="1:22">
      <c r="A12" s="1573">
        <f>'数据-取费表'!AN12</f>
        <v>0</v>
      </c>
      <c r="B12" s="498" t="e">
        <f ca="1">IF(F12="是",'数据-取费表'!AO12,0)</f>
        <v>#REF!</v>
      </c>
      <c r="C12" s="1562" t="s">
        <v>1487</v>
      </c>
      <c r="D12" s="1566"/>
      <c r="E12" s="1574">
        <f>IF(OR(A12=0,F12="否"),0,'数据-取费表'!K12+'数据-取费表'!S12)</f>
        <v>0</v>
      </c>
      <c r="F12" s="1575" t="s">
        <v>1494</v>
      </c>
      <c r="G12" s="1559"/>
      <c r="H12" s="1559"/>
      <c r="I12" s="1559"/>
      <c r="J12" s="1559"/>
      <c r="K12" s="1559"/>
      <c r="L12" s="1559"/>
      <c r="M12" s="1559"/>
      <c r="N12" s="1559"/>
      <c r="O12" s="1559"/>
      <c r="P12" s="1559"/>
      <c r="Q12" s="1559"/>
      <c r="R12" s="1559"/>
      <c r="S12" s="1559"/>
    </row>
    <row r="13" spans="1:22">
      <c r="A13" s="1576">
        <f>'数据-取费表'!AN13</f>
        <v>0</v>
      </c>
      <c r="B13" s="498" t="e">
        <f ca="1">IF(F13="是",'数据-取费表'!AO13,0)</f>
        <v>#REF!</v>
      </c>
      <c r="C13" s="1577" t="s">
        <v>1487</v>
      </c>
      <c r="D13" s="1578"/>
      <c r="E13" s="1574">
        <f>IF(OR(A13=0,F13="否"),0,'数据-取费表'!K13+'数据-取费表'!S13)</f>
        <v>0</v>
      </c>
      <c r="F13" s="1575" t="s">
        <v>1494</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1011</v>
      </c>
      <c r="B1" s="1443" t="s">
        <v>1495</v>
      </c>
      <c r="C1" s="1343" t="s">
        <v>1013</v>
      </c>
      <c r="D1" s="1287"/>
      <c r="E1" s="1469"/>
      <c r="F1" s="1289" t="s">
        <v>1496</v>
      </c>
      <c r="G1" s="1290" t="s">
        <v>1015</v>
      </c>
      <c r="H1" s="1288"/>
      <c r="I1" s="1288"/>
      <c r="J1" s="1288"/>
      <c r="K1" s="1341"/>
      <c r="L1" s="1342"/>
      <c r="M1" s="1343"/>
      <c r="N1" s="1343"/>
      <c r="O1" s="1343"/>
      <c r="P1" s="1478"/>
      <c r="Q1" s="1286"/>
      <c r="R1" s="1286"/>
      <c r="S1" s="1286"/>
      <c r="T1" s="1286"/>
      <c r="U1" s="1286"/>
      <c r="V1" s="1286"/>
      <c r="W1" s="1286"/>
      <c r="X1" s="1286"/>
      <c r="Y1" s="1286"/>
      <c r="Z1" s="1286"/>
      <c r="AA1" s="1286"/>
      <c r="AB1" s="1286"/>
      <c r="AC1" s="1349"/>
    </row>
    <row r="2" spans="1:29" s="1468" customFormat="1" ht="28.5" customHeight="1">
      <c r="A2" s="1291" t="s">
        <v>913</v>
      </c>
      <c r="B2" s="1292" t="e">
        <f ca="1">IF(C2="——",ROUND(C49*D3/10000,0),ROUND(C49*D3/10000,0)-D2)</f>
        <v>#DIV/0!</v>
      </c>
      <c r="C2" s="1293"/>
      <c r="D2" s="1420" t="e">
        <f ca="1">SUMIF(INDIRECT("'"&amp;F2&amp;"'"&amp;"!A:A"),"承租人权益价值",INDIRECT("'"&amp;F2&amp;"'"&amp;"!c:c"))</f>
        <v>#REF!</v>
      </c>
      <c r="E2" s="1294" t="s">
        <v>914</v>
      </c>
      <c r="F2" s="1295"/>
      <c r="G2" s="1250"/>
      <c r="H2" s="1250"/>
      <c r="I2" s="1250"/>
      <c r="J2" s="1250"/>
      <c r="K2" s="1479"/>
      <c r="L2" s="1480"/>
      <c r="M2" s="1481"/>
      <c r="N2" s="1481"/>
      <c r="O2" s="1481"/>
      <c r="P2" s="1482"/>
      <c r="Q2" s="1503"/>
      <c r="R2" s="1503"/>
      <c r="S2" s="1503"/>
      <c r="T2" s="1503"/>
      <c r="U2" s="1503"/>
      <c r="V2" s="1503"/>
      <c r="W2" s="1503"/>
      <c r="X2" s="1503"/>
      <c r="Y2" s="1503"/>
      <c r="Z2" s="1503"/>
      <c r="AA2" s="1503"/>
      <c r="AB2" s="1503"/>
      <c r="AC2" s="1505"/>
    </row>
    <row r="3" spans="1:29" s="1468" customFormat="1" ht="28.5" customHeight="1">
      <c r="A3" s="153" t="s">
        <v>915</v>
      </c>
      <c r="B3" s="1297" t="e">
        <f ca="1">IF(C2="——",C49,ROUND(B2*10000/D3,0))</f>
        <v>#DIV/0!</v>
      </c>
      <c r="C3" s="1296" t="s">
        <v>1016</v>
      </c>
      <c r="D3" s="1297">
        <f>IF(D1="",'数据-汇总表'!E3,SUMIF('数据-汇总表'!$C19:$C33,D1,'数据-汇总表'!$E19:$E33))</f>
        <v>842.81</v>
      </c>
      <c r="E3" s="1250"/>
      <c r="F3" s="1470"/>
      <c r="G3" s="1250"/>
      <c r="H3" s="1250"/>
      <c r="I3" s="1250"/>
      <c r="J3" s="1250"/>
      <c r="K3" s="1479"/>
      <c r="L3" s="1480"/>
      <c r="M3" s="1481"/>
      <c r="N3" s="1481"/>
      <c r="O3" s="1481"/>
      <c r="P3" s="1482"/>
      <c r="Q3" s="1503"/>
      <c r="R3" s="1503"/>
      <c r="S3" s="1503"/>
      <c r="T3" s="1503"/>
      <c r="U3" s="1503"/>
      <c r="V3" s="1503"/>
      <c r="W3" s="1503"/>
      <c r="X3" s="1503"/>
      <c r="Y3" s="1503"/>
      <c r="Z3" s="1503"/>
      <c r="AA3" s="1503"/>
      <c r="AB3" s="1503"/>
      <c r="AC3" s="1506"/>
    </row>
    <row r="4" spans="1:29" ht="15">
      <c r="A4" s="924" t="s">
        <v>1017</v>
      </c>
      <c r="B4" s="925"/>
      <c r="C4" s="3458" t="s">
        <v>1018</v>
      </c>
      <c r="D4" s="3459"/>
      <c r="E4" s="3460" t="s">
        <v>1019</v>
      </c>
      <c r="F4" s="3461"/>
      <c r="G4" s="3458" t="s">
        <v>1020</v>
      </c>
      <c r="H4" s="3459"/>
      <c r="I4" s="3458" t="s">
        <v>1021</v>
      </c>
      <c r="J4" s="3459"/>
      <c r="K4" s="1483" t="s">
        <v>1022</v>
      </c>
      <c r="L4" s="1072"/>
      <c r="M4" s="1073"/>
      <c r="N4" s="1073"/>
      <c r="O4" s="1073"/>
      <c r="P4" s="3428" t="s">
        <v>1023</v>
      </c>
      <c r="Q4" s="3429"/>
      <c r="R4" s="3434" t="s">
        <v>1019</v>
      </c>
      <c r="S4" s="3435"/>
      <c r="T4" s="3434" t="s">
        <v>1020</v>
      </c>
      <c r="U4" s="3435"/>
      <c r="V4" s="3440" t="s">
        <v>1021</v>
      </c>
      <c r="W4" s="3440"/>
      <c r="X4" s="1115"/>
      <c r="Y4" s="3434" t="s">
        <v>1023</v>
      </c>
      <c r="Z4" s="3435"/>
      <c r="AA4" s="3425" t="s">
        <v>1019</v>
      </c>
      <c r="AB4" s="3425" t="s">
        <v>1020</v>
      </c>
      <c r="AC4" s="3425" t="s">
        <v>1021</v>
      </c>
    </row>
    <row r="5" spans="1:29" ht="15">
      <c r="A5" s="926"/>
      <c r="B5" s="927"/>
      <c r="C5" s="3498" t="s">
        <v>1024</v>
      </c>
      <c r="D5" s="3463"/>
      <c r="E5" s="3499" t="s">
        <v>1497</v>
      </c>
      <c r="F5" s="3465"/>
      <c r="G5" s="3498" t="s">
        <v>1498</v>
      </c>
      <c r="H5" s="3463"/>
      <c r="I5" s="3498" t="s">
        <v>1499</v>
      </c>
      <c r="J5" s="3463"/>
      <c r="K5" s="1484"/>
      <c r="L5" s="1072"/>
      <c r="M5" s="1073"/>
      <c r="N5" s="1073"/>
      <c r="O5" s="1073"/>
      <c r="P5" s="3430"/>
      <c r="Q5" s="3431"/>
      <c r="R5" s="3436"/>
      <c r="S5" s="3437"/>
      <c r="T5" s="3436"/>
      <c r="U5" s="3437"/>
      <c r="V5" s="3440"/>
      <c r="W5" s="3440"/>
      <c r="X5" s="1115"/>
      <c r="Y5" s="3436"/>
      <c r="Z5" s="3437"/>
      <c r="AA5" s="3426"/>
      <c r="AB5" s="3426"/>
      <c r="AC5" s="3426"/>
    </row>
    <row r="6" spans="1:29" ht="15">
      <c r="A6" s="928"/>
      <c r="B6" s="929"/>
      <c r="C6" s="3453" t="s">
        <v>1025</v>
      </c>
      <c r="D6" s="3454"/>
      <c r="E6" s="3455" t="s">
        <v>1025</v>
      </c>
      <c r="F6" s="3456"/>
      <c r="G6" s="3453" t="s">
        <v>1025</v>
      </c>
      <c r="H6" s="3454"/>
      <c r="I6" s="3453" t="s">
        <v>1025</v>
      </c>
      <c r="J6" s="3454"/>
      <c r="K6" s="1484" t="s">
        <v>1026</v>
      </c>
      <c r="L6" s="1072"/>
      <c r="M6" s="1073"/>
      <c r="N6" s="1073"/>
      <c r="O6" s="1073"/>
      <c r="P6" s="3432"/>
      <c r="Q6" s="3433"/>
      <c r="R6" s="3436"/>
      <c r="S6" s="3437"/>
      <c r="T6" s="3438"/>
      <c r="U6" s="3439"/>
      <c r="V6" s="3440"/>
      <c r="W6" s="3440"/>
      <c r="X6" s="1115"/>
      <c r="Y6" s="3438"/>
      <c r="Z6" s="3439"/>
      <c r="AA6" s="3427"/>
      <c r="AB6" s="3427"/>
      <c r="AC6" s="3427"/>
    </row>
    <row r="7" spans="1:29" s="905" customFormat="1" ht="15">
      <c r="A7" s="930" t="s">
        <v>1027</v>
      </c>
      <c r="B7" s="931"/>
      <c r="C7" s="932">
        <f>'数据-取费表'!B2</f>
        <v>44725</v>
      </c>
      <c r="D7" s="933">
        <v>100</v>
      </c>
      <c r="E7" s="934"/>
      <c r="F7" s="935">
        <f>SUMIF(58:58,YEAR(E7)&amp;"-"&amp;MONTH(E7),59:59)</f>
        <v>0</v>
      </c>
      <c r="G7" s="934"/>
      <c r="H7" s="933">
        <f>SUMIF(58:58,YEAR(G7)&amp;"-"&amp;MONTH(G7),59:59)</f>
        <v>0</v>
      </c>
      <c r="I7" s="934"/>
      <c r="J7" s="933">
        <f>SUMIF(58:58,YEAR(I7)&amp;"-"&amp;MONTH(I7),59:59)</f>
        <v>0</v>
      </c>
      <c r="K7" s="1485"/>
      <c r="L7" s="1075"/>
      <c r="M7" s="1076"/>
      <c r="N7" s="1076"/>
      <c r="O7" s="1076"/>
      <c r="P7" s="3446" t="s">
        <v>1028</v>
      </c>
      <c r="Q7" s="3457"/>
      <c r="R7" s="1116" t="s">
        <v>1029</v>
      </c>
      <c r="S7" s="1117">
        <f t="shared" ref="S7:S15" si="0">F7</f>
        <v>0</v>
      </c>
      <c r="T7" s="1116" t="s">
        <v>1029</v>
      </c>
      <c r="U7" s="1117">
        <f t="shared" ref="U7:U15" si="1">H7</f>
        <v>0</v>
      </c>
      <c r="V7" s="1116" t="s">
        <v>1029</v>
      </c>
      <c r="W7" s="1117">
        <f t="shared" ref="W7:W15" si="2">J7</f>
        <v>0</v>
      </c>
      <c r="X7" s="1118"/>
      <c r="Y7" s="3446" t="s">
        <v>1028</v>
      </c>
      <c r="Z7" s="3447"/>
      <c r="AA7" s="1130" t="e">
        <f>D7/F7</f>
        <v>#DIV/0!</v>
      </c>
      <c r="AB7" s="1130" t="e">
        <f>D7/H7</f>
        <v>#DIV/0!</v>
      </c>
      <c r="AC7" s="1130" t="e">
        <f>D7/J7</f>
        <v>#DIV/0!</v>
      </c>
    </row>
    <row r="8" spans="1:29" s="905" customFormat="1" ht="15">
      <c r="A8" s="930" t="s">
        <v>1030</v>
      </c>
      <c r="B8" s="931"/>
      <c r="C8" s="937" t="s">
        <v>1031</v>
      </c>
      <c r="D8" s="933">
        <v>100</v>
      </c>
      <c r="E8" s="1471"/>
      <c r="F8" s="935">
        <f>SUMIF(61:61,E8,62:62)-SUMIF(61:61,C8,62:62)+100</f>
        <v>0</v>
      </c>
      <c r="G8" s="937"/>
      <c r="H8" s="933">
        <f>SUMIF(61:61,G8,62:62)-SUMIF(61:61,C8,62:62)+100</f>
        <v>0</v>
      </c>
      <c r="I8" s="1471"/>
      <c r="J8" s="933">
        <f>SUMIF(61:61,I8,62:62)-SUMIF(61:61,C8,62:62)+100</f>
        <v>0</v>
      </c>
      <c r="K8" s="1485"/>
      <c r="L8" s="1075"/>
      <c r="M8" s="1076"/>
      <c r="N8" s="1076"/>
      <c r="O8" s="1076"/>
      <c r="P8" s="3446" t="s">
        <v>1032</v>
      </c>
      <c r="Q8" s="3447"/>
      <c r="R8" s="1116" t="s">
        <v>1029</v>
      </c>
      <c r="S8" s="1117">
        <f t="shared" si="0"/>
        <v>0</v>
      </c>
      <c r="T8" s="1116" t="s">
        <v>1029</v>
      </c>
      <c r="U8" s="1117">
        <f t="shared" si="1"/>
        <v>0</v>
      </c>
      <c r="V8" s="1116" t="s">
        <v>1029</v>
      </c>
      <c r="W8" s="1117">
        <f t="shared" si="2"/>
        <v>0</v>
      </c>
      <c r="X8" s="1118"/>
      <c r="Y8" s="3446" t="s">
        <v>1032</v>
      </c>
      <c r="Z8" s="3447"/>
      <c r="AA8" s="1130" t="e">
        <f t="shared" ref="AA8:AA19" si="3">D8/F8</f>
        <v>#DIV/0!</v>
      </c>
      <c r="AB8" s="1130" t="e">
        <f t="shared" ref="AB8:AB19" si="4">D8/H8</f>
        <v>#DIV/0!</v>
      </c>
      <c r="AC8" s="1130" t="e">
        <f t="shared" ref="AC8:AC19" si="5">D8/J8</f>
        <v>#DIV/0!</v>
      </c>
    </row>
    <row r="9" spans="1:29" s="905" customFormat="1">
      <c r="A9" s="938" t="s">
        <v>1033</v>
      </c>
      <c r="B9" s="939" t="s">
        <v>1034</v>
      </c>
      <c r="C9" s="1298"/>
      <c r="D9" s="941">
        <v>100</v>
      </c>
      <c r="E9" s="1367"/>
      <c r="F9" s="1300">
        <f>SUMIF(63:63,E9,64:64)-SUMIF(63:63,C9,64:64)+100</f>
        <v>100</v>
      </c>
      <c r="G9" s="1299"/>
      <c r="H9" s="941">
        <f>SUMIF(63:63,G9,64:64)-SUMIF(63:63,C9,64:64)+100</f>
        <v>100</v>
      </c>
      <c r="I9" s="1299"/>
      <c r="J9" s="941">
        <f>SUMIF(63:63,I9,64:64)-SUMIF(63:63,C9,64:64)+100</f>
        <v>100</v>
      </c>
      <c r="K9" s="1485"/>
      <c r="L9" s="1075"/>
      <c r="M9" s="1076"/>
      <c r="N9" s="1076"/>
      <c r="O9" s="1076"/>
      <c r="P9" s="3492" t="s">
        <v>1035</v>
      </c>
      <c r="Q9" s="1120" t="str">
        <f t="shared" ref="Q9:Q15" si="6">B9</f>
        <v>用途</v>
      </c>
      <c r="R9" s="1116" t="s">
        <v>1029</v>
      </c>
      <c r="S9" s="1117">
        <f t="shared" si="0"/>
        <v>100</v>
      </c>
      <c r="T9" s="1116" t="s">
        <v>1029</v>
      </c>
      <c r="U9" s="1117">
        <f t="shared" si="1"/>
        <v>100</v>
      </c>
      <c r="V9" s="1116" t="s">
        <v>1029</v>
      </c>
      <c r="W9" s="1117">
        <f t="shared" si="2"/>
        <v>100</v>
      </c>
      <c r="X9" s="1118"/>
      <c r="Y9" s="3334" t="s">
        <v>1036</v>
      </c>
      <c r="Z9" s="1131" t="str">
        <f t="shared" ref="Z9:Z15" si="7">Q9</f>
        <v>用途</v>
      </c>
      <c r="AA9" s="1130">
        <f t="shared" si="3"/>
        <v>1</v>
      </c>
      <c r="AB9" s="1130">
        <f t="shared" si="4"/>
        <v>1</v>
      </c>
      <c r="AC9" s="1130">
        <f t="shared" si="5"/>
        <v>1</v>
      </c>
    </row>
    <row r="10" spans="1:29" s="906" customFormat="1" ht="27">
      <c r="A10" s="942"/>
      <c r="B10" s="943" t="s">
        <v>1037</v>
      </c>
      <c r="C10" s="1301"/>
      <c r="D10" s="945">
        <v>100</v>
      </c>
      <c r="E10" s="1370"/>
      <c r="F10" s="1302">
        <f>SUMIF(65:65,E10,66:66)-SUMIF(65:65,C10,66:66)+100</f>
        <v>100</v>
      </c>
      <c r="G10" s="1301"/>
      <c r="H10" s="945">
        <f>SUMIF(65:65,G10,66:66)-SUMIF(65:65,C10,66:66)+100</f>
        <v>100</v>
      </c>
      <c r="I10" s="1301"/>
      <c r="J10" s="945">
        <f>SUMIF(65:65,I10,66:66)-SUMIF(65:65,C10,66:66)+100</f>
        <v>100</v>
      </c>
      <c r="K10" s="1486"/>
      <c r="L10" s="1079"/>
      <c r="M10" s="1080"/>
      <c r="N10" s="1080"/>
      <c r="O10" s="1080"/>
      <c r="P10" s="3492"/>
      <c r="Q10" s="1120" t="str">
        <f t="shared" si="6"/>
        <v>土地使用年限（年）</v>
      </c>
      <c r="R10" s="1116" t="s">
        <v>1029</v>
      </c>
      <c r="S10" s="1117">
        <f t="shared" si="0"/>
        <v>100</v>
      </c>
      <c r="T10" s="1116" t="s">
        <v>1029</v>
      </c>
      <c r="U10" s="1117">
        <f t="shared" si="1"/>
        <v>100</v>
      </c>
      <c r="V10" s="1116" t="s">
        <v>1029</v>
      </c>
      <c r="W10" s="1117">
        <f t="shared" si="2"/>
        <v>100</v>
      </c>
      <c r="X10" s="1118"/>
      <c r="Y10" s="3334"/>
      <c r="Z10" s="1131" t="str">
        <f t="shared" si="7"/>
        <v>土地使用年限（年）</v>
      </c>
      <c r="AA10" s="1130">
        <f t="shared" si="3"/>
        <v>1</v>
      </c>
      <c r="AB10" s="1130">
        <f t="shared" si="4"/>
        <v>1</v>
      </c>
      <c r="AC10" s="1130">
        <f t="shared" si="5"/>
        <v>1</v>
      </c>
    </row>
    <row r="11" spans="1:29" ht="15">
      <c r="A11" s="946"/>
      <c r="B11" s="943" t="s">
        <v>1038</v>
      </c>
      <c r="C11" s="947"/>
      <c r="D11" s="945">
        <v>100</v>
      </c>
      <c r="E11" s="948"/>
      <c r="F11" s="1302" t="e">
        <f>LOOKUP(E11,68:68,69:69)-LOOKUP(C11,68:68,69:69)+100</f>
        <v>#N/A</v>
      </c>
      <c r="G11" s="947"/>
      <c r="H11" s="945" t="e">
        <f>LOOKUP(G11,68:68,69:69)-LOOKUP(C11,68:68,69:69)+100</f>
        <v>#N/A</v>
      </c>
      <c r="I11" s="947"/>
      <c r="J11" s="945" t="e">
        <f>LOOKUP(I11,68:68,69:69)-LOOKUP(C11,68:68,69:69)+100</f>
        <v>#N/A</v>
      </c>
      <c r="K11" s="1486"/>
      <c r="L11" s="1083"/>
      <c r="M11" s="1073"/>
      <c r="N11" s="1073"/>
      <c r="O11" s="1073"/>
      <c r="P11" s="3492"/>
      <c r="Q11" s="1120" t="str">
        <f t="shared" si="6"/>
        <v>容积率</v>
      </c>
      <c r="R11" s="1116" t="s">
        <v>1029</v>
      </c>
      <c r="S11" s="1117" t="e">
        <f t="shared" si="0"/>
        <v>#N/A</v>
      </c>
      <c r="T11" s="1116" t="s">
        <v>1029</v>
      </c>
      <c r="U11" s="1117" t="e">
        <f t="shared" si="1"/>
        <v>#N/A</v>
      </c>
      <c r="V11" s="1116" t="s">
        <v>1029</v>
      </c>
      <c r="W11" s="1117" t="e">
        <f t="shared" si="2"/>
        <v>#N/A</v>
      </c>
      <c r="X11" s="1118"/>
      <c r="Y11" s="333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487"/>
      <c r="L12" s="1075"/>
      <c r="M12" s="1076"/>
      <c r="N12" s="1076"/>
      <c r="O12" s="1076"/>
      <c r="P12" s="3492"/>
      <c r="Q12" s="1120">
        <f t="shared" si="6"/>
        <v>111</v>
      </c>
      <c r="R12" s="1116" t="s">
        <v>1029</v>
      </c>
      <c r="S12" s="1117">
        <f t="shared" si="0"/>
        <v>100</v>
      </c>
      <c r="T12" s="1116" t="s">
        <v>1029</v>
      </c>
      <c r="U12" s="1117">
        <f t="shared" si="1"/>
        <v>100</v>
      </c>
      <c r="V12" s="1116" t="s">
        <v>1029</v>
      </c>
      <c r="W12" s="1117">
        <f t="shared" si="2"/>
        <v>100</v>
      </c>
      <c r="X12" s="1118"/>
      <c r="Y12" s="333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487"/>
      <c r="L13" s="1085"/>
      <c r="M13" s="1073"/>
      <c r="N13" s="1073"/>
      <c r="O13" s="1073"/>
      <c r="P13" s="3492"/>
      <c r="Q13" s="1120">
        <f t="shared" si="6"/>
        <v>111</v>
      </c>
      <c r="R13" s="1116" t="s">
        <v>1029</v>
      </c>
      <c r="S13" s="1117">
        <f t="shared" si="0"/>
        <v>100</v>
      </c>
      <c r="T13" s="1116" t="s">
        <v>1029</v>
      </c>
      <c r="U13" s="1117">
        <f t="shared" si="1"/>
        <v>100</v>
      </c>
      <c r="V13" s="1116" t="s">
        <v>1029</v>
      </c>
      <c r="W13" s="1117">
        <f t="shared" si="2"/>
        <v>100</v>
      </c>
      <c r="X13" s="1118"/>
      <c r="Y13" s="3334"/>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487"/>
      <c r="L14" s="1085"/>
      <c r="M14" s="1073"/>
      <c r="N14" s="1073"/>
      <c r="O14" s="1073"/>
      <c r="P14" s="3492"/>
      <c r="Q14" s="1120">
        <f t="shared" si="6"/>
        <v>111</v>
      </c>
      <c r="R14" s="1116" t="s">
        <v>1029</v>
      </c>
      <c r="S14" s="1117">
        <f t="shared" si="0"/>
        <v>100</v>
      </c>
      <c r="T14" s="1116" t="s">
        <v>1029</v>
      </c>
      <c r="U14" s="1117">
        <f t="shared" si="1"/>
        <v>100</v>
      </c>
      <c r="V14" s="1116" t="s">
        <v>1029</v>
      </c>
      <c r="W14" s="1117">
        <f t="shared" si="2"/>
        <v>100</v>
      </c>
      <c r="X14" s="1118"/>
      <c r="Y14" s="3334"/>
      <c r="Z14" s="1131">
        <f t="shared" si="7"/>
        <v>111</v>
      </c>
      <c r="AA14" s="1130">
        <f t="shared" si="3"/>
        <v>1</v>
      </c>
      <c r="AB14" s="1130">
        <f t="shared" si="4"/>
        <v>1</v>
      </c>
      <c r="AC14" s="1130">
        <f t="shared" si="5"/>
        <v>1</v>
      </c>
    </row>
    <row r="15" spans="1:29" ht="15">
      <c r="A15" s="960" t="s">
        <v>1039</v>
      </c>
      <c r="B15" s="1253" t="s">
        <v>1500</v>
      </c>
      <c r="C15" s="1254">
        <f>估价对象房地状况!C3</f>
        <v>0</v>
      </c>
      <c r="D15" s="963">
        <v>100</v>
      </c>
      <c r="E15" s="1086"/>
      <c r="F15" s="963">
        <f>SUMIF(76:76,E16,77:77)-SUMIF(76:76,C16,77:77)+100</f>
        <v>100</v>
      </c>
      <c r="G15" s="964"/>
      <c r="H15" s="963">
        <f>SUMIF(76:76,G16,77:77)-SUMIF(76:76,C16,77:77)+100</f>
        <v>100</v>
      </c>
      <c r="I15" s="964"/>
      <c r="J15" s="963">
        <f>SUMIF(76:76,I16,77:77)-SUMIF(76:76,C16,77:77)+100</f>
        <v>100</v>
      </c>
      <c r="K15" s="1488"/>
      <c r="L15" s="1085"/>
      <c r="M15" s="1073"/>
      <c r="N15" s="1073"/>
      <c r="O15" s="1073"/>
      <c r="P15" s="3493" t="s">
        <v>1041</v>
      </c>
      <c r="Q15" s="681" t="str">
        <f t="shared" si="6"/>
        <v>居住社区成熟度</v>
      </c>
      <c r="R15" s="1121" t="s">
        <v>1029</v>
      </c>
      <c r="S15" s="1122">
        <f t="shared" si="0"/>
        <v>100</v>
      </c>
      <c r="T15" s="1121" t="s">
        <v>1029</v>
      </c>
      <c r="U15" s="1122">
        <f t="shared" si="1"/>
        <v>100</v>
      </c>
      <c r="V15" s="1121" t="s">
        <v>1029</v>
      </c>
      <c r="W15" s="1122">
        <f t="shared" si="2"/>
        <v>100</v>
      </c>
      <c r="X15" s="1115"/>
      <c r="Y15" s="3448" t="s">
        <v>1041</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489"/>
      <c r="L16" s="1085"/>
      <c r="M16" s="1073"/>
      <c r="N16" s="1073"/>
      <c r="O16" s="1073"/>
      <c r="P16" s="3494"/>
      <c r="Q16" s="681"/>
      <c r="R16" s="1121"/>
      <c r="S16" s="1122"/>
      <c r="T16" s="1121"/>
      <c r="U16" s="1122"/>
      <c r="V16" s="1121"/>
      <c r="W16" s="1122"/>
      <c r="X16" s="1115"/>
      <c r="Y16" s="3449"/>
      <c r="Z16" s="1105"/>
      <c r="AA16" s="1132">
        <v>1</v>
      </c>
      <c r="AB16" s="1132">
        <v>1</v>
      </c>
      <c r="AC16" s="1132">
        <v>1</v>
      </c>
    </row>
    <row r="17" spans="1:29" ht="15">
      <c r="A17" s="946"/>
      <c r="B17" s="1256" t="s">
        <v>1042</v>
      </c>
      <c r="C17" s="971">
        <f>估价对象房地状况!C6</f>
        <v>0</v>
      </c>
      <c r="D17" s="969">
        <v>100</v>
      </c>
      <c r="E17" s="1087"/>
      <c r="F17" s="969">
        <f>SUMIF(78:78,E18,79:79)-SUMIF(78:78,C18,79:79)+100</f>
        <v>100</v>
      </c>
      <c r="G17" s="972"/>
      <c r="H17" s="973">
        <f>SUMIF(78:78,G18,79:79)-SUMIF(78:78,C18,79:79)+100</f>
        <v>100</v>
      </c>
      <c r="I17" s="972"/>
      <c r="J17" s="973">
        <f>SUMIF(78:78,I18,79:79)-SUMIF(78:78,C18,79:79)+100</f>
        <v>100</v>
      </c>
      <c r="K17" s="1488"/>
      <c r="L17" s="1085"/>
      <c r="M17" s="1073"/>
      <c r="N17" s="1073"/>
      <c r="O17" s="1073"/>
      <c r="P17" s="3494"/>
      <c r="Q17" s="681" t="str">
        <f>B17</f>
        <v>交通便捷度</v>
      </c>
      <c r="R17" s="1121" t="s">
        <v>1029</v>
      </c>
      <c r="S17" s="1122">
        <f>F17</f>
        <v>100</v>
      </c>
      <c r="T17" s="1121" t="s">
        <v>1029</v>
      </c>
      <c r="U17" s="1122">
        <f>H17</f>
        <v>100</v>
      </c>
      <c r="V17" s="1121" t="s">
        <v>1029</v>
      </c>
      <c r="W17" s="1122">
        <f>J17</f>
        <v>100</v>
      </c>
      <c r="X17" s="1115"/>
      <c r="Y17" s="3449"/>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489"/>
      <c r="L18" s="1085"/>
      <c r="M18" s="1073"/>
      <c r="N18" s="1073"/>
      <c r="O18" s="1073"/>
      <c r="P18" s="3494"/>
      <c r="Q18" s="681"/>
      <c r="R18" s="1121"/>
      <c r="S18" s="1122"/>
      <c r="T18" s="1121"/>
      <c r="U18" s="1122"/>
      <c r="V18" s="1121"/>
      <c r="W18" s="1122"/>
      <c r="X18" s="1115"/>
      <c r="Y18" s="3449"/>
      <c r="Z18" s="1105"/>
      <c r="AA18" s="1132">
        <v>1</v>
      </c>
      <c r="AB18" s="1132">
        <v>1</v>
      </c>
      <c r="AC18" s="1132">
        <v>1</v>
      </c>
    </row>
    <row r="19" spans="1:29" ht="15">
      <c r="A19" s="946"/>
      <c r="B19" s="1256" t="s">
        <v>1043</v>
      </c>
      <c r="C19" s="971">
        <f>估价对象房地状况!C7</f>
        <v>0</v>
      </c>
      <c r="D19" s="973">
        <v>100</v>
      </c>
      <c r="E19" s="1267"/>
      <c r="F19" s="973">
        <f>SUMIF(80:80,E20,81:81)-SUMIF(80:80,C20,81:81)+100</f>
        <v>100</v>
      </c>
      <c r="G19" s="1259"/>
      <c r="H19" s="969">
        <f>SUMIF(80:80,G20,81:81)-SUMIF(80:80,C20,81:81)+100</f>
        <v>100</v>
      </c>
      <c r="I19" s="1259"/>
      <c r="J19" s="969">
        <f>SUMIF(80:80,I20,81:81)-SUMIF(80:80,C20,81:81)+100</f>
        <v>100</v>
      </c>
      <c r="K19" s="1488"/>
      <c r="L19" s="1085"/>
      <c r="M19" s="1073"/>
      <c r="N19" s="1073"/>
      <c r="O19" s="1073"/>
      <c r="P19" s="3494"/>
      <c r="Q19" s="681" t="str">
        <f>B19</f>
        <v>公共配套设施</v>
      </c>
      <c r="R19" s="1121" t="s">
        <v>1029</v>
      </c>
      <c r="S19" s="1122">
        <f>F19</f>
        <v>100</v>
      </c>
      <c r="T19" s="1121" t="s">
        <v>1029</v>
      </c>
      <c r="U19" s="1122">
        <f>H19</f>
        <v>100</v>
      </c>
      <c r="V19" s="1121" t="s">
        <v>1029</v>
      </c>
      <c r="W19" s="1122">
        <f>J19</f>
        <v>100</v>
      </c>
      <c r="X19" s="1115"/>
      <c r="Y19" s="3449"/>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489"/>
      <c r="L20" s="1085"/>
      <c r="M20" s="1073"/>
      <c r="N20" s="1073"/>
      <c r="O20" s="1073"/>
      <c r="P20" s="3494"/>
      <c r="Q20" s="681"/>
      <c r="R20" s="1121"/>
      <c r="S20" s="1122"/>
      <c r="T20" s="1121"/>
      <c r="U20" s="1122"/>
      <c r="V20" s="1121"/>
      <c r="W20" s="1122"/>
      <c r="X20" s="1115"/>
      <c r="Y20" s="3449"/>
      <c r="Z20" s="1105"/>
      <c r="AA20" s="1132">
        <v>1</v>
      </c>
      <c r="AB20" s="1132">
        <v>1</v>
      </c>
      <c r="AC20" s="1132">
        <v>1</v>
      </c>
    </row>
    <row r="21" spans="1:29" ht="15">
      <c r="A21" s="946"/>
      <c r="B21" s="1260" t="s">
        <v>1044</v>
      </c>
      <c r="C21" s="971">
        <f>估价对象房地状况!C8</f>
        <v>0</v>
      </c>
      <c r="D21" s="969">
        <v>100</v>
      </c>
      <c r="E21" s="1267"/>
      <c r="F21" s="973">
        <f>SUMIF(82:82,E22,83:83)-SUMIF(82:82,C22,83:83)+100</f>
        <v>100</v>
      </c>
      <c r="G21" s="1259"/>
      <c r="H21" s="969">
        <f>SUMIF(82:82,G22,83:83)-SUMIF(82:82,C22,83:83)+100</f>
        <v>100</v>
      </c>
      <c r="I21" s="1259"/>
      <c r="J21" s="969">
        <f>SUMIF(82:82,I22,83:83)-SUMIF(82:82,C22,83:83)+100</f>
        <v>100</v>
      </c>
      <c r="K21" s="1488"/>
      <c r="L21" s="1085"/>
      <c r="M21" s="1073"/>
      <c r="N21" s="1073"/>
      <c r="O21" s="1073"/>
      <c r="P21" s="3494"/>
      <c r="Q21" s="681" t="str">
        <f>B21</f>
        <v>基础设施水平</v>
      </c>
      <c r="R21" s="1121" t="s">
        <v>1029</v>
      </c>
      <c r="S21" s="1122">
        <f>F21</f>
        <v>100</v>
      </c>
      <c r="T21" s="1121" t="s">
        <v>1029</v>
      </c>
      <c r="U21" s="1122">
        <f>H21</f>
        <v>100</v>
      </c>
      <c r="V21" s="1121" t="s">
        <v>1029</v>
      </c>
      <c r="W21" s="1122">
        <f>J21</f>
        <v>100</v>
      </c>
      <c r="X21" s="1115"/>
      <c r="Y21" s="3449"/>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490"/>
      <c r="L22" s="1085"/>
      <c r="M22" s="1073"/>
      <c r="N22" s="1073"/>
      <c r="O22" s="1073"/>
      <c r="P22" s="3494"/>
      <c r="Q22" s="681"/>
      <c r="R22" s="1121"/>
      <c r="S22" s="1122"/>
      <c r="T22" s="1121"/>
      <c r="U22" s="1122"/>
      <c r="V22" s="1121"/>
      <c r="W22" s="1122"/>
      <c r="X22" s="1115"/>
      <c r="Y22" s="3449"/>
      <c r="Z22" s="1105"/>
      <c r="AA22" s="1132">
        <v>1</v>
      </c>
      <c r="AB22" s="1132">
        <v>1</v>
      </c>
      <c r="AC22" s="1132">
        <v>1</v>
      </c>
    </row>
    <row r="23" spans="1:29" ht="15">
      <c r="A23" s="946"/>
      <c r="B23" s="1256" t="s">
        <v>1501</v>
      </c>
      <c r="C23" s="971">
        <f>估价对象房地状况!C9</f>
        <v>0</v>
      </c>
      <c r="D23" s="969">
        <v>100</v>
      </c>
      <c r="E23" s="1087"/>
      <c r="F23" s="969">
        <f>SUMIF(84:84,E24,85:85)-SUMIF(84:84,C24,85:85)+100</f>
        <v>100</v>
      </c>
      <c r="G23" s="972"/>
      <c r="H23" s="969">
        <f>SUMIF(84:84,G24,85:85)-SUMIF(84:84,C24,85:85)+100</f>
        <v>100</v>
      </c>
      <c r="I23" s="972"/>
      <c r="J23" s="969">
        <f>SUMIF(84:84,I24,85:85)-SUMIF(84:84,C24,85:85)+100</f>
        <v>100</v>
      </c>
      <c r="K23" s="1488"/>
      <c r="L23" s="1085"/>
      <c r="M23" s="1073"/>
      <c r="N23" s="1073"/>
      <c r="O23" s="1073"/>
      <c r="P23" s="3494"/>
      <c r="Q23" s="681" t="str">
        <f>B23</f>
        <v>自然及人文环境</v>
      </c>
      <c r="R23" s="1121" t="s">
        <v>1029</v>
      </c>
      <c r="S23" s="1122">
        <f>F23</f>
        <v>100</v>
      </c>
      <c r="T23" s="1121" t="s">
        <v>1029</v>
      </c>
      <c r="U23" s="1122">
        <f>H23</f>
        <v>100</v>
      </c>
      <c r="V23" s="1121" t="s">
        <v>1029</v>
      </c>
      <c r="W23" s="1122">
        <f>J23</f>
        <v>100</v>
      </c>
      <c r="X23" s="1115"/>
      <c r="Y23" s="3449"/>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489"/>
      <c r="L24" s="1085"/>
      <c r="M24" s="1073"/>
      <c r="N24" s="1073"/>
      <c r="O24" s="1073"/>
      <c r="P24" s="3494"/>
      <c r="Q24" s="681"/>
      <c r="R24" s="1121"/>
      <c r="S24" s="1122"/>
      <c r="T24" s="1121"/>
      <c r="U24" s="1122"/>
      <c r="V24" s="1121"/>
      <c r="W24" s="1122"/>
      <c r="X24" s="1115"/>
      <c r="Y24" s="3449"/>
      <c r="Z24" s="1105"/>
      <c r="AA24" s="1132">
        <v>1</v>
      </c>
      <c r="AB24" s="1132">
        <v>1</v>
      </c>
      <c r="AC24" s="1132">
        <v>1</v>
      </c>
    </row>
    <row r="25" spans="1:29" ht="15">
      <c r="A25" s="946"/>
      <c r="B25" s="943" t="s">
        <v>1502</v>
      </c>
      <c r="C25" s="1319"/>
      <c r="D25" s="955">
        <v>100</v>
      </c>
      <c r="E25" s="998"/>
      <c r="F25" s="955">
        <f>SUMIF(86:86,E25,87:87)-SUMIF(86:86,C25,87:87)+100</f>
        <v>100</v>
      </c>
      <c r="G25" s="1472"/>
      <c r="H25" s="955">
        <f>SUMIF(86:86,G25,87:87)-SUMIF(86:86,C25,87:87)+100</f>
        <v>100</v>
      </c>
      <c r="I25" s="1472"/>
      <c r="J25" s="955">
        <f>SUMIF(86:86,I25,87:87)-SUMIF(86:86,C25,87:87)+100</f>
        <v>100</v>
      </c>
      <c r="K25" s="1486"/>
      <c r="L25" s="1085"/>
      <c r="M25" s="1073"/>
      <c r="N25" s="1073"/>
      <c r="O25" s="1073"/>
      <c r="P25" s="3494"/>
      <c r="Q25" s="681" t="str">
        <f t="shared" ref="Q25:Q46" si="11">B25</f>
        <v>楼层-1</v>
      </c>
      <c r="R25" s="1121" t="s">
        <v>1029</v>
      </c>
      <c r="S25" s="1122">
        <f t="shared" ref="S25:S46" si="12">F25</f>
        <v>100</v>
      </c>
      <c r="T25" s="1121" t="s">
        <v>1029</v>
      </c>
      <c r="U25" s="1122">
        <f t="shared" ref="U25:U46" si="13">H25</f>
        <v>100</v>
      </c>
      <c r="V25" s="1121" t="s">
        <v>1029</v>
      </c>
      <c r="W25" s="1122">
        <f t="shared" ref="W25:W46" si="14">J25</f>
        <v>100</v>
      </c>
      <c r="X25" s="1115"/>
      <c r="Y25" s="3449"/>
      <c r="Z25" s="1105" t="str">
        <f>Q25</f>
        <v>楼层-1</v>
      </c>
      <c r="AA25" s="1132">
        <f t="shared" ref="AA25:AA46" si="15">D25/F25</f>
        <v>1</v>
      </c>
      <c r="AB25" s="1132">
        <f t="shared" ref="AB25:AB46" si="16">D25/H25</f>
        <v>1</v>
      </c>
      <c r="AC25" s="1132">
        <f t="shared" ref="AC25:AC46" si="17">D25/J25</f>
        <v>1</v>
      </c>
    </row>
    <row r="26" spans="1:29" ht="15">
      <c r="A26" s="946"/>
      <c r="B26" s="943" t="s">
        <v>1503</v>
      </c>
      <c r="C26" s="1319"/>
      <c r="D26" s="955">
        <v>100</v>
      </c>
      <c r="E26" s="998"/>
      <c r="F26" s="955">
        <f>SUMIF(88:88,E26,89:89)-SUMIF(88:88,C26,89:89)+100</f>
        <v>100</v>
      </c>
      <c r="G26" s="1472"/>
      <c r="H26" s="955">
        <f>SUMIF(88:88,G26,89:89)-SUMIF(88:88,C26,89:89)+100</f>
        <v>100</v>
      </c>
      <c r="I26" s="1472"/>
      <c r="J26" s="955">
        <f>SUMIF(88:88,I26,89:89)-SUMIF(88:88,C26,89:89)+100</f>
        <v>100</v>
      </c>
      <c r="K26" s="1486"/>
      <c r="L26" s="1085"/>
      <c r="M26" s="1073"/>
      <c r="N26" s="1073"/>
      <c r="O26" s="1073"/>
      <c r="P26" s="3494"/>
      <c r="Q26" s="681" t="str">
        <f t="shared" si="11"/>
        <v>朝向</v>
      </c>
      <c r="R26" s="1121" t="s">
        <v>1029</v>
      </c>
      <c r="S26" s="1122">
        <f t="shared" si="12"/>
        <v>100</v>
      </c>
      <c r="T26" s="1121" t="s">
        <v>1029</v>
      </c>
      <c r="U26" s="1122">
        <f t="shared" si="13"/>
        <v>100</v>
      </c>
      <c r="V26" s="1121" t="s">
        <v>1029</v>
      </c>
      <c r="W26" s="1122">
        <f t="shared" si="14"/>
        <v>100</v>
      </c>
      <c r="X26" s="1115"/>
      <c r="Y26" s="3449"/>
      <c r="Z26" s="1105" t="str">
        <f>Q26</f>
        <v>朝向</v>
      </c>
      <c r="AA26" s="1132">
        <f t="shared" si="15"/>
        <v>1</v>
      </c>
      <c r="AB26" s="1132">
        <f t="shared" si="16"/>
        <v>1</v>
      </c>
      <c r="AC26" s="1132">
        <f t="shared" si="17"/>
        <v>1</v>
      </c>
    </row>
    <row r="27" spans="1:29" s="905" customFormat="1" ht="15">
      <c r="A27" s="949"/>
      <c r="B27" s="1261">
        <v>111</v>
      </c>
      <c r="C27" s="944"/>
      <c r="D27" s="1428">
        <v>100</v>
      </c>
      <c r="E27" s="1251"/>
      <c r="F27" s="1428">
        <f>SUMIF(90:90,E27,91:91)-SUMIF(90:90,C27,91:91)+100</f>
        <v>100</v>
      </c>
      <c r="G27" s="1252"/>
      <c r="H27" s="1428">
        <f>SUMIF(90:90,G27,91:91)-SUMIF(90:90,C27,91:91)+100</f>
        <v>100</v>
      </c>
      <c r="I27" s="1252"/>
      <c r="J27" s="1428">
        <f>SUMIF(90:90,I27,91:91)-SUMIF(90:90,C27,91:91)+100</f>
        <v>100</v>
      </c>
      <c r="K27" s="1487"/>
      <c r="L27" s="1075"/>
      <c r="M27" s="1076"/>
      <c r="N27" s="1076"/>
      <c r="O27" s="1076"/>
      <c r="P27" s="3494"/>
      <c r="Q27" s="1120">
        <f t="shared" si="11"/>
        <v>111</v>
      </c>
      <c r="R27" s="1116" t="s">
        <v>1029</v>
      </c>
      <c r="S27" s="1117">
        <f t="shared" si="12"/>
        <v>100</v>
      </c>
      <c r="T27" s="1116" t="s">
        <v>1029</v>
      </c>
      <c r="U27" s="1117">
        <f t="shared" si="13"/>
        <v>100</v>
      </c>
      <c r="V27" s="1116" t="s">
        <v>1029</v>
      </c>
      <c r="W27" s="1117">
        <f t="shared" si="14"/>
        <v>100</v>
      </c>
      <c r="X27" s="1118"/>
      <c r="Y27" s="3449"/>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26"/>
      <c r="H28" s="955">
        <f>SUMIF(92:92,G28,93:93)-SUMIF(92:92,C28,93:93)+100</f>
        <v>100</v>
      </c>
      <c r="I28" s="954"/>
      <c r="J28" s="955">
        <f>SUMIF(92:92,I28,93:93)-SUMIF(92:92,C28,93:93)+100</f>
        <v>100</v>
      </c>
      <c r="K28" s="1487"/>
      <c r="L28" s="1085"/>
      <c r="M28" s="1073"/>
      <c r="N28" s="1073"/>
      <c r="O28" s="1073"/>
      <c r="P28" s="3494"/>
      <c r="Q28" s="681">
        <f t="shared" si="11"/>
        <v>111</v>
      </c>
      <c r="R28" s="1121" t="s">
        <v>1029</v>
      </c>
      <c r="S28" s="1122">
        <f t="shared" si="12"/>
        <v>100</v>
      </c>
      <c r="T28" s="1121" t="s">
        <v>1029</v>
      </c>
      <c r="U28" s="1122">
        <f t="shared" si="13"/>
        <v>100</v>
      </c>
      <c r="V28" s="1121" t="s">
        <v>1029</v>
      </c>
      <c r="W28" s="1122">
        <f t="shared" si="14"/>
        <v>100</v>
      </c>
      <c r="X28" s="1115"/>
      <c r="Y28" s="3449"/>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26"/>
      <c r="H29" s="955">
        <f>SUMIF(94:94,G29,95:95)-SUMIF(94:94,C29,95:95)+100</f>
        <v>100</v>
      </c>
      <c r="I29" s="954"/>
      <c r="J29" s="955">
        <f>SUMIF(94:94,I29,95:95)-SUMIF(94:94,C29,95:95)+100</f>
        <v>100</v>
      </c>
      <c r="K29" s="1487"/>
      <c r="L29" s="1085"/>
      <c r="M29" s="1073"/>
      <c r="N29" s="1073"/>
      <c r="O29" s="1073"/>
      <c r="P29" s="3494"/>
      <c r="Q29" s="681">
        <f t="shared" si="11"/>
        <v>111</v>
      </c>
      <c r="R29" s="1121" t="s">
        <v>1029</v>
      </c>
      <c r="S29" s="1122">
        <f t="shared" si="12"/>
        <v>100</v>
      </c>
      <c r="T29" s="1121" t="s">
        <v>1029</v>
      </c>
      <c r="U29" s="1122">
        <f t="shared" si="13"/>
        <v>100</v>
      </c>
      <c r="V29" s="1121" t="s">
        <v>1029</v>
      </c>
      <c r="W29" s="1122">
        <f t="shared" si="14"/>
        <v>100</v>
      </c>
      <c r="X29" s="1115"/>
      <c r="Y29" s="3449"/>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26"/>
      <c r="H30" s="955">
        <f>SUMIF(96:96,G30,97:97)-SUMIF(96:96,C30,97:97)+100</f>
        <v>100</v>
      </c>
      <c r="I30" s="954"/>
      <c r="J30" s="955">
        <f>SUMIF(96:96,I30,97:97)-SUMIF(96:96,C30,97:97)+100</f>
        <v>100</v>
      </c>
      <c r="K30" s="1487"/>
      <c r="L30" s="1085"/>
      <c r="M30" s="1073"/>
      <c r="N30" s="1073"/>
      <c r="O30" s="1073"/>
      <c r="P30" s="3494"/>
      <c r="Q30" s="681">
        <f t="shared" si="11"/>
        <v>111</v>
      </c>
      <c r="R30" s="1121" t="s">
        <v>1029</v>
      </c>
      <c r="S30" s="1122">
        <f t="shared" si="12"/>
        <v>100</v>
      </c>
      <c r="T30" s="1121" t="s">
        <v>1029</v>
      </c>
      <c r="U30" s="1122">
        <f t="shared" si="13"/>
        <v>100</v>
      </c>
      <c r="V30" s="1121" t="s">
        <v>1029</v>
      </c>
      <c r="W30" s="1122">
        <f t="shared" si="14"/>
        <v>100</v>
      </c>
      <c r="X30" s="1115"/>
      <c r="Y30" s="3449"/>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30"/>
      <c r="H31" s="959">
        <f>SUMIF(98:98,G31,99:99)-SUMIF(98:98,C31,99:99)+100</f>
        <v>100</v>
      </c>
      <c r="I31" s="958"/>
      <c r="J31" s="959">
        <f>SUMIF(98:98,I31,99:99)-SUMIF(98:98,C31,99:99)+100</f>
        <v>100</v>
      </c>
      <c r="K31" s="1487"/>
      <c r="L31" s="1085"/>
      <c r="M31" s="1073"/>
      <c r="N31" s="1073"/>
      <c r="O31" s="1073"/>
      <c r="P31" s="3494"/>
      <c r="Q31" s="681">
        <f t="shared" si="11"/>
        <v>111</v>
      </c>
      <c r="R31" s="1121" t="s">
        <v>1029</v>
      </c>
      <c r="S31" s="1122">
        <f t="shared" si="12"/>
        <v>100</v>
      </c>
      <c r="T31" s="1121" t="s">
        <v>1029</v>
      </c>
      <c r="U31" s="1122">
        <f t="shared" si="13"/>
        <v>100</v>
      </c>
      <c r="V31" s="1121" t="s">
        <v>1029</v>
      </c>
      <c r="W31" s="1122">
        <f t="shared" si="14"/>
        <v>100</v>
      </c>
      <c r="X31" s="1115"/>
      <c r="Y31" s="3449"/>
      <c r="Z31" s="1105">
        <f t="shared" si="18"/>
        <v>111</v>
      </c>
      <c r="AA31" s="1132">
        <f t="shared" si="15"/>
        <v>1</v>
      </c>
      <c r="AB31" s="1132">
        <f t="shared" si="16"/>
        <v>1</v>
      </c>
      <c r="AC31" s="1132">
        <f t="shared" si="17"/>
        <v>1</v>
      </c>
    </row>
    <row r="32" spans="1:29" ht="15">
      <c r="A32" s="960" t="s">
        <v>1048</v>
      </c>
      <c r="B32" s="939" t="s">
        <v>1049</v>
      </c>
      <c r="C32" s="1446"/>
      <c r="D32" s="996">
        <v>100</v>
      </c>
      <c r="E32" s="1473"/>
      <c r="F32" s="1309">
        <f>SUMIF(100:100,E32,101:101)-SUMIF(100:100,C32,101:101)+100</f>
        <v>100</v>
      </c>
      <c r="G32" s="1446"/>
      <c r="H32" s="996">
        <f>SUMIF(100:100,G32,101:101)-SUMIF(100:100,C32,101:101)+100</f>
        <v>100</v>
      </c>
      <c r="I32" s="1473"/>
      <c r="J32" s="955">
        <f>SUMIF(100:100,I32,101:101)-SUMIF(100:100,C32,101:101)+100</f>
        <v>100</v>
      </c>
      <c r="K32" s="1486"/>
      <c r="L32" s="1085"/>
      <c r="M32" s="1073"/>
      <c r="N32" s="1073"/>
      <c r="O32" s="1073"/>
      <c r="P32" s="3495" t="s">
        <v>1051</v>
      </c>
      <c r="Q32" s="681" t="str">
        <f t="shared" si="11"/>
        <v>建筑类型</v>
      </c>
      <c r="R32" s="1121" t="s">
        <v>1029</v>
      </c>
      <c r="S32" s="1122">
        <f t="shared" si="12"/>
        <v>100</v>
      </c>
      <c r="T32" s="1121" t="s">
        <v>1029</v>
      </c>
      <c r="U32" s="1122">
        <f t="shared" si="13"/>
        <v>100</v>
      </c>
      <c r="V32" s="1121" t="s">
        <v>1029</v>
      </c>
      <c r="W32" s="1122">
        <f t="shared" si="14"/>
        <v>100</v>
      </c>
      <c r="X32" s="1115"/>
      <c r="Y32" s="3451" t="s">
        <v>1051</v>
      </c>
      <c r="Z32" s="1105" t="str">
        <f t="shared" si="18"/>
        <v>建筑类型</v>
      </c>
      <c r="AA32" s="1132">
        <f t="shared" si="15"/>
        <v>1</v>
      </c>
      <c r="AB32" s="1132">
        <f t="shared" si="16"/>
        <v>1</v>
      </c>
      <c r="AC32" s="1132">
        <f t="shared" si="17"/>
        <v>1</v>
      </c>
    </row>
    <row r="33" spans="1:29" s="907" customFormat="1" ht="15">
      <c r="A33" s="1002"/>
      <c r="B33" s="943" t="s">
        <v>1052</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487"/>
      <c r="L33" s="1083"/>
      <c r="M33" s="1092"/>
      <c r="N33" s="1092"/>
      <c r="O33" s="1092"/>
      <c r="P33" s="3496"/>
      <c r="Q33" s="1348" t="str">
        <f t="shared" si="11"/>
        <v>项目建筑规模</v>
      </c>
      <c r="R33" s="1123" t="s">
        <v>1029</v>
      </c>
      <c r="S33" s="1124" t="e">
        <f t="shared" si="12"/>
        <v>#N/A</v>
      </c>
      <c r="T33" s="1123" t="s">
        <v>1029</v>
      </c>
      <c r="U33" s="1124" t="e">
        <f t="shared" si="13"/>
        <v>#N/A</v>
      </c>
      <c r="V33" s="1123" t="s">
        <v>1029</v>
      </c>
      <c r="W33" s="1124" t="e">
        <f t="shared" si="14"/>
        <v>#N/A</v>
      </c>
      <c r="X33" s="1125"/>
      <c r="Y33" s="3451"/>
      <c r="Z33" s="1133" t="str">
        <f t="shared" si="18"/>
        <v>项目建筑规模</v>
      </c>
      <c r="AA33" s="1132" t="e">
        <f t="shared" si="15"/>
        <v>#N/A</v>
      </c>
      <c r="AB33" s="1132" t="e">
        <f t="shared" si="16"/>
        <v>#N/A</v>
      </c>
      <c r="AC33" s="1132" t="e">
        <f t="shared" si="17"/>
        <v>#N/A</v>
      </c>
    </row>
    <row r="34" spans="1:29" ht="15">
      <c r="A34" s="997"/>
      <c r="B34" s="943" t="s">
        <v>1053</v>
      </c>
      <c r="C34" s="1447"/>
      <c r="D34" s="955">
        <v>100</v>
      </c>
      <c r="E34" s="1474"/>
      <c r="F34" s="1309">
        <f>SUMIF(105:105,E34,106:106)-SUMIF(105:105,C34,106:106)+100</f>
        <v>100</v>
      </c>
      <c r="G34" s="1447"/>
      <c r="H34" s="955">
        <f>SUMIF(105:105,G34,106:106)-SUMIF(105:105,C34,106:106)+100</f>
        <v>100</v>
      </c>
      <c r="I34" s="1474"/>
      <c r="J34" s="955">
        <f>SUMIF(105:105,I34,106:106)-SUMIF(105:105,C34,106:106)+100</f>
        <v>100</v>
      </c>
      <c r="K34" s="1486"/>
      <c r="L34" s="1085"/>
      <c r="M34" s="1073"/>
      <c r="N34" s="1073"/>
      <c r="O34" s="1073"/>
      <c r="P34" s="3496"/>
      <c r="Q34" s="681" t="str">
        <f t="shared" si="11"/>
        <v>建筑结构</v>
      </c>
      <c r="R34" s="1121" t="s">
        <v>1029</v>
      </c>
      <c r="S34" s="1122">
        <f t="shared" si="12"/>
        <v>100</v>
      </c>
      <c r="T34" s="1121" t="s">
        <v>1029</v>
      </c>
      <c r="U34" s="1122">
        <f t="shared" si="13"/>
        <v>100</v>
      </c>
      <c r="V34" s="1121" t="s">
        <v>1029</v>
      </c>
      <c r="W34" s="1122">
        <f t="shared" si="14"/>
        <v>100</v>
      </c>
      <c r="X34" s="1115"/>
      <c r="Y34" s="3451"/>
      <c r="Z34" s="1105" t="str">
        <f t="shared" si="18"/>
        <v>建筑结构</v>
      </c>
      <c r="AA34" s="1132">
        <f t="shared" si="15"/>
        <v>1</v>
      </c>
      <c r="AB34" s="1132">
        <f t="shared" si="16"/>
        <v>1</v>
      </c>
      <c r="AC34" s="1132">
        <f t="shared" si="17"/>
        <v>1</v>
      </c>
    </row>
    <row r="35" spans="1:29" ht="15">
      <c r="A35" s="997"/>
      <c r="B35" s="943" t="s">
        <v>1504</v>
      </c>
      <c r="C35" s="998"/>
      <c r="D35" s="955">
        <v>100</v>
      </c>
      <c r="E35" s="1472"/>
      <c r="F35" s="1309">
        <f>SUMIF(107:107,E35,108:108)-SUMIF(107:107,C35,108:108)+100</f>
        <v>100</v>
      </c>
      <c r="G35" s="998"/>
      <c r="H35" s="955">
        <f>SUMIF(107:107,G35,108:108)-SUMIF(107:107,C35,108:108)+100</f>
        <v>100</v>
      </c>
      <c r="I35" s="1472"/>
      <c r="J35" s="955">
        <f>SUMIF(107:107,I35,108:108)-SUMIF(107:107,C35,108:108)+100</f>
        <v>100</v>
      </c>
      <c r="K35" s="1486"/>
      <c r="L35" s="1085"/>
      <c r="M35" s="1073"/>
      <c r="N35" s="1073"/>
      <c r="O35" s="1073"/>
      <c r="P35" s="3496"/>
      <c r="Q35" s="681" t="str">
        <f t="shared" si="11"/>
        <v>建筑品质</v>
      </c>
      <c r="R35" s="1121" t="s">
        <v>1029</v>
      </c>
      <c r="S35" s="1122">
        <f t="shared" si="12"/>
        <v>100</v>
      </c>
      <c r="T35" s="1121" t="s">
        <v>1029</v>
      </c>
      <c r="U35" s="1122">
        <f t="shared" si="13"/>
        <v>100</v>
      </c>
      <c r="V35" s="1121" t="s">
        <v>1029</v>
      </c>
      <c r="W35" s="1122">
        <f t="shared" si="14"/>
        <v>100</v>
      </c>
      <c r="X35" s="1115"/>
      <c r="Y35" s="3451"/>
      <c r="Z35" s="1105" t="str">
        <f t="shared" si="18"/>
        <v>建筑品质</v>
      </c>
      <c r="AA35" s="1132">
        <f t="shared" si="15"/>
        <v>1</v>
      </c>
      <c r="AB35" s="1132">
        <f t="shared" si="16"/>
        <v>1</v>
      </c>
      <c r="AC35" s="1132">
        <f t="shared" si="17"/>
        <v>1</v>
      </c>
    </row>
    <row r="36" spans="1:29" ht="15">
      <c r="A36" s="997"/>
      <c r="B36" s="943" t="s">
        <v>1055</v>
      </c>
      <c r="C36" s="998"/>
      <c r="D36" s="955">
        <v>100</v>
      </c>
      <c r="E36" s="1472"/>
      <c r="F36" s="1309">
        <f>SUMIF(109:109,E36,110:110)-SUMIF(109:109,C36,110:110)+100</f>
        <v>100</v>
      </c>
      <c r="G36" s="998"/>
      <c r="H36" s="955">
        <f>SUMIF(109:109,G36,110:110)-SUMIF(109:109,C36,110:110)+100</f>
        <v>100</v>
      </c>
      <c r="I36" s="1472"/>
      <c r="J36" s="955">
        <f>SUMIF(109:109,I36,110:110)-SUMIF(109:109,C36,110:110)+100</f>
        <v>100</v>
      </c>
      <c r="K36" s="1486"/>
      <c r="L36" s="1085"/>
      <c r="M36" s="1073"/>
      <c r="N36" s="1073"/>
      <c r="O36" s="1073"/>
      <c r="P36" s="3496"/>
      <c r="Q36" s="681" t="str">
        <f t="shared" si="11"/>
        <v>公共部分装修</v>
      </c>
      <c r="R36" s="1121" t="s">
        <v>1029</v>
      </c>
      <c r="S36" s="1122">
        <f t="shared" si="12"/>
        <v>100</v>
      </c>
      <c r="T36" s="1121" t="s">
        <v>1029</v>
      </c>
      <c r="U36" s="1122">
        <f t="shared" si="13"/>
        <v>100</v>
      </c>
      <c r="V36" s="1121" t="s">
        <v>1029</v>
      </c>
      <c r="W36" s="1122">
        <f t="shared" si="14"/>
        <v>100</v>
      </c>
      <c r="X36" s="1115"/>
      <c r="Y36" s="3451"/>
      <c r="Z36" s="1105" t="str">
        <f t="shared" si="18"/>
        <v>公共部分装修</v>
      </c>
      <c r="AA36" s="1132">
        <f t="shared" si="15"/>
        <v>1</v>
      </c>
      <c r="AB36" s="1132">
        <f t="shared" si="16"/>
        <v>1</v>
      </c>
      <c r="AC36" s="1132">
        <f t="shared" si="17"/>
        <v>1</v>
      </c>
    </row>
    <row r="37" spans="1:29" s="905" customFormat="1" ht="15">
      <c r="A37" s="999"/>
      <c r="B37" s="943" t="s">
        <v>568</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486"/>
      <c r="L37" s="1075"/>
      <c r="M37" s="1076"/>
      <c r="N37" s="1076"/>
      <c r="O37" s="1076"/>
      <c r="P37" s="3496"/>
      <c r="Q37" s="1120" t="str">
        <f t="shared" si="11"/>
        <v>成新度</v>
      </c>
      <c r="R37" s="1116" t="s">
        <v>1029</v>
      </c>
      <c r="S37" s="1117" t="e">
        <f t="shared" si="12"/>
        <v>#N/A</v>
      </c>
      <c r="T37" s="1116" t="s">
        <v>1029</v>
      </c>
      <c r="U37" s="1117" t="e">
        <f t="shared" si="13"/>
        <v>#N/A</v>
      </c>
      <c r="V37" s="1116" t="s">
        <v>1029</v>
      </c>
      <c r="W37" s="1117" t="e">
        <f t="shared" si="14"/>
        <v>#N/A</v>
      </c>
      <c r="X37" s="1118"/>
      <c r="Y37" s="3451"/>
      <c r="Z37" s="1131" t="str">
        <f t="shared" si="18"/>
        <v>成新度</v>
      </c>
      <c r="AA37" s="1130" t="e">
        <f t="shared" si="15"/>
        <v>#N/A</v>
      </c>
      <c r="AB37" s="1130" t="e">
        <f t="shared" si="16"/>
        <v>#N/A</v>
      </c>
      <c r="AC37" s="1130" t="e">
        <f t="shared" si="17"/>
        <v>#N/A</v>
      </c>
    </row>
    <row r="38" spans="1:29" ht="15">
      <c r="A38" s="997"/>
      <c r="B38" s="943" t="s">
        <v>1057</v>
      </c>
      <c r="C38" s="998"/>
      <c r="D38" s="955">
        <v>100</v>
      </c>
      <c r="E38" s="1472"/>
      <c r="F38" s="1309">
        <f>SUMIF(114:114,E38,115:115)-SUMIF(114:114,C38,115:115)+100</f>
        <v>100</v>
      </c>
      <c r="G38" s="998"/>
      <c r="H38" s="955">
        <f>SUMIF(114:114,G38,115:115)-SUMIF(114:114,C38,115:115)+100</f>
        <v>100</v>
      </c>
      <c r="I38" s="1472"/>
      <c r="J38" s="955">
        <f>SUMIF(114:114,I38,115:115)-SUMIF(114:114,C38,115:115)+100</f>
        <v>100</v>
      </c>
      <c r="K38" s="1486"/>
      <c r="L38" s="1085"/>
      <c r="M38" s="1073"/>
      <c r="N38" s="1073"/>
      <c r="O38" s="1073"/>
      <c r="P38" s="3496" t="s">
        <v>1051</v>
      </c>
      <c r="Q38" s="681" t="str">
        <f t="shared" si="11"/>
        <v>物业管理</v>
      </c>
      <c r="R38" s="1121" t="s">
        <v>1029</v>
      </c>
      <c r="S38" s="1122">
        <f t="shared" si="12"/>
        <v>100</v>
      </c>
      <c r="T38" s="1121" t="s">
        <v>1029</v>
      </c>
      <c r="U38" s="1122">
        <f t="shared" si="13"/>
        <v>100</v>
      </c>
      <c r="V38" s="1121" t="s">
        <v>1029</v>
      </c>
      <c r="W38" s="1122">
        <f t="shared" si="14"/>
        <v>100</v>
      </c>
      <c r="X38" s="1115"/>
      <c r="Y38" s="3451" t="s">
        <v>1051</v>
      </c>
      <c r="Z38" s="1105" t="str">
        <f t="shared" si="18"/>
        <v>物业管理</v>
      </c>
      <c r="AA38" s="1132">
        <f t="shared" si="15"/>
        <v>1</v>
      </c>
      <c r="AB38" s="1132">
        <f t="shared" si="16"/>
        <v>1</v>
      </c>
      <c r="AC38" s="1132">
        <f t="shared" si="17"/>
        <v>1</v>
      </c>
    </row>
    <row r="39" spans="1:29" ht="15">
      <c r="A39" s="997"/>
      <c r="B39" s="943" t="s">
        <v>1059</v>
      </c>
      <c r="C39" s="998"/>
      <c r="D39" s="955">
        <v>100</v>
      </c>
      <c r="E39" s="1472"/>
      <c r="F39" s="1309">
        <f>SUMIF(116:116,E39,117:117)-SUMIF(116:116,C39,117:117)+100</f>
        <v>100</v>
      </c>
      <c r="G39" s="998"/>
      <c r="H39" s="955">
        <f>SUMIF(116:116,G39,117:117)-SUMIF(116:116,C39,117:117)+100</f>
        <v>100</v>
      </c>
      <c r="I39" s="1472"/>
      <c r="J39" s="955">
        <f>SUMIF(116:116,I39,117:117)-SUMIF(116:116,C39,117:117)+100</f>
        <v>100</v>
      </c>
      <c r="K39" s="1486"/>
      <c r="L39" s="1085"/>
      <c r="M39" s="1073"/>
      <c r="N39" s="1073"/>
      <c r="O39" s="1073"/>
      <c r="P39" s="3496"/>
      <c r="Q39" s="681" t="str">
        <f t="shared" si="11"/>
        <v>市政基础设施</v>
      </c>
      <c r="R39" s="1121" t="s">
        <v>1029</v>
      </c>
      <c r="S39" s="1122">
        <f t="shared" si="12"/>
        <v>100</v>
      </c>
      <c r="T39" s="1121" t="s">
        <v>1029</v>
      </c>
      <c r="U39" s="1122">
        <f t="shared" si="13"/>
        <v>100</v>
      </c>
      <c r="V39" s="1121" t="s">
        <v>1029</v>
      </c>
      <c r="W39" s="1122">
        <f t="shared" si="14"/>
        <v>100</v>
      </c>
      <c r="X39" s="1115"/>
      <c r="Y39" s="3451"/>
      <c r="Z39" s="1105" t="str">
        <f t="shared" si="18"/>
        <v>市政基础设施</v>
      </c>
      <c r="AA39" s="1132">
        <f t="shared" si="15"/>
        <v>1</v>
      </c>
      <c r="AB39" s="1132">
        <f t="shared" si="16"/>
        <v>1</v>
      </c>
      <c r="AC39" s="1132">
        <f t="shared" si="17"/>
        <v>1</v>
      </c>
    </row>
    <row r="40" spans="1:29" ht="15">
      <c r="A40" s="997"/>
      <c r="B40" s="943" t="s">
        <v>1505</v>
      </c>
      <c r="C40" s="998"/>
      <c r="D40" s="955">
        <v>100</v>
      </c>
      <c r="E40" s="1472"/>
      <c r="F40" s="1309">
        <f>SUMIF(118:118,E40,119:119)-SUMIF(118:118,C40,119:119)+100</f>
        <v>100</v>
      </c>
      <c r="G40" s="998"/>
      <c r="H40" s="955">
        <f>SUMIF(118:118,G40,119:119)-SUMIF(118:118,C40,119:119)+100</f>
        <v>100</v>
      </c>
      <c r="I40" s="1472"/>
      <c r="J40" s="955">
        <f>SUMIF(118:118,I40,119:119)-SUMIF(118:118,C40,119:119)+100</f>
        <v>100</v>
      </c>
      <c r="K40" s="1486"/>
      <c r="L40" s="1085"/>
      <c r="M40" s="1073"/>
      <c r="N40" s="1073"/>
      <c r="O40" s="1073"/>
      <c r="P40" s="3496"/>
      <c r="Q40" s="681" t="str">
        <f t="shared" si="11"/>
        <v>房型</v>
      </c>
      <c r="R40" s="1121" t="s">
        <v>1029</v>
      </c>
      <c r="S40" s="1122">
        <f t="shared" si="12"/>
        <v>100</v>
      </c>
      <c r="T40" s="1121" t="s">
        <v>1029</v>
      </c>
      <c r="U40" s="1122">
        <f t="shared" si="13"/>
        <v>100</v>
      </c>
      <c r="V40" s="1121" t="s">
        <v>1029</v>
      </c>
      <c r="W40" s="1122">
        <f t="shared" si="14"/>
        <v>100</v>
      </c>
      <c r="X40" s="1115"/>
      <c r="Y40" s="3451"/>
      <c r="Z40" s="1105" t="str">
        <f t="shared" si="18"/>
        <v>房型</v>
      </c>
      <c r="AA40" s="1132">
        <f t="shared" si="15"/>
        <v>1</v>
      </c>
      <c r="AB40" s="1132">
        <f t="shared" si="16"/>
        <v>1</v>
      </c>
      <c r="AC40" s="1132">
        <f t="shared" si="17"/>
        <v>1</v>
      </c>
    </row>
    <row r="41" spans="1:29" s="907" customFormat="1" ht="28.5">
      <c r="A41" s="1002"/>
      <c r="B41" s="943" t="s">
        <v>1506</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487"/>
      <c r="L41" s="1083"/>
      <c r="M41" s="1092"/>
      <c r="N41" s="1092"/>
      <c r="O41" s="1092"/>
      <c r="P41" s="3496"/>
      <c r="Q41" s="1348" t="str">
        <f t="shared" si="11"/>
        <v>单套/主力户型建筑面积</v>
      </c>
      <c r="R41" s="1123" t="s">
        <v>1029</v>
      </c>
      <c r="S41" s="1124">
        <f t="shared" si="12"/>
        <v>100</v>
      </c>
      <c r="T41" s="1123" t="s">
        <v>1029</v>
      </c>
      <c r="U41" s="1124">
        <f t="shared" si="13"/>
        <v>100</v>
      </c>
      <c r="V41" s="1123" t="s">
        <v>1029</v>
      </c>
      <c r="W41" s="1124">
        <f t="shared" si="14"/>
        <v>100</v>
      </c>
      <c r="X41" s="1125"/>
      <c r="Y41" s="3451"/>
      <c r="Z41" s="1133" t="str">
        <f t="shared" si="18"/>
        <v>单套/主力户型建筑面积</v>
      </c>
      <c r="AA41" s="1132">
        <f t="shared" si="15"/>
        <v>1</v>
      </c>
      <c r="AB41" s="1132">
        <f t="shared" si="16"/>
        <v>1</v>
      </c>
      <c r="AC41" s="1132">
        <f t="shared" si="17"/>
        <v>1</v>
      </c>
    </row>
    <row r="42" spans="1:29" ht="15">
      <c r="A42" s="997"/>
      <c r="B42" s="943" t="s">
        <v>1060</v>
      </c>
      <c r="C42" s="998"/>
      <c r="D42" s="955">
        <v>100</v>
      </c>
      <c r="E42" s="1472"/>
      <c r="F42" s="1309">
        <f>SUMIF(122:122,E42,123:123)-SUMIF(122:122,C42,123:123)+100</f>
        <v>100</v>
      </c>
      <c r="G42" s="998"/>
      <c r="H42" s="955">
        <f>SUMIF(122:122,G42,123:123)-SUMIF(122:122,C42,123:123)+100</f>
        <v>100</v>
      </c>
      <c r="I42" s="1472"/>
      <c r="J42" s="955">
        <f>SUMIF(122:122,I42,123:123)-SUMIF(122:122,C42,123:123)+100</f>
        <v>100</v>
      </c>
      <c r="K42" s="1486"/>
      <c r="L42" s="1085"/>
      <c r="M42" s="1073"/>
      <c r="N42" s="1073"/>
      <c r="O42" s="1073"/>
      <c r="P42" s="3496"/>
      <c r="Q42" s="681" t="str">
        <f t="shared" si="11"/>
        <v>内部装修</v>
      </c>
      <c r="R42" s="1121" t="s">
        <v>1029</v>
      </c>
      <c r="S42" s="1122">
        <f t="shared" si="12"/>
        <v>100</v>
      </c>
      <c r="T42" s="1121" t="s">
        <v>1029</v>
      </c>
      <c r="U42" s="1122">
        <f t="shared" si="13"/>
        <v>100</v>
      </c>
      <c r="V42" s="1121" t="s">
        <v>1029</v>
      </c>
      <c r="W42" s="1122">
        <f t="shared" si="14"/>
        <v>100</v>
      </c>
      <c r="X42" s="1115"/>
      <c r="Y42" s="3451"/>
      <c r="Z42" s="1105" t="str">
        <f t="shared" si="18"/>
        <v>内部装修</v>
      </c>
      <c r="AA42" s="1132">
        <f t="shared" si="15"/>
        <v>1</v>
      </c>
      <c r="AB42" s="1132">
        <f t="shared" si="16"/>
        <v>1</v>
      </c>
      <c r="AC42" s="1132">
        <f t="shared" si="17"/>
        <v>1</v>
      </c>
    </row>
    <row r="43" spans="1:29" ht="15">
      <c r="A43" s="997"/>
      <c r="B43" s="943" t="s">
        <v>1507</v>
      </c>
      <c r="C43" s="998"/>
      <c r="D43" s="955">
        <v>100</v>
      </c>
      <c r="E43" s="1472"/>
      <c r="F43" s="1309">
        <f>SUMIF(124:124,E43,125:125)-SUMIF(124:124,C43,125:125)+100</f>
        <v>100</v>
      </c>
      <c r="G43" s="998"/>
      <c r="H43" s="955">
        <f>SUMIF(124:124,G43,125:125)-SUMIF(124:124,C43,125:125)+100</f>
        <v>100</v>
      </c>
      <c r="I43" s="1472"/>
      <c r="J43" s="955">
        <f>SUMIF(124:124,I43,125:125)-SUMIF(124:124,C43,125:125)+100</f>
        <v>100</v>
      </c>
      <c r="K43" s="1486"/>
      <c r="L43" s="1085"/>
      <c r="M43" s="1073"/>
      <c r="N43" s="1073"/>
      <c r="O43" s="1073"/>
      <c r="P43" s="3496"/>
      <c r="Q43" s="681" t="str">
        <f t="shared" si="11"/>
        <v>内部装修维护情况</v>
      </c>
      <c r="R43" s="1121" t="s">
        <v>1029</v>
      </c>
      <c r="S43" s="1122">
        <f t="shared" si="12"/>
        <v>100</v>
      </c>
      <c r="T43" s="1121" t="s">
        <v>1029</v>
      </c>
      <c r="U43" s="1122">
        <f t="shared" si="13"/>
        <v>100</v>
      </c>
      <c r="V43" s="1121" t="s">
        <v>1029</v>
      </c>
      <c r="W43" s="1122">
        <f t="shared" si="14"/>
        <v>100</v>
      </c>
      <c r="X43" s="1115"/>
      <c r="Y43" s="3451"/>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487"/>
      <c r="L44" s="1075"/>
      <c r="M44" s="1076"/>
      <c r="N44" s="1076"/>
      <c r="O44" s="1076"/>
      <c r="P44" s="3496"/>
      <c r="Q44" s="1120">
        <f t="shared" si="11"/>
        <v>111</v>
      </c>
      <c r="R44" s="1116" t="s">
        <v>1029</v>
      </c>
      <c r="S44" s="1117">
        <f t="shared" si="12"/>
        <v>100</v>
      </c>
      <c r="T44" s="1116" t="s">
        <v>1029</v>
      </c>
      <c r="U44" s="1117">
        <f t="shared" si="13"/>
        <v>100</v>
      </c>
      <c r="V44" s="1116" t="s">
        <v>1029</v>
      </c>
      <c r="W44" s="1117">
        <f t="shared" si="14"/>
        <v>100</v>
      </c>
      <c r="X44" s="1118"/>
      <c r="Y44" s="3451"/>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487"/>
      <c r="L45" s="1085"/>
      <c r="M45" s="1073"/>
      <c r="N45" s="1073"/>
      <c r="O45" s="1073"/>
      <c r="P45" s="3496"/>
      <c r="Q45" s="681">
        <f t="shared" si="11"/>
        <v>111</v>
      </c>
      <c r="R45" s="1121" t="s">
        <v>1029</v>
      </c>
      <c r="S45" s="1122">
        <f t="shared" si="12"/>
        <v>100</v>
      </c>
      <c r="T45" s="1121" t="s">
        <v>1029</v>
      </c>
      <c r="U45" s="1122">
        <f t="shared" si="13"/>
        <v>100</v>
      </c>
      <c r="V45" s="1121" t="s">
        <v>1029</v>
      </c>
      <c r="W45" s="1122">
        <f t="shared" si="14"/>
        <v>100</v>
      </c>
      <c r="X45" s="1115"/>
      <c r="Y45" s="3451"/>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487"/>
      <c r="L46" s="1085"/>
      <c r="M46" s="1073"/>
      <c r="N46" s="1073"/>
      <c r="O46" s="1073"/>
      <c r="P46" s="3497"/>
      <c r="Q46" s="681">
        <f t="shared" si="11"/>
        <v>111</v>
      </c>
      <c r="R46" s="1121" t="s">
        <v>1029</v>
      </c>
      <c r="S46" s="1122">
        <f t="shared" si="12"/>
        <v>100</v>
      </c>
      <c r="T46" s="1121" t="s">
        <v>1029</v>
      </c>
      <c r="U46" s="1122">
        <f t="shared" si="13"/>
        <v>100</v>
      </c>
      <c r="V46" s="1121" t="s">
        <v>1029</v>
      </c>
      <c r="W46" s="1122">
        <f t="shared" si="14"/>
        <v>100</v>
      </c>
      <c r="X46" s="1115"/>
      <c r="Y46" s="3452"/>
      <c r="Z46" s="1105">
        <f t="shared" si="18"/>
        <v>111</v>
      </c>
      <c r="AA46" s="1132">
        <f t="shared" si="15"/>
        <v>1</v>
      </c>
      <c r="AB46" s="1132">
        <f t="shared" si="16"/>
        <v>1</v>
      </c>
      <c r="AC46" s="1132">
        <f t="shared" si="17"/>
        <v>1</v>
      </c>
    </row>
    <row r="47" spans="1:29" ht="15">
      <c r="A47" s="1004" t="s">
        <v>1064</v>
      </c>
      <c r="B47" s="1323"/>
      <c r="C47" s="1324" t="s">
        <v>124</v>
      </c>
      <c r="D47" s="1325"/>
      <c r="E47" s="1326"/>
      <c r="F47" s="1327"/>
      <c r="G47" s="1328"/>
      <c r="H47" s="1329"/>
      <c r="I47" s="1326"/>
      <c r="J47" s="1329"/>
      <c r="K47" s="1491"/>
      <c r="L47" s="1097"/>
      <c r="M47" s="1021"/>
      <c r="N47" s="1073"/>
      <c r="O47" s="1021"/>
      <c r="P47" s="3441" t="str">
        <f>A47</f>
        <v>成交单价（元/平方米）</v>
      </c>
      <c r="Q47" s="3441"/>
      <c r="R47" s="3442">
        <f>E47</f>
        <v>0</v>
      </c>
      <c r="S47" s="3442"/>
      <c r="T47" s="3442">
        <f>G47</f>
        <v>0</v>
      </c>
      <c r="U47" s="3442"/>
      <c r="V47" s="3442">
        <f>I47</f>
        <v>0</v>
      </c>
      <c r="W47" s="3442"/>
      <c r="X47" s="1061"/>
      <c r="Y47" s="1134"/>
      <c r="Z47" s="1061"/>
      <c r="AA47" s="1061"/>
      <c r="AB47" s="1061"/>
      <c r="AC47" s="1061"/>
    </row>
    <row r="48" spans="1:29" ht="15">
      <c r="A48" s="1012" t="s">
        <v>1065</v>
      </c>
      <c r="B48" s="1330"/>
      <c r="C48" s="1331" t="e">
        <f>R49</f>
        <v>#DIV/0!</v>
      </c>
      <c r="D48" s="1015" t="s">
        <v>1066</v>
      </c>
      <c r="E48" s="1332" t="e">
        <f>R48</f>
        <v>#DIV/0!</v>
      </c>
      <c r="F48" s="1016"/>
      <c r="G48" s="1331" t="e">
        <f>T48</f>
        <v>#DIV/0!</v>
      </c>
      <c r="H48" s="1016"/>
      <c r="I48" s="1332" t="e">
        <f>V48</f>
        <v>#DIV/0!</v>
      </c>
      <c r="J48" s="1016"/>
      <c r="K48" s="1492">
        <f>F48+H48+J48</f>
        <v>0</v>
      </c>
      <c r="L48" s="1097"/>
      <c r="M48" s="1021"/>
      <c r="N48" s="1021"/>
      <c r="O48" s="1021"/>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1061"/>
      <c r="Y48" s="1061"/>
      <c r="Z48" s="1061"/>
      <c r="AA48" s="1061"/>
      <c r="AB48" s="1061"/>
      <c r="AC48" s="1061"/>
    </row>
    <row r="49" spans="1:29" ht="15">
      <c r="A49" s="1018" t="s">
        <v>1067</v>
      </c>
      <c r="B49" s="1019"/>
      <c r="C49" s="1475" t="e">
        <f>R49</f>
        <v>#DIV/0!</v>
      </c>
      <c r="D49" s="1333"/>
      <c r="E49" s="1333"/>
      <c r="F49" s="1333"/>
      <c r="G49" s="1333"/>
      <c r="H49" s="1333"/>
      <c r="I49" s="1333"/>
      <c r="J49" s="1333"/>
      <c r="K49" s="1493"/>
      <c r="L49" s="1097"/>
      <c r="M49" s="1021"/>
      <c r="N49" s="1021"/>
      <c r="O49" s="1021"/>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1068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1069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1070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4"/>
    </row>
    <row r="55" spans="1:29" s="908" customFormat="1">
      <c r="A55" s="1026"/>
      <c r="B55" s="1027"/>
      <c r="C55" s="1334"/>
      <c r="D55" s="1026"/>
      <c r="E55" s="1026"/>
      <c r="F55" s="1026"/>
      <c r="G55" s="1026"/>
      <c r="H55" s="1026"/>
      <c r="I55" s="1026"/>
      <c r="J55" s="1026"/>
      <c r="K55" s="1103"/>
      <c r="L55" s="1104"/>
      <c r="M55" s="1026"/>
      <c r="N55" s="1026"/>
      <c r="O55" s="1026"/>
      <c r="P55" s="1494"/>
    </row>
    <row r="56" spans="1:29">
      <c r="A56" s="1021"/>
      <c r="B56" s="1027"/>
      <c r="C56" s="1334"/>
      <c r="D56" s="1021"/>
      <c r="E56" s="1021"/>
      <c r="F56" s="1021"/>
      <c r="G56" s="1021"/>
      <c r="H56" s="1021"/>
      <c r="I56" s="1021"/>
      <c r="J56" s="1021"/>
      <c r="K56" s="1101"/>
      <c r="L56" s="1102"/>
      <c r="M56" s="1021"/>
      <c r="N56" s="1021"/>
      <c r="O56" s="1021"/>
    </row>
    <row r="57" spans="1:29" ht="21">
      <c r="A57" s="1060" t="s">
        <v>1071</v>
      </c>
      <c r="B57" s="1061"/>
      <c r="C57" s="1062"/>
      <c r="D57" s="1062"/>
      <c r="E57" s="1062"/>
      <c r="F57" s="1063"/>
      <c r="G57" s="1063"/>
      <c r="H57" s="1062"/>
      <c r="I57" s="1062"/>
      <c r="J57" s="1062"/>
      <c r="K57" s="1279"/>
      <c r="L57" s="1280"/>
      <c r="M57" s="1113"/>
      <c r="N57" s="1113"/>
      <c r="O57" s="1113"/>
      <c r="P57" s="1495"/>
      <c r="Q57" s="1504"/>
    </row>
    <row r="58" spans="1:29" s="910" customFormat="1" ht="15">
      <c r="A58" s="1335" t="s">
        <v>1027</v>
      </c>
      <c r="B58" s="1336"/>
      <c r="C58" s="1476" t="str">
        <f>YEAR(C7)&amp;"-"&amp;MONTH(C7)</f>
        <v>2022-6</v>
      </c>
      <c r="D58" s="1338">
        <f>EDATE(C58,-1)</f>
        <v>44682</v>
      </c>
      <c r="E58" s="1338">
        <f>EDATE(D58,-1)</f>
        <v>44652</v>
      </c>
      <c r="F58" s="1338">
        <f t="shared" ref="F58:O58" si="19">EDATE(E58,-1)</f>
        <v>44621</v>
      </c>
      <c r="G58" s="1338">
        <f t="shared" si="19"/>
        <v>44593</v>
      </c>
      <c r="H58" s="1338">
        <f t="shared" si="19"/>
        <v>44562</v>
      </c>
      <c r="I58" s="1338">
        <f t="shared" si="19"/>
        <v>44531</v>
      </c>
      <c r="J58" s="1338">
        <f t="shared" si="19"/>
        <v>44501</v>
      </c>
      <c r="K58" s="1338">
        <f t="shared" si="19"/>
        <v>44470</v>
      </c>
      <c r="L58" s="1338">
        <f t="shared" si="19"/>
        <v>44440</v>
      </c>
      <c r="M58" s="1338">
        <f t="shared" si="19"/>
        <v>44409</v>
      </c>
      <c r="N58" s="1338">
        <f t="shared" si="19"/>
        <v>44378</v>
      </c>
      <c r="O58" s="1338">
        <f t="shared" si="19"/>
        <v>44348</v>
      </c>
      <c r="P58" s="1496"/>
    </row>
    <row r="59" spans="1:29" s="905" customFormat="1" ht="15">
      <c r="A59" s="1339"/>
      <c r="B59" s="1477"/>
      <c r="C59" s="1340">
        <v>100</v>
      </c>
      <c r="D59" s="1431"/>
      <c r="E59" s="1150"/>
      <c r="F59" s="1150"/>
      <c r="G59" s="1150"/>
      <c r="H59" s="1150"/>
      <c r="I59" s="1150"/>
      <c r="J59" s="1150"/>
      <c r="K59" s="1150"/>
      <c r="L59" s="1150"/>
      <c r="M59" s="1347"/>
      <c r="N59" s="1150"/>
      <c r="O59" s="1347"/>
      <c r="P59" s="1497"/>
    </row>
    <row r="60" spans="1:29" s="905" customFormat="1" ht="15">
      <c r="A60" s="1141" t="s">
        <v>1072</v>
      </c>
      <c r="B60" s="1142"/>
      <c r="C60" s="1143"/>
      <c r="D60" s="1144"/>
      <c r="E60" s="1144"/>
      <c r="F60" s="1144"/>
      <c r="G60" s="1144"/>
      <c r="H60" s="1144"/>
      <c r="I60" s="1144"/>
      <c r="J60" s="1144"/>
      <c r="K60" s="1144"/>
      <c r="L60" s="1144"/>
      <c r="M60" s="1192"/>
      <c r="N60" s="1144"/>
      <c r="O60" s="1192"/>
      <c r="P60" s="1497"/>
      <c r="Q60" s="1504"/>
    </row>
    <row r="61" spans="1:29" s="905" customFormat="1" ht="15">
      <c r="A61" s="1145" t="s">
        <v>1030</v>
      </c>
      <c r="B61" s="1146"/>
      <c r="C61" s="1147" t="s">
        <v>1031</v>
      </c>
      <c r="D61" s="1148"/>
      <c r="E61" s="1148"/>
      <c r="F61" s="1148"/>
      <c r="G61" s="1148"/>
      <c r="H61" s="1148"/>
      <c r="I61" s="1148"/>
      <c r="J61" s="1148"/>
      <c r="K61" s="1148"/>
      <c r="L61" s="1194"/>
      <c r="M61" s="1195"/>
      <c r="N61" s="1498"/>
      <c r="O61" s="1498"/>
      <c r="P61" s="1499"/>
      <c r="Q61" s="1504"/>
    </row>
    <row r="62" spans="1:29" s="905" customFormat="1" ht="15">
      <c r="A62" s="1145"/>
      <c r="B62" s="1146"/>
      <c r="C62" s="1431">
        <v>100</v>
      </c>
      <c r="D62" s="1150"/>
      <c r="E62" s="1150"/>
      <c r="F62" s="1150"/>
      <c r="G62" s="1150"/>
      <c r="H62" s="1150"/>
      <c r="I62" s="1150"/>
      <c r="J62" s="1150"/>
      <c r="K62" s="1150"/>
      <c r="L62" s="1150"/>
      <c r="M62" s="1198"/>
      <c r="N62" s="1498"/>
      <c r="O62" s="1498"/>
      <c r="P62" s="1497"/>
      <c r="Q62" s="1504"/>
    </row>
    <row r="63" spans="1:29">
      <c r="A63" s="1151" t="s">
        <v>1073</v>
      </c>
      <c r="B63" s="1152" t="s">
        <v>1034</v>
      </c>
      <c r="C63" s="1174">
        <f>C9</f>
        <v>0</v>
      </c>
      <c r="D63" s="1094"/>
      <c r="E63" s="1094"/>
      <c r="F63" s="1094"/>
      <c r="G63" s="1094"/>
      <c r="H63" s="1094"/>
      <c r="I63" s="1094"/>
      <c r="J63" s="1094"/>
      <c r="K63" s="1199"/>
      <c r="L63" s="1200"/>
      <c r="M63" s="1201"/>
      <c r="N63" s="1500"/>
      <c r="O63" s="1500"/>
      <c r="P63" s="1501"/>
      <c r="Q63" s="1504"/>
    </row>
    <row r="64" spans="1:29" ht="15">
      <c r="A64" s="1153"/>
      <c r="B64" s="1154"/>
      <c r="C64" s="1155">
        <v>100</v>
      </c>
      <c r="D64" s="1155"/>
      <c r="E64" s="1155"/>
      <c r="F64" s="1155"/>
      <c r="G64" s="1155"/>
      <c r="H64" s="1155"/>
      <c r="I64" s="1155"/>
      <c r="J64" s="1155"/>
      <c r="K64" s="1155"/>
      <c r="L64" s="1155"/>
      <c r="M64" s="1204"/>
      <c r="N64" s="1502"/>
      <c r="O64" s="1502"/>
      <c r="P64" s="1501"/>
      <c r="Q64" s="1504"/>
    </row>
    <row r="65" spans="1:17" ht="27">
      <c r="A65" s="1153"/>
      <c r="B65" s="1156" t="s">
        <v>1037</v>
      </c>
      <c r="C65" s="1157" t="s">
        <v>1074</v>
      </c>
      <c r="D65" s="1157" t="s">
        <v>1075</v>
      </c>
      <c r="E65" s="1157" t="s">
        <v>1076</v>
      </c>
      <c r="F65" s="1157" t="s">
        <v>1077</v>
      </c>
      <c r="G65" s="1157" t="s">
        <v>1078</v>
      </c>
      <c r="H65" s="1157" t="s">
        <v>1079</v>
      </c>
      <c r="I65" s="1157" t="s">
        <v>1080</v>
      </c>
      <c r="J65" s="1157"/>
      <c r="K65" s="1206"/>
      <c r="L65" s="1207"/>
      <c r="M65" s="1208"/>
      <c r="N65" s="1500"/>
      <c r="O65" s="1500"/>
      <c r="P65" s="1501"/>
      <c r="Q65" s="1504"/>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502"/>
      <c r="O66" s="1502"/>
      <c r="P66" s="1501"/>
      <c r="Q66" s="1504"/>
    </row>
    <row r="67" spans="1:17" ht="15">
      <c r="A67" s="1153"/>
      <c r="B67" s="1160" t="s">
        <v>1038</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502"/>
      <c r="O67" s="1502"/>
      <c r="P67" s="1501"/>
      <c r="Q67" s="1504"/>
    </row>
    <row r="68" spans="1:17" ht="15">
      <c r="A68" s="1153"/>
      <c r="B68" s="1162"/>
      <c r="C68" s="952"/>
      <c r="D68" s="952"/>
      <c r="E68" s="952"/>
      <c r="F68" s="952"/>
      <c r="G68" s="952"/>
      <c r="H68" s="952"/>
      <c r="I68" s="952"/>
      <c r="J68" s="952"/>
      <c r="K68" s="1210"/>
      <c r="L68" s="1211"/>
      <c r="M68" s="1212"/>
      <c r="N68" s="1500"/>
      <c r="O68" s="1500"/>
      <c r="P68" s="1501"/>
      <c r="Q68" s="1504"/>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502"/>
      <c r="O69" s="1502"/>
      <c r="P69" s="1501"/>
      <c r="Q69" s="1504"/>
    </row>
    <row r="70" spans="1:17" s="907" customFormat="1" ht="15">
      <c r="A70" s="1163"/>
      <c r="B70" s="1156">
        <f>B12</f>
        <v>111</v>
      </c>
      <c r="C70" s="1164"/>
      <c r="D70" s="1164"/>
      <c r="E70" s="1164"/>
      <c r="F70" s="1164"/>
      <c r="G70" s="1164"/>
      <c r="H70" s="1165"/>
      <c r="I70" s="1165"/>
      <c r="J70" s="1165"/>
      <c r="K70" s="1165"/>
      <c r="L70" s="1213"/>
      <c r="M70" s="1214"/>
      <c r="N70" s="1507"/>
      <c r="O70" s="1507"/>
      <c r="P70" s="1508"/>
      <c r="Q70" s="1515"/>
    </row>
    <row r="71" spans="1:17" s="907" customFormat="1" ht="15">
      <c r="A71" s="1163"/>
      <c r="B71" s="1158"/>
      <c r="C71" s="1166"/>
      <c r="D71" s="1155"/>
      <c r="E71" s="1155"/>
      <c r="F71" s="1155"/>
      <c r="G71" s="1155"/>
      <c r="H71" s="1155"/>
      <c r="I71" s="1155"/>
      <c r="J71" s="1155"/>
      <c r="K71" s="1155"/>
      <c r="L71" s="1155"/>
      <c r="M71" s="1204"/>
      <c r="N71" s="1502"/>
      <c r="O71" s="1502"/>
      <c r="P71" s="1508"/>
      <c r="Q71" s="1515"/>
    </row>
    <row r="72" spans="1:17" s="907" customFormat="1" ht="15">
      <c r="A72" s="1163"/>
      <c r="B72" s="1156">
        <f>B13</f>
        <v>111</v>
      </c>
      <c r="C72" s="1164"/>
      <c r="D72" s="1164"/>
      <c r="E72" s="1164"/>
      <c r="F72" s="1164"/>
      <c r="G72" s="1164"/>
      <c r="H72" s="1165"/>
      <c r="I72" s="1165"/>
      <c r="J72" s="1165"/>
      <c r="K72" s="1165"/>
      <c r="L72" s="1213"/>
      <c r="M72" s="1214"/>
      <c r="N72" s="1507"/>
      <c r="O72" s="1507"/>
      <c r="P72" s="1509"/>
      <c r="Q72" s="1516"/>
    </row>
    <row r="73" spans="1:17" s="907" customFormat="1" ht="15">
      <c r="A73" s="1163"/>
      <c r="B73" s="1158"/>
      <c r="C73" s="1166"/>
      <c r="D73" s="1166"/>
      <c r="E73" s="1166"/>
      <c r="F73" s="1166"/>
      <c r="G73" s="1166"/>
      <c r="H73" s="1167"/>
      <c r="I73" s="1167"/>
      <c r="J73" s="1167"/>
      <c r="K73" s="1167"/>
      <c r="L73" s="1167"/>
      <c r="M73" s="1217"/>
      <c r="N73" s="1507"/>
      <c r="O73" s="1507"/>
      <c r="P73" s="1508"/>
      <c r="Q73" s="1515"/>
    </row>
    <row r="74" spans="1:17" s="907" customFormat="1" ht="15">
      <c r="A74" s="1163"/>
      <c r="B74" s="1160">
        <f>B14</f>
        <v>111</v>
      </c>
      <c r="C74" s="1164"/>
      <c r="D74" s="1164"/>
      <c r="E74" s="1164"/>
      <c r="F74" s="1164"/>
      <c r="G74" s="1148"/>
      <c r="H74" s="1168"/>
      <c r="I74" s="1168"/>
      <c r="J74" s="1168"/>
      <c r="K74" s="1168"/>
      <c r="L74" s="1218"/>
      <c r="M74" s="1219"/>
      <c r="N74" s="1507"/>
      <c r="O74" s="1507"/>
      <c r="P74" s="1510"/>
      <c r="Q74" s="1515"/>
    </row>
    <row r="75" spans="1:17" s="907" customFormat="1" ht="15">
      <c r="A75" s="1169"/>
      <c r="B75" s="1170"/>
      <c r="C75" s="1171"/>
      <c r="D75" s="1171"/>
      <c r="E75" s="1171"/>
      <c r="F75" s="1171"/>
      <c r="G75" s="1171"/>
      <c r="H75" s="1172"/>
      <c r="I75" s="1172"/>
      <c r="J75" s="1172"/>
      <c r="K75" s="1172"/>
      <c r="L75" s="1172"/>
      <c r="M75" s="1221"/>
      <c r="N75" s="1507"/>
      <c r="O75" s="1507"/>
      <c r="P75" s="1508"/>
      <c r="Q75" s="1515"/>
    </row>
    <row r="76" spans="1:17">
      <c r="A76" s="1151" t="s">
        <v>1039</v>
      </c>
      <c r="B76" s="1152" t="s">
        <v>1500</v>
      </c>
      <c r="C76" s="1173" t="s">
        <v>1082</v>
      </c>
      <c r="D76" s="1173" t="s">
        <v>1083</v>
      </c>
      <c r="E76" s="1173" t="s">
        <v>1084</v>
      </c>
      <c r="F76" s="1173" t="s">
        <v>1085</v>
      </c>
      <c r="G76" s="1173" t="s">
        <v>1086</v>
      </c>
      <c r="H76" s="1174"/>
      <c r="I76" s="1174"/>
      <c r="J76" s="1174"/>
      <c r="K76" s="1222"/>
      <c r="L76" s="1223"/>
      <c r="M76" s="1224"/>
      <c r="N76" s="1500"/>
      <c r="O76" s="1500"/>
      <c r="P76" s="1511"/>
      <c r="Q76" s="1504"/>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502"/>
      <c r="O77" s="1502"/>
      <c r="P77" s="1501"/>
      <c r="Q77" s="1504"/>
    </row>
    <row r="78" spans="1:17" ht="15">
      <c r="A78" s="1153"/>
      <c r="B78" s="1156" t="s">
        <v>1042</v>
      </c>
      <c r="C78" s="1175" t="s">
        <v>1082</v>
      </c>
      <c r="D78" s="1175" t="s">
        <v>1083</v>
      </c>
      <c r="E78" s="1175" t="s">
        <v>1084</v>
      </c>
      <c r="F78" s="1175" t="s">
        <v>1085</v>
      </c>
      <c r="G78" s="1175" t="s">
        <v>1086</v>
      </c>
      <c r="H78" s="1157"/>
      <c r="I78" s="1157"/>
      <c r="J78" s="1157"/>
      <c r="K78" s="1206"/>
      <c r="L78" s="1207"/>
      <c r="M78" s="1208"/>
      <c r="N78" s="1500"/>
      <c r="O78" s="1500"/>
      <c r="P78" s="1501"/>
      <c r="Q78" s="1504"/>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502"/>
      <c r="O79" s="1502"/>
      <c r="P79" s="1501"/>
      <c r="Q79" s="1504"/>
    </row>
    <row r="80" spans="1:17" ht="15">
      <c r="A80" s="1153"/>
      <c r="B80" s="1156" t="s">
        <v>1043</v>
      </c>
      <c r="C80" s="1175" t="s">
        <v>1082</v>
      </c>
      <c r="D80" s="1175" t="s">
        <v>1083</v>
      </c>
      <c r="E80" s="1175" t="s">
        <v>1084</v>
      </c>
      <c r="F80" s="1175" t="s">
        <v>1085</v>
      </c>
      <c r="G80" s="1175" t="s">
        <v>1086</v>
      </c>
      <c r="H80" s="1157"/>
      <c r="I80" s="1157"/>
      <c r="J80" s="1157"/>
      <c r="K80" s="1206"/>
      <c r="L80" s="1207"/>
      <c r="M80" s="1208"/>
      <c r="N80" s="1500"/>
      <c r="O80" s="1500"/>
      <c r="P80" s="1501"/>
      <c r="Q80" s="1504"/>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502"/>
      <c r="O81" s="1502"/>
      <c r="P81" s="1501"/>
      <c r="Q81" s="1504"/>
    </row>
    <row r="82" spans="1:17" ht="15">
      <c r="A82" s="1153"/>
      <c r="B82" s="1160" t="s">
        <v>1044</v>
      </c>
      <c r="C82" s="1157" t="s">
        <v>1087</v>
      </c>
      <c r="D82" s="1157" t="s">
        <v>1088</v>
      </c>
      <c r="E82" s="1157" t="s">
        <v>1089</v>
      </c>
      <c r="F82" s="1157" t="s">
        <v>1090</v>
      </c>
      <c r="G82" s="1157" t="s">
        <v>1091</v>
      </c>
      <c r="H82" s="1157"/>
      <c r="I82" s="1157"/>
      <c r="J82" s="1157"/>
      <c r="K82" s="1157"/>
      <c r="L82" s="1157"/>
      <c r="M82" s="1352"/>
      <c r="N82" s="1502"/>
      <c r="O82" s="1502"/>
      <c r="P82" s="1501"/>
      <c r="Q82" s="1504"/>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502"/>
      <c r="O83" s="1502"/>
      <c r="P83" s="1501"/>
      <c r="Q83" s="1504"/>
    </row>
    <row r="84" spans="1:17" ht="15">
      <c r="A84" s="1153"/>
      <c r="B84" s="1156" t="s">
        <v>1501</v>
      </c>
      <c r="C84" s="1175" t="s">
        <v>1082</v>
      </c>
      <c r="D84" s="1175" t="s">
        <v>1083</v>
      </c>
      <c r="E84" s="1175" t="s">
        <v>1084</v>
      </c>
      <c r="F84" s="1175" t="s">
        <v>1085</v>
      </c>
      <c r="G84" s="1175" t="s">
        <v>1086</v>
      </c>
      <c r="H84" s="1157"/>
      <c r="I84" s="1157"/>
      <c r="J84" s="1157"/>
      <c r="K84" s="1206"/>
      <c r="L84" s="1207"/>
      <c r="M84" s="1208"/>
      <c r="N84" s="1500"/>
      <c r="O84" s="1500"/>
      <c r="P84" s="1501"/>
      <c r="Q84" s="1504"/>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502"/>
      <c r="O85" s="1502"/>
      <c r="P85" s="1501"/>
      <c r="Q85" s="1504"/>
    </row>
    <row r="86" spans="1:17" s="905" customFormat="1" ht="15">
      <c r="A86" s="1176"/>
      <c r="B86" s="1156" t="s">
        <v>1502</v>
      </c>
      <c r="C86" s="1164"/>
      <c r="D86" s="1164"/>
      <c r="E86" s="1164"/>
      <c r="F86" s="1164"/>
      <c r="G86" s="1164"/>
      <c r="H86" s="1164"/>
      <c r="I86" s="1164"/>
      <c r="J86" s="1164"/>
      <c r="K86" s="1164"/>
      <c r="L86" s="1353"/>
      <c r="M86" s="1354"/>
      <c r="N86" s="1498"/>
      <c r="O86" s="1498"/>
      <c r="P86" s="1501"/>
      <c r="Q86" s="1504"/>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502"/>
      <c r="O87" s="1502"/>
      <c r="P87" s="1501"/>
      <c r="Q87" s="1504"/>
    </row>
    <row r="88" spans="1:17" s="905" customFormat="1" ht="15">
      <c r="A88" s="1176"/>
      <c r="B88" s="1156" t="s">
        <v>1503</v>
      </c>
      <c r="C88" s="1164"/>
      <c r="D88" s="1164"/>
      <c r="E88" s="1164"/>
      <c r="F88" s="1437"/>
      <c r="G88" s="1164"/>
      <c r="H88" s="1164"/>
      <c r="I88" s="1164"/>
      <c r="J88" s="1164"/>
      <c r="K88" s="1164"/>
      <c r="L88" s="1164"/>
      <c r="M88" s="1354"/>
      <c r="N88" s="1498"/>
      <c r="O88" s="1498"/>
      <c r="P88" s="1501"/>
      <c r="Q88" s="1504"/>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502"/>
      <c r="O89" s="1502"/>
      <c r="P89" s="1501"/>
      <c r="Q89" s="1504"/>
    </row>
    <row r="90" spans="1:17" s="907" customFormat="1" ht="15">
      <c r="A90" s="1163"/>
      <c r="B90" s="1156">
        <f>B27</f>
        <v>111</v>
      </c>
      <c r="C90" s="1164"/>
      <c r="D90" s="1164"/>
      <c r="E90" s="1164"/>
      <c r="F90" s="1164"/>
      <c r="G90" s="1164"/>
      <c r="H90" s="1165"/>
      <c r="I90" s="1165"/>
      <c r="J90" s="1165"/>
      <c r="K90" s="1165"/>
      <c r="L90" s="1213"/>
      <c r="M90" s="1214"/>
      <c r="N90" s="1507"/>
      <c r="O90" s="1507"/>
      <c r="P90" s="1508"/>
      <c r="Q90" s="1515"/>
    </row>
    <row r="91" spans="1:17" s="907" customFormat="1" ht="15">
      <c r="A91" s="1163"/>
      <c r="B91" s="1158"/>
      <c r="C91" s="1166"/>
      <c r="D91" s="1166"/>
      <c r="E91" s="1166"/>
      <c r="F91" s="1166"/>
      <c r="G91" s="1166"/>
      <c r="H91" s="1167"/>
      <c r="I91" s="1167"/>
      <c r="J91" s="1167"/>
      <c r="K91" s="1167"/>
      <c r="L91" s="1167"/>
      <c r="M91" s="1217"/>
      <c r="N91" s="1507"/>
      <c r="O91" s="1507"/>
      <c r="P91" s="1508"/>
      <c r="Q91" s="1515"/>
    </row>
    <row r="92" spans="1:17" ht="15">
      <c r="A92" s="1153"/>
      <c r="B92" s="1156">
        <f>B28</f>
        <v>111</v>
      </c>
      <c r="C92" s="1164"/>
      <c r="D92" s="1164"/>
      <c r="E92" s="1164"/>
      <c r="F92" s="1164"/>
      <c r="G92" s="1181"/>
      <c r="H92" s="1181"/>
      <c r="I92" s="1181"/>
      <c r="J92" s="1181"/>
      <c r="K92" s="1232"/>
      <c r="L92" s="1233"/>
      <c r="M92" s="1234"/>
      <c r="N92" s="1500"/>
      <c r="O92" s="1500"/>
      <c r="P92" s="1501"/>
      <c r="Q92" s="1504"/>
    </row>
    <row r="93" spans="1:17" ht="15">
      <c r="A93" s="1153"/>
      <c r="B93" s="1158"/>
      <c r="C93" s="1166"/>
      <c r="D93" s="1155"/>
      <c r="E93" s="1155"/>
      <c r="F93" s="1155"/>
      <c r="G93" s="1155"/>
      <c r="H93" s="1155"/>
      <c r="I93" s="1155"/>
      <c r="J93" s="1155"/>
      <c r="K93" s="1155"/>
      <c r="L93" s="1155"/>
      <c r="M93" s="1204"/>
      <c r="N93" s="1502"/>
      <c r="O93" s="1502"/>
      <c r="P93" s="1501"/>
      <c r="Q93" s="1504"/>
    </row>
    <row r="94" spans="1:17" ht="15">
      <c r="A94" s="1153"/>
      <c r="B94" s="1156">
        <f>B29</f>
        <v>111</v>
      </c>
      <c r="C94" s="1164"/>
      <c r="D94" s="1164"/>
      <c r="E94" s="1164"/>
      <c r="F94" s="1164"/>
      <c r="G94" s="1181"/>
      <c r="H94" s="1181"/>
      <c r="I94" s="1181"/>
      <c r="J94" s="1181"/>
      <c r="K94" s="1232"/>
      <c r="L94" s="1233"/>
      <c r="M94" s="1234"/>
      <c r="N94" s="1500"/>
      <c r="O94" s="1500"/>
      <c r="P94" s="1501"/>
      <c r="Q94" s="1504"/>
    </row>
    <row r="95" spans="1:17" ht="15">
      <c r="A95" s="1153"/>
      <c r="B95" s="1158"/>
      <c r="C95" s="1166"/>
      <c r="D95" s="1166"/>
      <c r="E95" s="1166"/>
      <c r="F95" s="1166"/>
      <c r="G95" s="1155"/>
      <c r="H95" s="1155"/>
      <c r="I95" s="1155"/>
      <c r="J95" s="1155"/>
      <c r="K95" s="1155"/>
      <c r="L95" s="1155"/>
      <c r="M95" s="1204"/>
      <c r="N95" s="1502"/>
      <c r="O95" s="1502"/>
      <c r="P95" s="1501"/>
      <c r="Q95" s="1504"/>
    </row>
    <row r="96" spans="1:17" ht="15">
      <c r="A96" s="1153"/>
      <c r="B96" s="1156">
        <f>B30</f>
        <v>111</v>
      </c>
      <c r="C96" s="1164"/>
      <c r="D96" s="1164"/>
      <c r="E96" s="1164"/>
      <c r="F96" s="1164"/>
      <c r="G96" s="1181"/>
      <c r="H96" s="1181"/>
      <c r="I96" s="1181"/>
      <c r="J96" s="1181"/>
      <c r="K96" s="1232"/>
      <c r="L96" s="1233"/>
      <c r="M96" s="1234"/>
      <c r="N96" s="1500"/>
      <c r="O96" s="1500"/>
      <c r="P96" s="1501"/>
      <c r="Q96" s="1504"/>
    </row>
    <row r="97" spans="1:17" ht="15">
      <c r="A97" s="1153"/>
      <c r="B97" s="1158"/>
      <c r="C97" s="1171"/>
      <c r="D97" s="1171"/>
      <c r="E97" s="1171"/>
      <c r="F97" s="1171"/>
      <c r="G97" s="1155"/>
      <c r="H97" s="1155"/>
      <c r="I97" s="1155"/>
      <c r="J97" s="1155"/>
      <c r="K97" s="1155"/>
      <c r="L97" s="1155"/>
      <c r="M97" s="1204"/>
      <c r="N97" s="1502"/>
      <c r="O97" s="1502"/>
      <c r="P97" s="1501"/>
      <c r="Q97" s="1504"/>
    </row>
    <row r="98" spans="1:17" ht="15">
      <c r="A98" s="1153"/>
      <c r="B98" s="1160">
        <f>B31</f>
        <v>111</v>
      </c>
      <c r="C98" s="1182"/>
      <c r="D98" s="1182"/>
      <c r="E98" s="1182"/>
      <c r="F98" s="1182"/>
      <c r="G98" s="1182"/>
      <c r="H98" s="1182"/>
      <c r="I98" s="1182"/>
      <c r="J98" s="1182"/>
      <c r="K98" s="1235"/>
      <c r="L98" s="1236"/>
      <c r="M98" s="1237"/>
      <c r="N98" s="1500"/>
      <c r="O98" s="1500"/>
      <c r="P98" s="1501"/>
      <c r="Q98" s="1504"/>
    </row>
    <row r="99" spans="1:17" ht="15">
      <c r="A99" s="1438"/>
      <c r="B99" s="1170"/>
      <c r="C99" s="1183"/>
      <c r="D99" s="1183"/>
      <c r="E99" s="1183"/>
      <c r="F99" s="1183"/>
      <c r="G99" s="1183"/>
      <c r="H99" s="1183"/>
      <c r="I99" s="1183"/>
      <c r="J99" s="1183"/>
      <c r="K99" s="1183"/>
      <c r="L99" s="1183"/>
      <c r="M99" s="1238"/>
      <c r="N99" s="1502"/>
      <c r="O99" s="1502"/>
      <c r="P99" s="1501"/>
      <c r="Q99" s="1504"/>
    </row>
    <row r="100" spans="1:17">
      <c r="A100" s="1151" t="s">
        <v>1048</v>
      </c>
      <c r="B100" s="1152" t="s">
        <v>1049</v>
      </c>
      <c r="C100" s="1094"/>
      <c r="D100" s="1094"/>
      <c r="E100" s="1094"/>
      <c r="F100" s="1094"/>
      <c r="G100" s="1094"/>
      <c r="H100" s="1094"/>
      <c r="I100" s="1094"/>
      <c r="J100" s="1094"/>
      <c r="K100" s="1199"/>
      <c r="L100" s="1200"/>
      <c r="M100" s="1201"/>
      <c r="N100" s="1500"/>
      <c r="O100" s="1500"/>
      <c r="P100" s="1501"/>
      <c r="Q100" s="1504"/>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502"/>
      <c r="O101" s="1502"/>
      <c r="P101" s="1501"/>
      <c r="Q101" s="1504"/>
    </row>
    <row r="102" spans="1:17" ht="15">
      <c r="A102" s="1153"/>
      <c r="B102" s="1156" t="s">
        <v>1052</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98"/>
      <c r="O102" s="1498"/>
      <c r="P102" s="1501"/>
      <c r="Q102" s="1504"/>
    </row>
    <row r="103" spans="1:17" s="907" customFormat="1">
      <c r="A103" s="1184"/>
      <c r="B103" s="1185"/>
      <c r="C103" s="1140"/>
      <c r="D103" s="1140"/>
      <c r="E103" s="1140"/>
      <c r="F103" s="1140"/>
      <c r="G103" s="1140"/>
      <c r="H103" s="1140"/>
      <c r="I103" s="1140"/>
      <c r="J103" s="1239"/>
      <c r="K103" s="1239"/>
      <c r="L103" s="1240"/>
      <c r="M103" s="1241"/>
      <c r="N103" s="1507"/>
      <c r="O103" s="1507"/>
      <c r="P103" s="1508"/>
      <c r="Q103" s="1515"/>
    </row>
    <row r="104" spans="1:17" s="907" customFormat="1" ht="15">
      <c r="A104" s="1163"/>
      <c r="B104" s="1158"/>
      <c r="C104" s="1166"/>
      <c r="D104" s="1155"/>
      <c r="E104" s="1155"/>
      <c r="F104" s="1155"/>
      <c r="G104" s="1155"/>
      <c r="H104" s="1155"/>
      <c r="I104" s="1155"/>
      <c r="J104" s="1155"/>
      <c r="K104" s="1155"/>
      <c r="L104" s="1155"/>
      <c r="M104" s="1155"/>
      <c r="N104" s="1502"/>
      <c r="O104" s="1502"/>
      <c r="P104" s="1508"/>
      <c r="Q104" s="1515"/>
    </row>
    <row r="105" spans="1:17">
      <c r="A105" s="1187"/>
      <c r="B105" s="1156" t="s">
        <v>1053</v>
      </c>
      <c r="C105" s="1164"/>
      <c r="D105" s="1164"/>
      <c r="E105" s="1181"/>
      <c r="F105" s="1181"/>
      <c r="G105" s="1181"/>
      <c r="H105" s="1181"/>
      <c r="I105" s="1181"/>
      <c r="J105" s="1181"/>
      <c r="K105" s="1232"/>
      <c r="L105" s="1233"/>
      <c r="M105" s="1234"/>
      <c r="N105" s="1500"/>
      <c r="O105" s="1500"/>
      <c r="P105" s="1501"/>
      <c r="Q105" s="1504"/>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502"/>
      <c r="O106" s="1502"/>
      <c r="P106" s="1501"/>
      <c r="Q106" s="1504"/>
    </row>
    <row r="107" spans="1:17">
      <c r="A107" s="1187"/>
      <c r="B107" s="1156" t="s">
        <v>1504</v>
      </c>
      <c r="C107" s="1181"/>
      <c r="D107" s="1181"/>
      <c r="E107" s="1181"/>
      <c r="F107" s="1181"/>
      <c r="G107" s="1181"/>
      <c r="H107" s="1181"/>
      <c r="I107" s="1181"/>
      <c r="J107" s="1181"/>
      <c r="K107" s="1232"/>
      <c r="L107" s="1233"/>
      <c r="M107" s="1234"/>
      <c r="N107" s="1500"/>
      <c r="O107" s="1500"/>
      <c r="P107" s="1501"/>
      <c r="Q107" s="1504"/>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502"/>
      <c r="O108" s="1502"/>
      <c r="P108" s="1501"/>
      <c r="Q108" s="1504"/>
    </row>
    <row r="109" spans="1:17">
      <c r="A109" s="1187"/>
      <c r="B109" s="1156" t="s">
        <v>1055</v>
      </c>
      <c r="C109" s="1164"/>
      <c r="D109" s="1164"/>
      <c r="E109" s="1164"/>
      <c r="F109" s="1181"/>
      <c r="G109" s="1181"/>
      <c r="H109" s="1181"/>
      <c r="I109" s="1181"/>
      <c r="J109" s="1181"/>
      <c r="K109" s="1232"/>
      <c r="L109" s="1233"/>
      <c r="M109" s="1234"/>
      <c r="N109" s="1500"/>
      <c r="O109" s="1500"/>
      <c r="P109" s="1501"/>
      <c r="Q109" s="1504"/>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502"/>
      <c r="O110" s="1502"/>
      <c r="P110" s="1501"/>
      <c r="Q110" s="1504"/>
    </row>
    <row r="111" spans="1:17" s="907" customFormat="1">
      <c r="A111" s="1184"/>
      <c r="B111" s="1156" t="s">
        <v>568</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507"/>
      <c r="O111" s="1507"/>
      <c r="P111" s="1508"/>
      <c r="Q111" s="1515"/>
    </row>
    <row r="112" spans="1:17" s="907" customFormat="1">
      <c r="A112" s="1184"/>
      <c r="B112" s="1160"/>
      <c r="C112" s="840">
        <v>0.5</v>
      </c>
      <c r="D112" s="840">
        <v>0.6</v>
      </c>
      <c r="E112" s="840">
        <v>0.7</v>
      </c>
      <c r="F112" s="840">
        <v>0.8</v>
      </c>
      <c r="G112" s="840">
        <v>0.9</v>
      </c>
      <c r="H112" s="840">
        <v>1.0001</v>
      </c>
      <c r="I112" s="840"/>
      <c r="J112" s="1512"/>
      <c r="K112" s="1512"/>
      <c r="L112" s="1513"/>
      <c r="M112" s="1514"/>
      <c r="N112" s="1507"/>
      <c r="O112" s="1507"/>
      <c r="P112" s="1508"/>
      <c r="Q112" s="1515"/>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507"/>
      <c r="O113" s="1507"/>
      <c r="P113" s="1508"/>
      <c r="Q113" s="1515"/>
    </row>
    <row r="114" spans="1:17">
      <c r="A114" s="1187"/>
      <c r="B114" s="1156" t="s">
        <v>1057</v>
      </c>
      <c r="C114" s="1164"/>
      <c r="D114" s="1164"/>
      <c r="E114" s="1181"/>
      <c r="F114" s="1181"/>
      <c r="G114" s="1181"/>
      <c r="H114" s="1181"/>
      <c r="I114" s="1181"/>
      <c r="J114" s="1181"/>
      <c r="K114" s="1232"/>
      <c r="L114" s="1233"/>
      <c r="M114" s="1234"/>
      <c r="N114" s="1500"/>
      <c r="O114" s="1500"/>
      <c r="P114" s="1501"/>
      <c r="Q114" s="1504"/>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502"/>
      <c r="O115" s="1502"/>
      <c r="P115" s="1501"/>
      <c r="Q115" s="1504"/>
    </row>
    <row r="116" spans="1:17">
      <c r="A116" s="1187"/>
      <c r="B116" s="1156" t="s">
        <v>1059</v>
      </c>
      <c r="C116" s="1164"/>
      <c r="D116" s="1164"/>
      <c r="E116" s="1164"/>
      <c r="F116" s="1164"/>
      <c r="G116" s="1164"/>
      <c r="H116" s="1181"/>
      <c r="I116" s="1181"/>
      <c r="J116" s="1181"/>
      <c r="K116" s="1232"/>
      <c r="L116" s="1233"/>
      <c r="M116" s="1234"/>
      <c r="N116" s="1500"/>
      <c r="O116" s="1500"/>
      <c r="P116" s="1501"/>
      <c r="Q116" s="1504"/>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502"/>
      <c r="O117" s="1502"/>
      <c r="P117" s="1501"/>
      <c r="Q117" s="1504"/>
    </row>
    <row r="118" spans="1:17">
      <c r="A118" s="1187"/>
      <c r="B118" s="1156" t="s">
        <v>1505</v>
      </c>
      <c r="C118" s="1181"/>
      <c r="D118" s="1181"/>
      <c r="E118" s="1181"/>
      <c r="F118" s="1181"/>
      <c r="G118" s="1181"/>
      <c r="H118" s="1181"/>
      <c r="I118" s="1181"/>
      <c r="J118" s="1181"/>
      <c r="K118" s="1232"/>
      <c r="L118" s="1233"/>
      <c r="M118" s="1234"/>
      <c r="N118" s="1500"/>
      <c r="O118" s="1500"/>
      <c r="P118" s="1501"/>
      <c r="Q118" s="1504"/>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502"/>
      <c r="O119" s="1502"/>
      <c r="P119" s="1501"/>
      <c r="Q119" s="1504"/>
    </row>
    <row r="120" spans="1:17" s="907" customFormat="1" ht="27.75">
      <c r="A120" s="1184"/>
      <c r="B120" s="1156" t="s">
        <v>1506</v>
      </c>
      <c r="C120" s="1164"/>
      <c r="D120" s="1164"/>
      <c r="E120" s="1164"/>
      <c r="F120" s="1164"/>
      <c r="G120" s="1164"/>
      <c r="H120" s="1164"/>
      <c r="I120" s="1164"/>
      <c r="J120" s="1164"/>
      <c r="K120" s="1164"/>
      <c r="L120" s="1353"/>
      <c r="M120" s="1354"/>
      <c r="N120" s="1507"/>
      <c r="O120" s="1507"/>
      <c r="P120" s="1508"/>
      <c r="Q120" s="1515"/>
    </row>
    <row r="121" spans="1:17" s="907" customFormat="1" ht="15">
      <c r="A121" s="1163"/>
      <c r="B121" s="1154"/>
      <c r="C121" s="1166"/>
      <c r="D121" s="1155"/>
      <c r="E121" s="1155"/>
      <c r="F121" s="1155"/>
      <c r="G121" s="1155"/>
      <c r="H121" s="1155"/>
      <c r="I121" s="1155"/>
      <c r="J121" s="1155"/>
      <c r="K121" s="1155"/>
      <c r="L121" s="1155"/>
      <c r="M121" s="1155"/>
      <c r="N121" s="1507"/>
      <c r="O121" s="1507"/>
      <c r="P121" s="1508"/>
      <c r="Q121" s="1515"/>
    </row>
    <row r="122" spans="1:17">
      <c r="A122" s="1187"/>
      <c r="B122" s="1156" t="s">
        <v>1060</v>
      </c>
      <c r="C122" s="1164"/>
      <c r="D122" s="1164"/>
      <c r="E122" s="1164"/>
      <c r="F122" s="1181"/>
      <c r="G122" s="1181"/>
      <c r="H122" s="1181"/>
      <c r="I122" s="1181"/>
      <c r="J122" s="1181"/>
      <c r="K122" s="1232"/>
      <c r="L122" s="1233"/>
      <c r="M122" s="1234"/>
      <c r="N122" s="1500"/>
      <c r="O122" s="1500"/>
      <c r="P122" s="1501"/>
      <c r="Q122" s="1504"/>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502"/>
      <c r="O123" s="1502"/>
      <c r="P123" s="1501"/>
      <c r="Q123" s="1504"/>
    </row>
    <row r="124" spans="1:17">
      <c r="A124" s="1187"/>
      <c r="B124" s="1156" t="s">
        <v>1507</v>
      </c>
      <c r="C124" s="1175" t="s">
        <v>1082</v>
      </c>
      <c r="D124" s="1175" t="s">
        <v>1083</v>
      </c>
      <c r="E124" s="1175" t="s">
        <v>1084</v>
      </c>
      <c r="F124" s="1175" t="s">
        <v>1085</v>
      </c>
      <c r="G124" s="1175" t="s">
        <v>1086</v>
      </c>
      <c r="H124" s="1157"/>
      <c r="I124" s="1157"/>
      <c r="J124" s="1157"/>
      <c r="K124" s="1206"/>
      <c r="L124" s="1207"/>
      <c r="M124" s="1208"/>
      <c r="N124" s="1500"/>
      <c r="O124" s="1500"/>
      <c r="P124" s="1508"/>
      <c r="Q124" s="1504"/>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502"/>
      <c r="O125" s="1502"/>
      <c r="P125" s="1501"/>
      <c r="Q125" s="1504"/>
    </row>
    <row r="126" spans="1:17" s="907" customFormat="1">
      <c r="A126" s="1184"/>
      <c r="B126" s="1156">
        <f>B44</f>
        <v>111</v>
      </c>
      <c r="C126" s="1164"/>
      <c r="D126" s="1164"/>
      <c r="E126" s="1164"/>
      <c r="F126" s="1164"/>
      <c r="G126" s="1164"/>
      <c r="H126" s="1165"/>
      <c r="I126" s="1165"/>
      <c r="J126" s="1165"/>
      <c r="K126" s="1165"/>
      <c r="L126" s="1213"/>
      <c r="M126" s="1214"/>
      <c r="N126" s="1507"/>
      <c r="O126" s="1507"/>
      <c r="P126" s="1508"/>
      <c r="Q126" s="1515"/>
    </row>
    <row r="127" spans="1:17" s="907" customFormat="1" ht="15">
      <c r="A127" s="1163"/>
      <c r="B127" s="1158"/>
      <c r="C127" s="1166"/>
      <c r="D127" s="1155"/>
      <c r="E127" s="1155"/>
      <c r="F127" s="1155"/>
      <c r="G127" s="1166"/>
      <c r="H127" s="1167"/>
      <c r="I127" s="1167"/>
      <c r="J127" s="1167"/>
      <c r="K127" s="1167"/>
      <c r="L127" s="1167"/>
      <c r="M127" s="1217"/>
      <c r="N127" s="1507"/>
      <c r="O127" s="1507"/>
      <c r="P127" s="1508"/>
      <c r="Q127" s="1515"/>
    </row>
    <row r="128" spans="1:17">
      <c r="A128" s="1187"/>
      <c r="B128" s="1156">
        <f>B45</f>
        <v>111</v>
      </c>
      <c r="C128" s="1164"/>
      <c r="D128" s="1164"/>
      <c r="E128" s="1164"/>
      <c r="F128" s="1164"/>
      <c r="G128" s="1181"/>
      <c r="H128" s="1181"/>
      <c r="I128" s="1181"/>
      <c r="J128" s="1181"/>
      <c r="K128" s="1232"/>
      <c r="L128" s="1233"/>
      <c r="M128" s="1234"/>
      <c r="N128" s="1500"/>
      <c r="O128" s="1500"/>
      <c r="P128" s="1501"/>
      <c r="Q128" s="1504"/>
    </row>
    <row r="129" spans="1:17" ht="15">
      <c r="A129" s="1153"/>
      <c r="B129" s="1158"/>
      <c r="C129" s="1166"/>
      <c r="D129" s="1166"/>
      <c r="E129" s="1166"/>
      <c r="F129" s="1166"/>
      <c r="G129" s="1155"/>
      <c r="H129" s="1155"/>
      <c r="I129" s="1155"/>
      <c r="J129" s="1155"/>
      <c r="K129" s="1155"/>
      <c r="L129" s="1155"/>
      <c r="M129" s="1204"/>
      <c r="N129" s="1502"/>
      <c r="O129" s="1502"/>
      <c r="P129" s="1501"/>
      <c r="Q129" s="1504"/>
    </row>
    <row r="130" spans="1:17">
      <c r="A130" s="1187"/>
      <c r="B130" s="1160">
        <f>B46</f>
        <v>111</v>
      </c>
      <c r="C130" s="1164"/>
      <c r="D130" s="1164"/>
      <c r="E130" s="1164"/>
      <c r="F130" s="1164"/>
      <c r="G130" s="1182"/>
      <c r="H130" s="1182"/>
      <c r="I130" s="1182"/>
      <c r="J130" s="1182"/>
      <c r="K130" s="1148"/>
      <c r="L130" s="1194"/>
      <c r="M130" s="1237"/>
      <c r="N130" s="1500"/>
      <c r="O130" s="1500"/>
      <c r="P130" s="1501"/>
      <c r="Q130" s="1504"/>
    </row>
    <row r="131" spans="1:17" ht="15">
      <c r="A131" s="1438"/>
      <c r="B131" s="1170"/>
      <c r="C131" s="1171"/>
      <c r="D131" s="1171"/>
      <c r="E131" s="1171"/>
      <c r="F131" s="1171"/>
      <c r="G131" s="1183"/>
      <c r="H131" s="1183"/>
      <c r="I131" s="1183"/>
      <c r="J131" s="1183"/>
      <c r="K131" s="1183"/>
      <c r="L131" s="1183"/>
      <c r="M131" s="1238"/>
      <c r="N131" s="1502"/>
      <c r="O131" s="1502"/>
      <c r="P131" s="1501"/>
      <c r="Q131" s="1504"/>
    </row>
    <row r="136" spans="1:17">
      <c r="B136" s="1517" t="s">
        <v>1508</v>
      </c>
    </row>
    <row r="137" spans="1:17" ht="15">
      <c r="B137" s="1518" t="s">
        <v>1509</v>
      </c>
      <c r="C137" s="1519"/>
      <c r="D137" s="1519"/>
      <c r="E137" s="1519"/>
      <c r="F137" s="1519"/>
      <c r="G137" s="1520"/>
      <c r="H137" s="1521"/>
      <c r="I137" s="1544" t="s">
        <v>1510</v>
      </c>
      <c r="J137" s="1519"/>
      <c r="K137" s="1545"/>
    </row>
    <row r="138" spans="1:17" ht="15">
      <c r="B138" s="1522"/>
      <c r="C138" s="1523" t="s">
        <v>1511</v>
      </c>
      <c r="D138" s="1523" t="s">
        <v>1512</v>
      </c>
      <c r="E138" s="1524" t="s">
        <v>1513</v>
      </c>
      <c r="F138" s="1525" t="s">
        <v>1514</v>
      </c>
      <c r="G138" s="1523" t="s">
        <v>1512</v>
      </c>
      <c r="H138" s="1526" t="s">
        <v>1513</v>
      </c>
      <c r="I138" s="1546"/>
      <c r="J138" s="1523" t="s">
        <v>1515</v>
      </c>
      <c r="K138" s="1526" t="s">
        <v>1516</v>
      </c>
    </row>
    <row r="139" spans="1:17" ht="15">
      <c r="B139" s="1527">
        <v>6</v>
      </c>
      <c r="C139" s="1528">
        <v>96</v>
      </c>
      <c r="D139" s="1529" t="s">
        <v>1517</v>
      </c>
      <c r="E139" s="1530">
        <v>100</v>
      </c>
      <c r="F139" s="1531">
        <v>102.5</v>
      </c>
      <c r="G139" s="1529" t="s">
        <v>1517</v>
      </c>
      <c r="H139" s="1532">
        <v>105</v>
      </c>
      <c r="I139" s="1547" t="s">
        <v>1518</v>
      </c>
      <c r="J139" s="1528">
        <v>20</v>
      </c>
      <c r="K139" s="1548">
        <f>C145/(J139-2)</f>
        <v>4.0555555555555553E-3</v>
      </c>
    </row>
    <row r="140" spans="1:17" ht="15">
      <c r="B140" s="1533">
        <v>5</v>
      </c>
      <c r="C140" s="1534">
        <v>100</v>
      </c>
      <c r="D140" s="1534"/>
      <c r="E140" s="1535"/>
      <c r="F140" s="1536">
        <v>102</v>
      </c>
      <c r="G140" s="1534"/>
      <c r="H140" s="1537"/>
      <c r="I140" s="1549" t="s">
        <v>1519</v>
      </c>
      <c r="J140" s="227">
        <f>ROUNDUP((J139-1)/2,0)</f>
        <v>10</v>
      </c>
      <c r="K140" s="1550">
        <v>100</v>
      </c>
    </row>
    <row r="141" spans="1:17" ht="15">
      <c r="B141" s="1533">
        <v>4</v>
      </c>
      <c r="C141" s="1534">
        <v>102</v>
      </c>
      <c r="D141" s="1534"/>
      <c r="E141" s="1535"/>
      <c r="F141" s="1536">
        <v>101.5</v>
      </c>
      <c r="G141" s="1534"/>
      <c r="H141" s="1537"/>
      <c r="I141" s="1549" t="s">
        <v>1520</v>
      </c>
      <c r="J141" s="227">
        <v>1</v>
      </c>
      <c r="K141" s="1551">
        <f>ROUND(100+(J141-J140)*K139*100,1)</f>
        <v>96.4</v>
      </c>
    </row>
    <row r="142" spans="1:17" ht="15">
      <c r="B142" s="1533">
        <v>3</v>
      </c>
      <c r="C142" s="1534">
        <v>103</v>
      </c>
      <c r="D142" s="1534"/>
      <c r="E142" s="1535"/>
      <c r="F142" s="1536">
        <v>101</v>
      </c>
      <c r="G142" s="1534"/>
      <c r="H142" s="1537"/>
      <c r="I142" s="1549" t="s">
        <v>1521</v>
      </c>
      <c r="J142" s="227">
        <f>J139</f>
        <v>20</v>
      </c>
      <c r="K142" s="1552">
        <v>95</v>
      </c>
    </row>
    <row r="143" spans="1:17" ht="15">
      <c r="B143" s="1533">
        <v>2</v>
      </c>
      <c r="C143" s="1534">
        <v>100</v>
      </c>
      <c r="D143" s="1534"/>
      <c r="E143" s="1535"/>
      <c r="F143" s="1536">
        <v>100.5</v>
      </c>
      <c r="G143" s="1534"/>
      <c r="H143" s="1537"/>
      <c r="I143" s="1549" t="s">
        <v>1522</v>
      </c>
      <c r="J143" s="1534">
        <v>15</v>
      </c>
      <c r="K143" s="1551">
        <f>ROUND(100+(J143-J140)*K139*100,1)</f>
        <v>102</v>
      </c>
    </row>
    <row r="144" spans="1:17" ht="15">
      <c r="B144" s="1533">
        <v>1</v>
      </c>
      <c r="C144" s="1534">
        <v>98</v>
      </c>
      <c r="D144" s="1538" t="s">
        <v>1523</v>
      </c>
      <c r="E144" s="1535">
        <v>102</v>
      </c>
      <c r="F144" s="1539">
        <v>100</v>
      </c>
      <c r="G144" s="1538" t="s">
        <v>1523</v>
      </c>
      <c r="H144" s="1537">
        <v>105</v>
      </c>
      <c r="I144" s="1549" t="s">
        <v>1522</v>
      </c>
      <c r="J144" s="1534">
        <v>18</v>
      </c>
      <c r="K144" s="1551">
        <f>ROUND(100+(J144-J140)*K139*100,1)</f>
        <v>103.2</v>
      </c>
    </row>
    <row r="145" spans="2:11" ht="15">
      <c r="B145" s="1540" t="s">
        <v>1524</v>
      </c>
      <c r="C145" s="1541">
        <f>ROUND(MAX(C139:C144)/MIN(C139:C144)-1,3)</f>
        <v>7.2999999999999995E-2</v>
      </c>
      <c r="D145" s="1542"/>
      <c r="E145" s="1542"/>
      <c r="F145" s="1543" t="s">
        <v>1525</v>
      </c>
      <c r="G145" s="1433"/>
      <c r="H145" s="1436"/>
      <c r="I145" s="1553" t="s">
        <v>1522</v>
      </c>
      <c r="J145" s="1554">
        <v>8</v>
      </c>
      <c r="K145" s="1555">
        <f>ROUND(100+(J145-J140)*K139*100,1)</f>
        <v>99.2</v>
      </c>
    </row>
    <row r="147" spans="2:11">
      <c r="B147" s="1517" t="s">
        <v>1526</v>
      </c>
    </row>
    <row r="148" spans="2:11">
      <c r="B148" s="1517" t="s">
        <v>1527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1011</v>
      </c>
      <c r="B1" s="1443" t="s">
        <v>1528</v>
      </c>
      <c r="C1" s="1343" t="s">
        <v>1013</v>
      </c>
      <c r="D1" s="1287"/>
      <c r="E1" s="1444"/>
      <c r="F1" s="1289"/>
      <c r="G1" s="1290" t="s">
        <v>1015</v>
      </c>
      <c r="H1" s="1288"/>
      <c r="I1" s="1288"/>
      <c r="J1" s="1288"/>
      <c r="K1" s="1341"/>
      <c r="L1" s="1342"/>
      <c r="M1" s="1343"/>
      <c r="N1" s="1343"/>
      <c r="O1" s="1343"/>
      <c r="P1" s="1450"/>
      <c r="Q1" s="1459"/>
      <c r="R1" s="1459"/>
      <c r="S1" s="1459"/>
      <c r="T1" s="1459"/>
      <c r="U1" s="1459"/>
      <c r="V1" s="1459"/>
      <c r="W1" s="1459"/>
      <c r="X1" s="1459"/>
      <c r="Y1" s="1459"/>
      <c r="Z1" s="1459"/>
      <c r="AA1" s="1459"/>
      <c r="AB1" s="1459"/>
      <c r="AC1" s="1461"/>
    </row>
    <row r="2" spans="1:29" s="904" customFormat="1" ht="28.5" customHeight="1">
      <c r="A2" s="1291" t="s">
        <v>913</v>
      </c>
      <c r="B2" s="1292" t="e">
        <f ca="1">IF(C2="——",ROUND(C49*D3/10000,0),ROUND(C49*D3/10000,0)-D2)</f>
        <v>#DIV/0!</v>
      </c>
      <c r="C2" s="1293"/>
      <c r="D2" s="1420" t="e">
        <f ca="1">SUMIF(INDIRECT("'"&amp;F2&amp;"'"&amp;"!A:A"),"承租人权益价值",INDIRECT("'"&amp;F2&amp;"'"&amp;"!c:c"))</f>
        <v>#REF!</v>
      </c>
      <c r="E2" s="1294" t="s">
        <v>914</v>
      </c>
      <c r="F2" s="1295"/>
      <c r="G2" s="920"/>
      <c r="H2" s="920"/>
      <c r="I2" s="920"/>
      <c r="J2" s="920"/>
      <c r="K2" s="920"/>
      <c r="L2" s="1069"/>
      <c r="M2" s="1070"/>
      <c r="N2" s="1070"/>
      <c r="O2" s="1070"/>
      <c r="P2" s="1451"/>
      <c r="Q2" s="1460"/>
      <c r="R2" s="1460"/>
      <c r="S2" s="1460"/>
      <c r="T2" s="1460"/>
      <c r="U2" s="1460"/>
      <c r="V2" s="1460"/>
      <c r="W2" s="1460"/>
      <c r="X2" s="1460"/>
      <c r="Y2" s="1460"/>
      <c r="Z2" s="1460"/>
      <c r="AA2" s="1460"/>
      <c r="AB2" s="1460"/>
      <c r="AC2" s="1462"/>
    </row>
    <row r="3" spans="1:29" s="904" customFormat="1" ht="28.5" customHeight="1">
      <c r="A3" s="153" t="s">
        <v>915</v>
      </c>
      <c r="B3" s="922" t="e">
        <f ca="1">IF(C2="——",C49,ROUND(B2*10000/D3,0))</f>
        <v>#DIV/0!</v>
      </c>
      <c r="C3" s="1296" t="s">
        <v>1016</v>
      </c>
      <c r="D3" s="1297">
        <f>IF(D1="",'数据-汇总表'!E3,SUMIF('数据-汇总表'!$C19:$C33,D1,'数据-汇总表'!$E19:$E33))</f>
        <v>842.81</v>
      </c>
      <c r="E3" s="1421"/>
      <c r="F3" s="921"/>
      <c r="G3" s="920"/>
      <c r="H3" s="920"/>
      <c r="I3" s="920"/>
      <c r="J3" s="920"/>
      <c r="K3" s="1068"/>
      <c r="L3" s="1069"/>
      <c r="M3" s="1070"/>
      <c r="N3" s="1070"/>
      <c r="O3" s="1070"/>
      <c r="P3" s="1451"/>
      <c r="Q3" s="1460"/>
      <c r="R3" s="1460"/>
      <c r="S3" s="1460"/>
      <c r="T3" s="1460"/>
      <c r="U3" s="1460"/>
      <c r="V3" s="1460"/>
      <c r="W3" s="1460"/>
      <c r="X3" s="1460"/>
      <c r="Y3" s="1460"/>
      <c r="Z3" s="1460"/>
      <c r="AA3" s="1460"/>
      <c r="AB3" s="1460"/>
      <c r="AC3" s="1421"/>
    </row>
    <row r="4" spans="1:29" ht="15">
      <c r="A4" s="924" t="s">
        <v>1017</v>
      </c>
      <c r="B4" s="925"/>
      <c r="C4" s="3458" t="s">
        <v>1018</v>
      </c>
      <c r="D4" s="3459"/>
      <c r="E4" s="3460" t="s">
        <v>1019</v>
      </c>
      <c r="F4" s="3461"/>
      <c r="G4" s="3458" t="s">
        <v>1020</v>
      </c>
      <c r="H4" s="3459"/>
      <c r="I4" s="3458" t="s">
        <v>1021</v>
      </c>
      <c r="J4" s="3459"/>
      <c r="K4" s="1071" t="s">
        <v>1022</v>
      </c>
      <c r="L4" s="1072"/>
      <c r="M4" s="1073"/>
      <c r="N4" s="1073"/>
      <c r="O4" s="1073"/>
      <c r="P4" s="3428" t="s">
        <v>1023</v>
      </c>
      <c r="Q4" s="3429"/>
      <c r="R4" s="3434" t="s">
        <v>1019</v>
      </c>
      <c r="S4" s="3435"/>
      <c r="T4" s="3434" t="s">
        <v>1020</v>
      </c>
      <c r="U4" s="3435"/>
      <c r="V4" s="3440" t="s">
        <v>1021</v>
      </c>
      <c r="W4" s="3440"/>
      <c r="X4" s="1115"/>
      <c r="Y4" s="3434" t="s">
        <v>1023</v>
      </c>
      <c r="Z4" s="3435"/>
      <c r="AA4" s="3425" t="s">
        <v>1019</v>
      </c>
      <c r="AB4" s="3440" t="s">
        <v>1020</v>
      </c>
      <c r="AC4" s="3425" t="s">
        <v>1021</v>
      </c>
    </row>
    <row r="5" spans="1:29" ht="15">
      <c r="A5" s="926"/>
      <c r="B5" s="927"/>
      <c r="C5" s="3498" t="s">
        <v>1024</v>
      </c>
      <c r="D5" s="3463"/>
      <c r="E5" s="3499" t="s">
        <v>1497</v>
      </c>
      <c r="F5" s="3465"/>
      <c r="G5" s="3498" t="s">
        <v>1498</v>
      </c>
      <c r="H5" s="3463"/>
      <c r="I5" s="3498" t="s">
        <v>1499</v>
      </c>
      <c r="J5" s="3463"/>
      <c r="K5" s="1071"/>
      <c r="L5" s="1072"/>
      <c r="M5" s="1073"/>
      <c r="N5" s="1073"/>
      <c r="O5" s="1073"/>
      <c r="P5" s="3430"/>
      <c r="Q5" s="3431"/>
      <c r="R5" s="3436"/>
      <c r="S5" s="3437"/>
      <c r="T5" s="3436"/>
      <c r="U5" s="3437"/>
      <c r="V5" s="3440"/>
      <c r="W5" s="3440"/>
      <c r="X5" s="1115"/>
      <c r="Y5" s="3436"/>
      <c r="Z5" s="3437"/>
      <c r="AA5" s="3426"/>
      <c r="AB5" s="3440"/>
      <c r="AC5" s="3426"/>
    </row>
    <row r="6" spans="1:29" ht="15">
      <c r="A6" s="928"/>
      <c r="B6" s="929"/>
      <c r="C6" s="3453" t="s">
        <v>1025</v>
      </c>
      <c r="D6" s="3454"/>
      <c r="E6" s="3455" t="s">
        <v>1025</v>
      </c>
      <c r="F6" s="3456"/>
      <c r="G6" s="3453" t="s">
        <v>1025</v>
      </c>
      <c r="H6" s="3454"/>
      <c r="I6" s="3453" t="s">
        <v>1025</v>
      </c>
      <c r="J6" s="3454"/>
      <c r="K6" s="1071" t="s">
        <v>1026</v>
      </c>
      <c r="L6" s="1072"/>
      <c r="M6" s="1073"/>
      <c r="N6" s="1073"/>
      <c r="O6" s="1073"/>
      <c r="P6" s="3432"/>
      <c r="Q6" s="3433"/>
      <c r="R6" s="3436"/>
      <c r="S6" s="3437"/>
      <c r="T6" s="3438"/>
      <c r="U6" s="3439"/>
      <c r="V6" s="3440"/>
      <c r="W6" s="3440"/>
      <c r="X6" s="1115"/>
      <c r="Y6" s="3438"/>
      <c r="Z6" s="3439"/>
      <c r="AA6" s="3427"/>
      <c r="AB6" s="3440"/>
      <c r="AC6" s="3427"/>
    </row>
    <row r="7" spans="1:29" s="905" customFormat="1" ht="15">
      <c r="A7" s="930" t="s">
        <v>1027</v>
      </c>
      <c r="B7" s="931"/>
      <c r="C7" s="932">
        <f>'数据-取费表'!B2</f>
        <v>44725</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46" t="s">
        <v>1028</v>
      </c>
      <c r="Q7" s="3457"/>
      <c r="R7" s="1116" t="s">
        <v>1029</v>
      </c>
      <c r="S7" s="1117">
        <f t="shared" ref="S7:S15" si="0">F7</f>
        <v>0</v>
      </c>
      <c r="T7" s="1116" t="s">
        <v>1029</v>
      </c>
      <c r="U7" s="1117">
        <f t="shared" ref="U7:U15" si="1">H7</f>
        <v>0</v>
      </c>
      <c r="V7" s="1116" t="s">
        <v>1029</v>
      </c>
      <c r="W7" s="1117">
        <f t="shared" ref="W7:W15" si="2">J7</f>
        <v>0</v>
      </c>
      <c r="X7" s="1118"/>
      <c r="Y7" s="3446" t="s">
        <v>1028</v>
      </c>
      <c r="Z7" s="3447"/>
      <c r="AA7" s="1130" t="e">
        <f>D7/F7</f>
        <v>#DIV/0!</v>
      </c>
      <c r="AB7" s="1130" t="e">
        <f>D7/H7</f>
        <v>#DIV/0!</v>
      </c>
      <c r="AC7" s="1130" t="e">
        <f>D7/J7</f>
        <v>#DIV/0!</v>
      </c>
    </row>
    <row r="8" spans="1:29" s="905" customFormat="1" ht="15">
      <c r="A8" s="930" t="s">
        <v>1030</v>
      </c>
      <c r="B8" s="931"/>
      <c r="C8" s="937" t="s">
        <v>1031</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46" t="s">
        <v>1032</v>
      </c>
      <c r="Q8" s="3447"/>
      <c r="R8" s="1116" t="s">
        <v>1029</v>
      </c>
      <c r="S8" s="1117">
        <f t="shared" si="0"/>
        <v>0</v>
      </c>
      <c r="T8" s="1116" t="s">
        <v>1029</v>
      </c>
      <c r="U8" s="1117">
        <f t="shared" si="1"/>
        <v>0</v>
      </c>
      <c r="V8" s="1116" t="s">
        <v>1029</v>
      </c>
      <c r="W8" s="1117">
        <f t="shared" si="2"/>
        <v>0</v>
      </c>
      <c r="X8" s="1118"/>
      <c r="Y8" s="3446" t="s">
        <v>1032</v>
      </c>
      <c r="Z8" s="3447"/>
      <c r="AA8" s="1130" t="e">
        <f t="shared" ref="AA8:AA46" si="3">D8/F8</f>
        <v>#DIV/0!</v>
      </c>
      <c r="AB8" s="1130" t="e">
        <f t="shared" ref="AB8:AB46" si="4">D8/H8</f>
        <v>#DIV/0!</v>
      </c>
      <c r="AC8" s="1130" t="e">
        <f t="shared" ref="AC8:AC46" si="5">D8/J8</f>
        <v>#DIV/0!</v>
      </c>
    </row>
    <row r="9" spans="1:29" s="905" customFormat="1">
      <c r="A9" s="938" t="s">
        <v>1033</v>
      </c>
      <c r="B9" s="939" t="s">
        <v>1034</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92" t="s">
        <v>1035</v>
      </c>
      <c r="Q9" s="1120" t="str">
        <f t="shared" ref="Q9:Q15" si="6">B9</f>
        <v>用途</v>
      </c>
      <c r="R9" s="1116" t="s">
        <v>1029</v>
      </c>
      <c r="S9" s="1117">
        <f t="shared" si="0"/>
        <v>100</v>
      </c>
      <c r="T9" s="1116" t="s">
        <v>1029</v>
      </c>
      <c r="U9" s="1117">
        <f t="shared" si="1"/>
        <v>100</v>
      </c>
      <c r="V9" s="1116" t="s">
        <v>1029</v>
      </c>
      <c r="W9" s="1117">
        <f t="shared" si="2"/>
        <v>100</v>
      </c>
      <c r="X9" s="1118"/>
      <c r="Y9" s="3334" t="s">
        <v>1036</v>
      </c>
      <c r="Z9" s="1131" t="str">
        <f t="shared" ref="Z9:Z15" si="7">Q9</f>
        <v>用途</v>
      </c>
      <c r="AA9" s="1130">
        <f t="shared" si="3"/>
        <v>1</v>
      </c>
      <c r="AB9" s="1130">
        <f t="shared" si="4"/>
        <v>1</v>
      </c>
      <c r="AC9" s="1130">
        <f t="shared" si="5"/>
        <v>1</v>
      </c>
    </row>
    <row r="10" spans="1:29" s="906" customFormat="1" ht="27">
      <c r="A10" s="942"/>
      <c r="B10" s="943" t="s">
        <v>1037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92"/>
      <c r="Q10" s="1120" t="str">
        <f t="shared" si="6"/>
        <v>土地使用年限（年）</v>
      </c>
      <c r="R10" s="1116" t="s">
        <v>1029</v>
      </c>
      <c r="S10" s="1117">
        <f t="shared" si="0"/>
        <v>100</v>
      </c>
      <c r="T10" s="1116" t="s">
        <v>1029</v>
      </c>
      <c r="U10" s="1117">
        <f t="shared" si="1"/>
        <v>100</v>
      </c>
      <c r="V10" s="1116" t="s">
        <v>1029</v>
      </c>
      <c r="W10" s="1117">
        <f t="shared" si="2"/>
        <v>100</v>
      </c>
      <c r="X10" s="1118"/>
      <c r="Y10" s="3334"/>
      <c r="Z10" s="1131" t="str">
        <f t="shared" si="7"/>
        <v>土地使用年限（年）</v>
      </c>
      <c r="AA10" s="1130">
        <f t="shared" si="3"/>
        <v>1</v>
      </c>
      <c r="AB10" s="1130">
        <f t="shared" si="4"/>
        <v>1</v>
      </c>
      <c r="AC10" s="1130">
        <f t="shared" si="5"/>
        <v>1</v>
      </c>
    </row>
    <row r="11" spans="1:29" ht="15">
      <c r="A11" s="946"/>
      <c r="B11" s="943" t="s">
        <v>1038</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92"/>
      <c r="Q11" s="1120" t="str">
        <f t="shared" si="6"/>
        <v>容积率</v>
      </c>
      <c r="R11" s="1116" t="s">
        <v>1029</v>
      </c>
      <c r="S11" s="1117" t="e">
        <f t="shared" si="0"/>
        <v>#N/A</v>
      </c>
      <c r="T11" s="1116" t="s">
        <v>1029</v>
      </c>
      <c r="U11" s="1117" t="e">
        <f t="shared" si="1"/>
        <v>#N/A</v>
      </c>
      <c r="V11" s="1116" t="s">
        <v>1029</v>
      </c>
      <c r="W11" s="1117" t="e">
        <f t="shared" si="2"/>
        <v>#N/A</v>
      </c>
      <c r="X11" s="1118"/>
      <c r="Y11" s="333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92"/>
      <c r="Q12" s="1120">
        <f t="shared" si="6"/>
        <v>111</v>
      </c>
      <c r="R12" s="1116" t="s">
        <v>1029</v>
      </c>
      <c r="S12" s="1117">
        <f t="shared" si="0"/>
        <v>100</v>
      </c>
      <c r="T12" s="1116" t="s">
        <v>1029</v>
      </c>
      <c r="U12" s="1117">
        <f t="shared" si="1"/>
        <v>100</v>
      </c>
      <c r="V12" s="1116" t="s">
        <v>1029</v>
      </c>
      <c r="W12" s="1117">
        <f t="shared" si="2"/>
        <v>100</v>
      </c>
      <c r="X12" s="1118"/>
      <c r="Y12" s="333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92"/>
      <c r="Q13" s="1120">
        <f t="shared" si="6"/>
        <v>111</v>
      </c>
      <c r="R13" s="1116" t="s">
        <v>1029</v>
      </c>
      <c r="S13" s="1117">
        <f t="shared" si="0"/>
        <v>100</v>
      </c>
      <c r="T13" s="1116" t="s">
        <v>1029</v>
      </c>
      <c r="U13" s="1117">
        <f t="shared" si="1"/>
        <v>100</v>
      </c>
      <c r="V13" s="1116" t="s">
        <v>1029</v>
      </c>
      <c r="W13" s="1117">
        <f t="shared" si="2"/>
        <v>100</v>
      </c>
      <c r="X13" s="1118"/>
      <c r="Y13" s="3334"/>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92"/>
      <c r="Q14" s="1120">
        <f t="shared" si="6"/>
        <v>111</v>
      </c>
      <c r="R14" s="1116" t="s">
        <v>1029</v>
      </c>
      <c r="S14" s="1117">
        <f t="shared" si="0"/>
        <v>100</v>
      </c>
      <c r="T14" s="1116" t="s">
        <v>1029</v>
      </c>
      <c r="U14" s="1117">
        <f t="shared" si="1"/>
        <v>100</v>
      </c>
      <c r="V14" s="1116" t="s">
        <v>1029</v>
      </c>
      <c r="W14" s="1117">
        <f t="shared" si="2"/>
        <v>100</v>
      </c>
      <c r="X14" s="1118"/>
      <c r="Y14" s="3334"/>
      <c r="Z14" s="1131">
        <f t="shared" si="7"/>
        <v>111</v>
      </c>
      <c r="AA14" s="1130">
        <f t="shared" si="3"/>
        <v>1</v>
      </c>
      <c r="AB14" s="1130">
        <f t="shared" si="4"/>
        <v>1</v>
      </c>
      <c r="AC14" s="1130">
        <f t="shared" si="5"/>
        <v>1</v>
      </c>
    </row>
    <row r="15" spans="1:29" ht="15">
      <c r="A15" s="960" t="s">
        <v>1039</v>
      </c>
      <c r="B15" s="1253" t="s">
        <v>1529</v>
      </c>
      <c r="C15" s="1254">
        <f>估价对象房地状况!C4</f>
        <v>0</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93" t="s">
        <v>1041</v>
      </c>
      <c r="Q15" s="681" t="str">
        <f t="shared" si="6"/>
        <v>商业繁华度</v>
      </c>
      <c r="R15" s="1121" t="s">
        <v>1029</v>
      </c>
      <c r="S15" s="1122">
        <f t="shared" si="0"/>
        <v>100</v>
      </c>
      <c r="T15" s="1121" t="s">
        <v>1029</v>
      </c>
      <c r="U15" s="1122">
        <f t="shared" si="1"/>
        <v>100</v>
      </c>
      <c r="V15" s="1121" t="s">
        <v>1029</v>
      </c>
      <c r="W15" s="1122">
        <f t="shared" si="2"/>
        <v>100</v>
      </c>
      <c r="X15" s="1115"/>
      <c r="Y15" s="3448" t="s">
        <v>1041</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94"/>
      <c r="Q16" s="681"/>
      <c r="R16" s="1121"/>
      <c r="S16" s="1122"/>
      <c r="T16" s="1121"/>
      <c r="U16" s="1122"/>
      <c r="V16" s="1121"/>
      <c r="W16" s="1122"/>
      <c r="X16" s="1115"/>
      <c r="Y16" s="3449"/>
      <c r="Z16" s="1105"/>
      <c r="AA16" s="1132">
        <v>1</v>
      </c>
      <c r="AB16" s="1132">
        <v>1</v>
      </c>
      <c r="AC16" s="1132">
        <v>1</v>
      </c>
    </row>
    <row r="17" spans="1:29" ht="15">
      <c r="A17" s="946"/>
      <c r="B17" s="1256" t="s">
        <v>1042</v>
      </c>
      <c r="C17" s="971">
        <f>估价对象房地状况!C6</f>
        <v>0</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94"/>
      <c r="Q17" s="681" t="str">
        <f>B17</f>
        <v>交通便捷度</v>
      </c>
      <c r="R17" s="1121" t="s">
        <v>1029</v>
      </c>
      <c r="S17" s="1122">
        <f>F17</f>
        <v>100</v>
      </c>
      <c r="T17" s="1121" t="s">
        <v>1029</v>
      </c>
      <c r="U17" s="1122">
        <f>H17</f>
        <v>100</v>
      </c>
      <c r="V17" s="1121" t="s">
        <v>1029</v>
      </c>
      <c r="W17" s="1122">
        <f>J17</f>
        <v>100</v>
      </c>
      <c r="X17" s="1115"/>
      <c r="Y17" s="3449"/>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94"/>
      <c r="Q18" s="681"/>
      <c r="R18" s="1121"/>
      <c r="S18" s="1122"/>
      <c r="T18" s="1121"/>
      <c r="U18" s="1122"/>
      <c r="V18" s="1121"/>
      <c r="W18" s="1122"/>
      <c r="X18" s="1115"/>
      <c r="Y18" s="3449"/>
      <c r="Z18" s="1105"/>
      <c r="AA18" s="1132">
        <v>1</v>
      </c>
      <c r="AB18" s="1132">
        <v>1</v>
      </c>
      <c r="AC18" s="1132">
        <v>1</v>
      </c>
    </row>
    <row r="19" spans="1:29" ht="15">
      <c r="A19" s="946"/>
      <c r="B19" s="1256" t="s">
        <v>1043</v>
      </c>
      <c r="C19" s="971">
        <f>估价对象房地状况!C7</f>
        <v>0</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94"/>
      <c r="Q19" s="681" t="str">
        <f>B19</f>
        <v>公共配套设施</v>
      </c>
      <c r="R19" s="1121" t="s">
        <v>1029</v>
      </c>
      <c r="S19" s="1122">
        <f>F19</f>
        <v>100</v>
      </c>
      <c r="T19" s="1121" t="s">
        <v>1029</v>
      </c>
      <c r="U19" s="1122">
        <f>H19</f>
        <v>100</v>
      </c>
      <c r="V19" s="1121" t="s">
        <v>1029</v>
      </c>
      <c r="W19" s="1122">
        <f>J19</f>
        <v>100</v>
      </c>
      <c r="X19" s="1115"/>
      <c r="Y19" s="3449"/>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94"/>
      <c r="Q20" s="681"/>
      <c r="R20" s="1121"/>
      <c r="S20" s="1122"/>
      <c r="T20" s="1121"/>
      <c r="U20" s="1122"/>
      <c r="V20" s="1121"/>
      <c r="W20" s="1122"/>
      <c r="X20" s="1115"/>
      <c r="Y20" s="3449"/>
      <c r="Z20" s="1105"/>
      <c r="AA20" s="1132">
        <v>1</v>
      </c>
      <c r="AB20" s="1132">
        <v>1</v>
      </c>
      <c r="AC20" s="1132">
        <v>1</v>
      </c>
    </row>
    <row r="21" spans="1:29" ht="15">
      <c r="A21" s="946"/>
      <c r="B21" s="1260" t="s">
        <v>1044</v>
      </c>
      <c r="C21" s="971">
        <f>估价对象房地状况!C8</f>
        <v>0</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94"/>
      <c r="Q21" s="681" t="str">
        <f>B21</f>
        <v>基础设施水平</v>
      </c>
      <c r="R21" s="1121" t="s">
        <v>1029</v>
      </c>
      <c r="S21" s="1122">
        <f>F21</f>
        <v>100</v>
      </c>
      <c r="T21" s="1121" t="s">
        <v>1029</v>
      </c>
      <c r="U21" s="1122">
        <f>H21</f>
        <v>100</v>
      </c>
      <c r="V21" s="1121" t="s">
        <v>1029</v>
      </c>
      <c r="W21" s="1122">
        <f>J21</f>
        <v>100</v>
      </c>
      <c r="X21" s="1115"/>
      <c r="Y21" s="3449"/>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94"/>
      <c r="Q22" s="681"/>
      <c r="R22" s="1121"/>
      <c r="S22" s="1122"/>
      <c r="T22" s="1121"/>
      <c r="U22" s="1122"/>
      <c r="V22" s="1121"/>
      <c r="W22" s="1122"/>
      <c r="X22" s="1115"/>
      <c r="Y22" s="3449"/>
      <c r="Z22" s="1105"/>
      <c r="AA22" s="1132">
        <v>1</v>
      </c>
      <c r="AB22" s="1132">
        <v>1</v>
      </c>
      <c r="AC22" s="1132">
        <v>1</v>
      </c>
    </row>
    <row r="23" spans="1:29" ht="15">
      <c r="A23" s="946"/>
      <c r="B23" s="1256" t="s">
        <v>1501</v>
      </c>
      <c r="C23" s="679">
        <f>估价对象房地状况!C9</f>
        <v>0</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94"/>
      <c r="Q23" s="681" t="str">
        <f>B23</f>
        <v>自然及人文环境</v>
      </c>
      <c r="R23" s="1121" t="s">
        <v>1029</v>
      </c>
      <c r="S23" s="1122">
        <f>F23</f>
        <v>100</v>
      </c>
      <c r="T23" s="1121" t="s">
        <v>1029</v>
      </c>
      <c r="U23" s="1122">
        <f>H23</f>
        <v>100</v>
      </c>
      <c r="V23" s="1121" t="s">
        <v>1029</v>
      </c>
      <c r="W23" s="1122">
        <f>J23</f>
        <v>100</v>
      </c>
      <c r="X23" s="1115"/>
      <c r="Y23" s="3449"/>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94"/>
      <c r="Q24" s="681"/>
      <c r="R24" s="1121"/>
      <c r="S24" s="1122"/>
      <c r="T24" s="1121"/>
      <c r="U24" s="1122"/>
      <c r="V24" s="1121"/>
      <c r="W24" s="1122"/>
      <c r="X24" s="1115"/>
      <c r="Y24" s="3449"/>
      <c r="Z24" s="1105"/>
      <c r="AA24" s="1132">
        <v>1</v>
      </c>
      <c r="AB24" s="1132">
        <v>1</v>
      </c>
      <c r="AC24" s="1132">
        <v>1</v>
      </c>
    </row>
    <row r="25" spans="1:29" ht="15">
      <c r="A25" s="946"/>
      <c r="B25" s="943" t="s">
        <v>1530</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94"/>
      <c r="Q25" s="681" t="str">
        <f t="shared" ref="Q25:Q46" si="11">B25</f>
        <v>临街状况</v>
      </c>
      <c r="R25" s="1121" t="s">
        <v>1029</v>
      </c>
      <c r="S25" s="1122">
        <f>F25</f>
        <v>100</v>
      </c>
      <c r="T25" s="1121" t="s">
        <v>1029</v>
      </c>
      <c r="U25" s="1122">
        <f>H25</f>
        <v>100</v>
      </c>
      <c r="V25" s="1121" t="s">
        <v>1029</v>
      </c>
      <c r="W25" s="1122">
        <f>J25</f>
        <v>100</v>
      </c>
      <c r="X25" s="1115"/>
      <c r="Y25" s="3449"/>
      <c r="Z25" s="1105" t="str">
        <f>Q25</f>
        <v>临街状况</v>
      </c>
      <c r="AA25" s="1132">
        <f t="shared" si="3"/>
        <v>1</v>
      </c>
      <c r="AB25" s="1132">
        <f t="shared" si="4"/>
        <v>1</v>
      </c>
      <c r="AC25" s="1132">
        <f t="shared" si="5"/>
        <v>1</v>
      </c>
    </row>
    <row r="26" spans="1:29" ht="15">
      <c r="A26" s="946"/>
      <c r="B26" s="1261" t="s">
        <v>1531</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94"/>
      <c r="Q26" s="681" t="str">
        <f t="shared" si="11"/>
        <v>平面位置/可视性</v>
      </c>
      <c r="R26" s="1121" t="s">
        <v>1029</v>
      </c>
      <c r="S26" s="1122">
        <f>F26</f>
        <v>100</v>
      </c>
      <c r="T26" s="1121" t="s">
        <v>1029</v>
      </c>
      <c r="U26" s="1122">
        <f>H26</f>
        <v>100</v>
      </c>
      <c r="V26" s="1121" t="s">
        <v>1029</v>
      </c>
      <c r="W26" s="1122">
        <f>J26</f>
        <v>100</v>
      </c>
      <c r="X26" s="1115"/>
      <c r="Y26" s="3449"/>
      <c r="Z26" s="1105" t="str">
        <f>Q26</f>
        <v>平面位置/可视性</v>
      </c>
      <c r="AA26" s="1132">
        <f t="shared" si="3"/>
        <v>1</v>
      </c>
      <c r="AB26" s="1132">
        <f t="shared" si="4"/>
        <v>1</v>
      </c>
      <c r="AC26" s="1132">
        <f t="shared" si="5"/>
        <v>1</v>
      </c>
    </row>
    <row r="27" spans="1:29" s="905" customFormat="1" ht="15">
      <c r="A27" s="949"/>
      <c r="B27" s="1256" t="s">
        <v>1532</v>
      </c>
      <c r="C27" s="1429"/>
      <c r="D27" s="1428">
        <v>100</v>
      </c>
      <c r="E27" s="1429"/>
      <c r="F27" s="1445">
        <f>SUMIF(90:90,E27,91:91)-SUMIF(90:90,C27,91:91)+100</f>
        <v>100</v>
      </c>
      <c r="G27" s="1429"/>
      <c r="H27" s="1428">
        <f>SUMIF(90:90,G27,91:91)-SUMIF(90:90,C27,91:91)+100</f>
        <v>100</v>
      </c>
      <c r="I27" s="1429"/>
      <c r="J27" s="1428">
        <f>SUMIF(90:90,I27,91:91)-SUMIF(90:90,C27,91:91)+100</f>
        <v>100</v>
      </c>
      <c r="K27" s="1091"/>
      <c r="L27" s="1075"/>
      <c r="M27" s="1076"/>
      <c r="N27" s="1076"/>
      <c r="O27" s="1076"/>
      <c r="P27" s="3494"/>
      <c r="Q27" s="1120" t="str">
        <f t="shared" si="11"/>
        <v>人流量</v>
      </c>
      <c r="R27" s="1116" t="s">
        <v>1029</v>
      </c>
      <c r="S27" s="1117">
        <f>F27</f>
        <v>100</v>
      </c>
      <c r="T27" s="1116" t="s">
        <v>1029</v>
      </c>
      <c r="U27" s="1117">
        <f>H27</f>
        <v>100</v>
      </c>
      <c r="V27" s="1116" t="s">
        <v>1029</v>
      </c>
      <c r="W27" s="1117">
        <f>J27</f>
        <v>100</v>
      </c>
      <c r="X27" s="1118"/>
      <c r="Y27" s="3449"/>
      <c r="Z27" s="1131" t="str">
        <f>Q27</f>
        <v>人流量</v>
      </c>
      <c r="AA27" s="1132">
        <f t="shared" si="3"/>
        <v>1</v>
      </c>
      <c r="AB27" s="1132">
        <f t="shared" si="4"/>
        <v>1</v>
      </c>
      <c r="AC27" s="1132">
        <f t="shared" si="5"/>
        <v>1</v>
      </c>
    </row>
    <row r="28" spans="1:29" ht="15">
      <c r="A28" s="946"/>
      <c r="B28" s="943" t="s">
        <v>1533</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94"/>
      <c r="Q28" s="681" t="str">
        <f t="shared" si="11"/>
        <v>楼层</v>
      </c>
      <c r="R28" s="1121" t="s">
        <v>1029</v>
      </c>
      <c r="S28" s="1122">
        <f t="shared" ref="S28:S46" si="12">F28</f>
        <v>100</v>
      </c>
      <c r="T28" s="1121" t="s">
        <v>1029</v>
      </c>
      <c r="U28" s="1122">
        <f t="shared" ref="U28:U46" si="13">H28</f>
        <v>100</v>
      </c>
      <c r="V28" s="1121" t="s">
        <v>1029</v>
      </c>
      <c r="W28" s="1122">
        <f t="shared" ref="W28:W46" si="14">J28</f>
        <v>100</v>
      </c>
      <c r="X28" s="1115"/>
      <c r="Y28" s="3449"/>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94"/>
      <c r="Q29" s="681">
        <f t="shared" si="11"/>
        <v>111</v>
      </c>
      <c r="R29" s="1121" t="s">
        <v>1029</v>
      </c>
      <c r="S29" s="1122">
        <f t="shared" si="12"/>
        <v>100</v>
      </c>
      <c r="T29" s="1121" t="s">
        <v>1029</v>
      </c>
      <c r="U29" s="1122">
        <f t="shared" si="13"/>
        <v>100</v>
      </c>
      <c r="V29" s="1121" t="s">
        <v>1029</v>
      </c>
      <c r="W29" s="1122">
        <f t="shared" si="14"/>
        <v>100</v>
      </c>
      <c r="X29" s="1115"/>
      <c r="Y29" s="3449"/>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94"/>
      <c r="Q30" s="681">
        <f t="shared" si="11"/>
        <v>111</v>
      </c>
      <c r="R30" s="1121" t="s">
        <v>1029</v>
      </c>
      <c r="S30" s="1122">
        <f t="shared" si="12"/>
        <v>100</v>
      </c>
      <c r="T30" s="1121" t="s">
        <v>1029</v>
      </c>
      <c r="U30" s="1122">
        <f t="shared" si="13"/>
        <v>100</v>
      </c>
      <c r="V30" s="1121" t="s">
        <v>1029</v>
      </c>
      <c r="W30" s="1122">
        <f t="shared" si="14"/>
        <v>100</v>
      </c>
      <c r="X30" s="1115"/>
      <c r="Y30" s="3449"/>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94"/>
      <c r="Q31" s="681">
        <f t="shared" si="11"/>
        <v>111</v>
      </c>
      <c r="R31" s="1121" t="s">
        <v>1029</v>
      </c>
      <c r="S31" s="1122">
        <f t="shared" si="12"/>
        <v>100</v>
      </c>
      <c r="T31" s="1121" t="s">
        <v>1029</v>
      </c>
      <c r="U31" s="1122">
        <f t="shared" si="13"/>
        <v>100</v>
      </c>
      <c r="V31" s="1121" t="s">
        <v>1029</v>
      </c>
      <c r="W31" s="1122">
        <f t="shared" si="14"/>
        <v>100</v>
      </c>
      <c r="X31" s="1115"/>
      <c r="Y31" s="3449"/>
      <c r="Z31" s="1105">
        <f t="shared" si="15"/>
        <v>111</v>
      </c>
      <c r="AA31" s="1132">
        <f t="shared" si="3"/>
        <v>1</v>
      </c>
      <c r="AB31" s="1132">
        <f t="shared" si="4"/>
        <v>1</v>
      </c>
      <c r="AC31" s="1132">
        <f t="shared" si="5"/>
        <v>1</v>
      </c>
    </row>
    <row r="32" spans="1:29" ht="15">
      <c r="A32" s="960" t="s">
        <v>1048</v>
      </c>
      <c r="B32" s="939" t="s">
        <v>1534</v>
      </c>
      <c r="C32" s="1446"/>
      <c r="D32" s="996">
        <v>100</v>
      </c>
      <c r="E32" s="1446"/>
      <c r="F32" s="1309">
        <f>SUMIF(100:100,E32,101:101)-SUMIF(100:100,C32,101:101)+100</f>
        <v>100</v>
      </c>
      <c r="G32" s="1446"/>
      <c r="H32" s="955">
        <f>SUMIF(100:100,G32,101:101)-SUMIF(100:100,C32,101:101)+100</f>
        <v>100</v>
      </c>
      <c r="I32" s="1446"/>
      <c r="J32" s="996">
        <f>SUMIF(100:100,I32,101:101)-SUMIF(100:100,C32,101:101)+100</f>
        <v>100</v>
      </c>
      <c r="K32" s="1091"/>
      <c r="L32" s="1085"/>
      <c r="M32" s="1073"/>
      <c r="N32" s="1073"/>
      <c r="O32" s="1073"/>
      <c r="P32" s="3495" t="s">
        <v>1051</v>
      </c>
      <c r="Q32" s="681" t="str">
        <f t="shared" si="11"/>
        <v>商业类型</v>
      </c>
      <c r="R32" s="1121" t="s">
        <v>1029</v>
      </c>
      <c r="S32" s="1122">
        <f t="shared" si="12"/>
        <v>100</v>
      </c>
      <c r="T32" s="1121" t="s">
        <v>1029</v>
      </c>
      <c r="U32" s="1122">
        <f t="shared" si="13"/>
        <v>100</v>
      </c>
      <c r="V32" s="1121" t="s">
        <v>1029</v>
      </c>
      <c r="W32" s="1122">
        <f t="shared" si="14"/>
        <v>100</v>
      </c>
      <c r="X32" s="1115"/>
      <c r="Y32" s="3451" t="s">
        <v>1051</v>
      </c>
      <c r="Z32" s="1105" t="str">
        <f t="shared" si="15"/>
        <v>商业类型</v>
      </c>
      <c r="AA32" s="1132">
        <f t="shared" si="3"/>
        <v>1</v>
      </c>
      <c r="AB32" s="1132">
        <f t="shared" si="4"/>
        <v>1</v>
      </c>
      <c r="AC32" s="1132">
        <f t="shared" si="5"/>
        <v>1</v>
      </c>
    </row>
    <row r="33" spans="1:29" s="907" customFormat="1" ht="15">
      <c r="A33" s="1002"/>
      <c r="B33" s="943" t="s">
        <v>1052</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96"/>
      <c r="Q33" s="1348" t="str">
        <f t="shared" si="11"/>
        <v>项目建筑规模</v>
      </c>
      <c r="R33" s="1123" t="s">
        <v>1029</v>
      </c>
      <c r="S33" s="1124" t="e">
        <f t="shared" si="12"/>
        <v>#N/A</v>
      </c>
      <c r="T33" s="1123" t="s">
        <v>1029</v>
      </c>
      <c r="U33" s="1124" t="e">
        <f t="shared" si="13"/>
        <v>#N/A</v>
      </c>
      <c r="V33" s="1123" t="s">
        <v>1029</v>
      </c>
      <c r="W33" s="1124" t="e">
        <f t="shared" si="14"/>
        <v>#N/A</v>
      </c>
      <c r="X33" s="1125"/>
      <c r="Y33" s="3451"/>
      <c r="Z33" s="1133" t="str">
        <f t="shared" si="15"/>
        <v>项目建筑规模</v>
      </c>
      <c r="AA33" s="1132" t="e">
        <f t="shared" si="3"/>
        <v>#N/A</v>
      </c>
      <c r="AB33" s="1132" t="e">
        <f t="shared" si="4"/>
        <v>#N/A</v>
      </c>
      <c r="AC33" s="1132" t="e">
        <f t="shared" si="5"/>
        <v>#N/A</v>
      </c>
    </row>
    <row r="34" spans="1:29" ht="15">
      <c r="A34" s="997"/>
      <c r="B34" s="943" t="s">
        <v>1053</v>
      </c>
      <c r="C34" s="1447"/>
      <c r="D34" s="955">
        <v>100</v>
      </c>
      <c r="E34" s="1447"/>
      <c r="F34" s="1309">
        <f>SUMIF(105:105,E34,106:106)-SUMIF(105:105,C34,106:106)+100</f>
        <v>100</v>
      </c>
      <c r="G34" s="1447"/>
      <c r="H34" s="955">
        <f>SUMIF(105:105,G34,106:106)-SUMIF(105:105,C34,106:106)+100</f>
        <v>100</v>
      </c>
      <c r="I34" s="1447"/>
      <c r="J34" s="955">
        <f>SUMIF(105:105,I34,106:106)-SUMIF(105:105,C34,106:106)+100</f>
        <v>100</v>
      </c>
      <c r="K34" s="1091"/>
      <c r="L34" s="1085"/>
      <c r="M34" s="1073"/>
      <c r="N34" s="1073"/>
      <c r="O34" s="1073"/>
      <c r="P34" s="3496"/>
      <c r="Q34" s="681" t="str">
        <f t="shared" si="11"/>
        <v>建筑结构</v>
      </c>
      <c r="R34" s="1121" t="s">
        <v>1029</v>
      </c>
      <c r="S34" s="1122">
        <f t="shared" si="12"/>
        <v>100</v>
      </c>
      <c r="T34" s="1121" t="s">
        <v>1029</v>
      </c>
      <c r="U34" s="1122">
        <f t="shared" si="13"/>
        <v>100</v>
      </c>
      <c r="V34" s="1121" t="s">
        <v>1029</v>
      </c>
      <c r="W34" s="1122">
        <f t="shared" si="14"/>
        <v>100</v>
      </c>
      <c r="X34" s="1115"/>
      <c r="Y34" s="3451"/>
      <c r="Z34" s="1105" t="str">
        <f t="shared" si="15"/>
        <v>建筑结构</v>
      </c>
      <c r="AA34" s="1132">
        <f t="shared" si="3"/>
        <v>1</v>
      </c>
      <c r="AB34" s="1132">
        <f t="shared" si="4"/>
        <v>1</v>
      </c>
      <c r="AC34" s="1132">
        <f t="shared" si="5"/>
        <v>1</v>
      </c>
    </row>
    <row r="35" spans="1:29" ht="15">
      <c r="A35" s="997"/>
      <c r="B35" s="943" t="s">
        <v>1055</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96"/>
      <c r="Q35" s="681" t="str">
        <f t="shared" si="11"/>
        <v>公共部分装修</v>
      </c>
      <c r="R35" s="1121" t="s">
        <v>1029</v>
      </c>
      <c r="S35" s="1122">
        <f t="shared" si="12"/>
        <v>100</v>
      </c>
      <c r="T35" s="1121" t="s">
        <v>1029</v>
      </c>
      <c r="U35" s="1122">
        <f t="shared" si="13"/>
        <v>100</v>
      </c>
      <c r="V35" s="1121" t="s">
        <v>1029</v>
      </c>
      <c r="W35" s="1122">
        <f t="shared" si="14"/>
        <v>100</v>
      </c>
      <c r="X35" s="1115"/>
      <c r="Y35" s="3451"/>
      <c r="Z35" s="1105" t="str">
        <f t="shared" si="15"/>
        <v>公共部分装修</v>
      </c>
      <c r="AA35" s="1132">
        <f t="shared" si="3"/>
        <v>1</v>
      </c>
      <c r="AB35" s="1132">
        <f t="shared" si="4"/>
        <v>1</v>
      </c>
      <c r="AC35" s="1132">
        <f t="shared" si="5"/>
        <v>1</v>
      </c>
    </row>
    <row r="36" spans="1:29" ht="15">
      <c r="A36" s="997"/>
      <c r="B36" s="943" t="s">
        <v>568</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96"/>
      <c r="Q36" s="681" t="str">
        <f t="shared" si="11"/>
        <v>成新度</v>
      </c>
      <c r="R36" s="1121" t="s">
        <v>1029</v>
      </c>
      <c r="S36" s="1122" t="e">
        <f t="shared" si="12"/>
        <v>#N/A</v>
      </c>
      <c r="T36" s="1121" t="s">
        <v>1029</v>
      </c>
      <c r="U36" s="1122" t="e">
        <f t="shared" si="13"/>
        <v>#N/A</v>
      </c>
      <c r="V36" s="1121" t="s">
        <v>1029</v>
      </c>
      <c r="W36" s="1122" t="e">
        <f t="shared" si="14"/>
        <v>#N/A</v>
      </c>
      <c r="X36" s="1115"/>
      <c r="Y36" s="3451"/>
      <c r="Z36" s="1105" t="str">
        <f t="shared" si="15"/>
        <v>成新度</v>
      </c>
      <c r="AA36" s="1132" t="e">
        <f t="shared" si="3"/>
        <v>#N/A</v>
      </c>
      <c r="AB36" s="1132" t="e">
        <f t="shared" si="4"/>
        <v>#N/A</v>
      </c>
      <c r="AC36" s="1132" t="e">
        <f t="shared" si="5"/>
        <v>#N/A</v>
      </c>
    </row>
    <row r="37" spans="1:29" s="905" customFormat="1" ht="15">
      <c r="A37" s="999"/>
      <c r="B37" s="943" t="s">
        <v>1059</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96"/>
      <c r="Q37" s="1120" t="str">
        <f t="shared" si="11"/>
        <v>市政基础设施</v>
      </c>
      <c r="R37" s="1116" t="s">
        <v>1029</v>
      </c>
      <c r="S37" s="1117">
        <f t="shared" si="12"/>
        <v>100</v>
      </c>
      <c r="T37" s="1116" t="s">
        <v>1029</v>
      </c>
      <c r="U37" s="1117">
        <f t="shared" si="13"/>
        <v>100</v>
      </c>
      <c r="V37" s="1116" t="s">
        <v>1029</v>
      </c>
      <c r="W37" s="1117">
        <f t="shared" si="14"/>
        <v>100</v>
      </c>
      <c r="X37" s="1118"/>
      <c r="Y37" s="3451"/>
      <c r="Z37" s="1131" t="str">
        <f t="shared" si="15"/>
        <v>市政基础设施</v>
      </c>
      <c r="AA37" s="1130">
        <f t="shared" si="3"/>
        <v>1</v>
      </c>
      <c r="AB37" s="1130">
        <f t="shared" si="4"/>
        <v>1</v>
      </c>
      <c r="AC37" s="1130">
        <f t="shared" si="5"/>
        <v>1</v>
      </c>
    </row>
    <row r="38" spans="1:29" ht="15">
      <c r="A38" s="997"/>
      <c r="B38" s="943" t="s">
        <v>1535</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96" t="s">
        <v>1051</v>
      </c>
      <c r="Q38" s="681" t="str">
        <f t="shared" si="11"/>
        <v>业态</v>
      </c>
      <c r="R38" s="1121" t="s">
        <v>1029</v>
      </c>
      <c r="S38" s="1122">
        <f t="shared" si="12"/>
        <v>100</v>
      </c>
      <c r="T38" s="1121" t="s">
        <v>1029</v>
      </c>
      <c r="U38" s="1122">
        <f t="shared" si="13"/>
        <v>100</v>
      </c>
      <c r="V38" s="1121" t="s">
        <v>1029</v>
      </c>
      <c r="W38" s="1122">
        <f t="shared" si="14"/>
        <v>100</v>
      </c>
      <c r="X38" s="1115"/>
      <c r="Y38" s="3451" t="s">
        <v>1051</v>
      </c>
      <c r="Z38" s="1105" t="str">
        <f t="shared" si="15"/>
        <v>业态</v>
      </c>
      <c r="AA38" s="1132">
        <f t="shared" si="3"/>
        <v>1</v>
      </c>
      <c r="AB38" s="1132">
        <f t="shared" si="4"/>
        <v>1</v>
      </c>
      <c r="AC38" s="1132">
        <f t="shared" si="5"/>
        <v>1</v>
      </c>
    </row>
    <row r="39" spans="1:29" ht="15">
      <c r="A39" s="997"/>
      <c r="B39" s="943" t="s">
        <v>1536</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96"/>
      <c r="Q39" s="681" t="str">
        <f t="shared" si="11"/>
        <v>层高</v>
      </c>
      <c r="R39" s="1121" t="s">
        <v>1029</v>
      </c>
      <c r="S39" s="1122">
        <f t="shared" si="12"/>
        <v>100</v>
      </c>
      <c r="T39" s="1121" t="s">
        <v>1029</v>
      </c>
      <c r="U39" s="1122">
        <f t="shared" si="13"/>
        <v>100</v>
      </c>
      <c r="V39" s="1121" t="s">
        <v>1029</v>
      </c>
      <c r="W39" s="1122">
        <f t="shared" si="14"/>
        <v>100</v>
      </c>
      <c r="X39" s="1115"/>
      <c r="Y39" s="3451"/>
      <c r="Z39" s="1105" t="str">
        <f t="shared" si="15"/>
        <v>层高</v>
      </c>
      <c r="AA39" s="1132">
        <f t="shared" si="3"/>
        <v>1</v>
      </c>
      <c r="AB39" s="1132">
        <f t="shared" si="4"/>
        <v>1</v>
      </c>
      <c r="AC39" s="1132">
        <f t="shared" si="5"/>
        <v>1</v>
      </c>
    </row>
    <row r="40" spans="1:29" ht="15">
      <c r="A40" s="997"/>
      <c r="B40" s="943" t="s">
        <v>1537</v>
      </c>
      <c r="C40" s="1448"/>
      <c r="D40" s="955">
        <v>100</v>
      </c>
      <c r="E40" s="1449"/>
      <c r="F40" s="1309">
        <f>SUMIF(118:118,E40,119:119)-SUMIF(118:118,C40,119:119)+100</f>
        <v>100</v>
      </c>
      <c r="G40" s="1449"/>
      <c r="H40" s="955">
        <f>SUMIF(118:118,G40,119:119)-SUMIF(118:118,C40,119:119)+100</f>
        <v>100</v>
      </c>
      <c r="I40" s="1449"/>
      <c r="J40" s="955">
        <f>SUMIF(118:118,I40,119:119)-SUMIF(118:118,C40,119:119)+100</f>
        <v>100</v>
      </c>
      <c r="K40" s="1090"/>
      <c r="L40" s="1085"/>
      <c r="M40" s="1073"/>
      <c r="N40" s="1073"/>
      <c r="O40" s="1073"/>
      <c r="P40" s="3496"/>
      <c r="Q40" s="681" t="str">
        <f t="shared" si="11"/>
        <v>单套建筑面积</v>
      </c>
      <c r="R40" s="1121" t="s">
        <v>1029</v>
      </c>
      <c r="S40" s="1122">
        <f t="shared" si="12"/>
        <v>100</v>
      </c>
      <c r="T40" s="1121" t="s">
        <v>1029</v>
      </c>
      <c r="U40" s="1122">
        <f t="shared" si="13"/>
        <v>100</v>
      </c>
      <c r="V40" s="1121" t="s">
        <v>1029</v>
      </c>
      <c r="W40" s="1122">
        <f t="shared" si="14"/>
        <v>100</v>
      </c>
      <c r="X40" s="1115"/>
      <c r="Y40" s="3451"/>
      <c r="Z40" s="1105" t="str">
        <f t="shared" si="15"/>
        <v>单套建筑面积</v>
      </c>
      <c r="AA40" s="1132">
        <f t="shared" si="3"/>
        <v>1</v>
      </c>
      <c r="AB40" s="1132">
        <f t="shared" si="4"/>
        <v>1</v>
      </c>
      <c r="AC40" s="1132">
        <f t="shared" si="5"/>
        <v>1</v>
      </c>
    </row>
    <row r="41" spans="1:29" s="907" customFormat="1" ht="15">
      <c r="A41" s="1002"/>
      <c r="B41" s="1100" t="s">
        <v>1538</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96"/>
      <c r="Q41" s="1348" t="str">
        <f t="shared" si="11"/>
        <v>进深比</v>
      </c>
      <c r="R41" s="1123" t="s">
        <v>1029</v>
      </c>
      <c r="S41" s="1124">
        <f t="shared" si="12"/>
        <v>100</v>
      </c>
      <c r="T41" s="1123" t="s">
        <v>1029</v>
      </c>
      <c r="U41" s="1124">
        <f t="shared" si="13"/>
        <v>100</v>
      </c>
      <c r="V41" s="1123" t="s">
        <v>1029</v>
      </c>
      <c r="W41" s="1124">
        <f t="shared" si="14"/>
        <v>100</v>
      </c>
      <c r="X41" s="1125"/>
      <c r="Y41" s="3451"/>
      <c r="Z41" s="1133" t="str">
        <f t="shared" si="15"/>
        <v>进深比</v>
      </c>
      <c r="AA41" s="1132">
        <f t="shared" si="3"/>
        <v>1</v>
      </c>
      <c r="AB41" s="1132">
        <f t="shared" si="4"/>
        <v>1</v>
      </c>
      <c r="AC41" s="1132">
        <f t="shared" si="5"/>
        <v>1</v>
      </c>
    </row>
    <row r="42" spans="1:29" ht="15">
      <c r="A42" s="997"/>
      <c r="B42" s="943" t="s">
        <v>1060</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96"/>
      <c r="Q42" s="681" t="str">
        <f t="shared" si="11"/>
        <v>内部装修</v>
      </c>
      <c r="R42" s="1121" t="s">
        <v>1029</v>
      </c>
      <c r="S42" s="1122">
        <f t="shared" si="12"/>
        <v>100</v>
      </c>
      <c r="T42" s="1121" t="s">
        <v>1029</v>
      </c>
      <c r="U42" s="1122">
        <f t="shared" si="13"/>
        <v>100</v>
      </c>
      <c r="V42" s="1121" t="s">
        <v>1029</v>
      </c>
      <c r="W42" s="1122">
        <f t="shared" si="14"/>
        <v>100</v>
      </c>
      <c r="X42" s="1115"/>
      <c r="Y42" s="3451"/>
      <c r="Z42" s="1105" t="str">
        <f t="shared" si="15"/>
        <v>内部装修</v>
      </c>
      <c r="AA42" s="1132">
        <f t="shared" si="3"/>
        <v>1</v>
      </c>
      <c r="AB42" s="1132">
        <f t="shared" si="4"/>
        <v>1</v>
      </c>
      <c r="AC42" s="1132">
        <f t="shared" si="5"/>
        <v>1</v>
      </c>
    </row>
    <row r="43" spans="1:29" ht="15">
      <c r="A43" s="997"/>
      <c r="B43" s="943" t="s">
        <v>1507</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96"/>
      <c r="Q43" s="681" t="str">
        <f t="shared" si="11"/>
        <v>内部装修维护情况</v>
      </c>
      <c r="R43" s="1121" t="s">
        <v>1029</v>
      </c>
      <c r="S43" s="1122">
        <f t="shared" si="12"/>
        <v>100</v>
      </c>
      <c r="T43" s="1121" t="s">
        <v>1029</v>
      </c>
      <c r="U43" s="1122">
        <f t="shared" si="13"/>
        <v>100</v>
      </c>
      <c r="V43" s="1121" t="s">
        <v>1029</v>
      </c>
      <c r="W43" s="1122">
        <f t="shared" si="14"/>
        <v>100</v>
      </c>
      <c r="X43" s="1115"/>
      <c r="Y43" s="3451"/>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96"/>
      <c r="Q44" s="1120">
        <f t="shared" si="11"/>
        <v>111</v>
      </c>
      <c r="R44" s="1116" t="s">
        <v>1029</v>
      </c>
      <c r="S44" s="1117">
        <f t="shared" si="12"/>
        <v>100</v>
      </c>
      <c r="T44" s="1116" t="s">
        <v>1029</v>
      </c>
      <c r="U44" s="1117">
        <f t="shared" si="13"/>
        <v>100</v>
      </c>
      <c r="V44" s="1116" t="s">
        <v>1029</v>
      </c>
      <c r="W44" s="1117">
        <f t="shared" si="14"/>
        <v>100</v>
      </c>
      <c r="X44" s="1118"/>
      <c r="Y44" s="3451"/>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96"/>
      <c r="Q45" s="681">
        <f t="shared" si="11"/>
        <v>111</v>
      </c>
      <c r="R45" s="1121" t="s">
        <v>1029</v>
      </c>
      <c r="S45" s="1122">
        <f t="shared" si="12"/>
        <v>100</v>
      </c>
      <c r="T45" s="1121" t="s">
        <v>1029</v>
      </c>
      <c r="U45" s="1122">
        <f t="shared" si="13"/>
        <v>100</v>
      </c>
      <c r="V45" s="1121" t="s">
        <v>1029</v>
      </c>
      <c r="W45" s="1122">
        <f t="shared" si="14"/>
        <v>100</v>
      </c>
      <c r="X45" s="1115"/>
      <c r="Y45" s="3451"/>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97"/>
      <c r="Q46" s="681">
        <f t="shared" si="11"/>
        <v>111</v>
      </c>
      <c r="R46" s="1121" t="s">
        <v>1029</v>
      </c>
      <c r="S46" s="1122">
        <f t="shared" si="12"/>
        <v>100</v>
      </c>
      <c r="T46" s="1121" t="s">
        <v>1029</v>
      </c>
      <c r="U46" s="1122">
        <f t="shared" si="13"/>
        <v>100</v>
      </c>
      <c r="V46" s="1121" t="s">
        <v>1029</v>
      </c>
      <c r="W46" s="1122">
        <f t="shared" si="14"/>
        <v>100</v>
      </c>
      <c r="X46" s="1115"/>
      <c r="Y46" s="3452"/>
      <c r="Z46" s="1105">
        <f t="shared" si="15"/>
        <v>111</v>
      </c>
      <c r="AA46" s="1132">
        <f t="shared" si="3"/>
        <v>1</v>
      </c>
      <c r="AB46" s="1132">
        <f t="shared" si="4"/>
        <v>1</v>
      </c>
      <c r="AC46" s="1132">
        <f t="shared" si="5"/>
        <v>1</v>
      </c>
    </row>
    <row r="47" spans="1:29" ht="15">
      <c r="A47" s="1004" t="s">
        <v>1064</v>
      </c>
      <c r="B47" s="1323"/>
      <c r="C47" s="1324" t="s">
        <v>124</v>
      </c>
      <c r="D47" s="1325"/>
      <c r="E47" s="1326"/>
      <c r="F47" s="1327"/>
      <c r="G47" s="1328"/>
      <c r="H47" s="1329"/>
      <c r="I47" s="1326"/>
      <c r="J47" s="1329"/>
      <c r="K47" s="1096"/>
      <c r="L47" s="1097"/>
      <c r="M47" s="1021"/>
      <c r="N47" s="1073"/>
      <c r="O47" s="1021"/>
      <c r="P47" s="3441" t="str">
        <f>A47</f>
        <v>成交单价（元/平方米）</v>
      </c>
      <c r="Q47" s="3441"/>
      <c r="R47" s="3440">
        <f>E47</f>
        <v>0</v>
      </c>
      <c r="S47" s="3440"/>
      <c r="T47" s="3440">
        <f>G47</f>
        <v>0</v>
      </c>
      <c r="U47" s="3440"/>
      <c r="V47" s="3440">
        <f>I47</f>
        <v>0</v>
      </c>
      <c r="W47" s="3440"/>
      <c r="X47" s="1061"/>
      <c r="Y47" s="1134"/>
      <c r="Z47" s="1061"/>
      <c r="AA47" s="1061"/>
      <c r="AB47" s="1061"/>
      <c r="AC47" s="1061"/>
    </row>
    <row r="48" spans="1:29" ht="15">
      <c r="A48" s="1012" t="s">
        <v>1065</v>
      </c>
      <c r="B48" s="1330"/>
      <c r="C48" s="1331" t="e">
        <f>R49</f>
        <v>#DIV/0!</v>
      </c>
      <c r="D48" s="1015" t="s">
        <v>1066</v>
      </c>
      <c r="E48" s="1332" t="e">
        <f>R48</f>
        <v>#DIV/0!</v>
      </c>
      <c r="F48" s="1016"/>
      <c r="G48" s="1331" t="e">
        <f>T48</f>
        <v>#DIV/0!</v>
      </c>
      <c r="H48" s="1016"/>
      <c r="I48" s="1332" t="e">
        <f>V48</f>
        <v>#DIV/0!</v>
      </c>
      <c r="J48" s="1016"/>
      <c r="K48" s="1098">
        <f>F48+H48+J48</f>
        <v>0</v>
      </c>
      <c r="L48" s="1097"/>
      <c r="M48" s="1021"/>
      <c r="N48" s="1073"/>
      <c r="O48" s="1021"/>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1061"/>
      <c r="Y48" s="1061"/>
      <c r="Z48" s="1061"/>
      <c r="AA48" s="1061"/>
      <c r="AB48" s="1061"/>
      <c r="AC48" s="1061"/>
    </row>
    <row r="49" spans="1:29" ht="15">
      <c r="A49" s="1018" t="s">
        <v>1067</v>
      </c>
      <c r="B49" s="1019"/>
      <c r="C49" s="1333" t="e">
        <f>R49</f>
        <v>#DIV/0!</v>
      </c>
      <c r="D49" s="1333"/>
      <c r="E49" s="1333"/>
      <c r="F49" s="1333"/>
      <c r="G49" s="1333"/>
      <c r="H49" s="1333"/>
      <c r="I49" s="1333"/>
      <c r="J49" s="1333"/>
      <c r="K49" s="1099"/>
      <c r="L49" s="1097"/>
      <c r="M49" s="1021"/>
      <c r="N49" s="1073"/>
      <c r="O49" s="1021"/>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52"/>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52"/>
      <c r="Q51" s="1021"/>
      <c r="R51" s="1021"/>
      <c r="S51" s="1021"/>
      <c r="T51" s="1021"/>
      <c r="U51" s="1021"/>
      <c r="V51" s="1021"/>
      <c r="W51" s="1021"/>
      <c r="X51" s="1021"/>
      <c r="Y51" s="1021"/>
      <c r="Z51" s="1021"/>
      <c r="AA51" s="1021"/>
      <c r="AB51" s="1021"/>
      <c r="AC51" s="1021"/>
    </row>
    <row r="52" spans="1:29" ht="13.5" customHeight="1">
      <c r="A52" s="1021"/>
      <c r="B52" s="1021"/>
      <c r="C52" s="1023" t="s">
        <v>1068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52"/>
      <c r="Q52" s="1021"/>
      <c r="R52" s="1021"/>
      <c r="S52" s="1021"/>
      <c r="T52" s="1021"/>
      <c r="U52" s="1021"/>
      <c r="V52" s="1021"/>
      <c r="W52" s="1021"/>
      <c r="X52" s="1021"/>
      <c r="Y52" s="1021"/>
      <c r="Z52" s="1021"/>
      <c r="AA52" s="1021"/>
      <c r="AB52" s="1021"/>
      <c r="AC52" s="1021"/>
    </row>
    <row r="53" spans="1:29" ht="13.5" customHeight="1">
      <c r="A53" s="1021"/>
      <c r="B53" s="1021"/>
      <c r="C53" s="1023" t="s">
        <v>1069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52"/>
      <c r="Q53" s="1021"/>
      <c r="R53" s="1021"/>
      <c r="S53" s="1021"/>
      <c r="T53" s="1021"/>
      <c r="U53" s="1021"/>
      <c r="V53" s="1021"/>
      <c r="W53" s="1021"/>
      <c r="X53" s="1021"/>
      <c r="Y53" s="1021"/>
      <c r="Z53" s="1021"/>
      <c r="AA53" s="1021"/>
      <c r="AB53" s="1021"/>
      <c r="AC53" s="1021"/>
    </row>
    <row r="54" spans="1:29" s="908" customFormat="1" ht="13.5" customHeight="1">
      <c r="A54" s="1026"/>
      <c r="B54" s="1026"/>
      <c r="C54" s="1023" t="s">
        <v>1070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53"/>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53"/>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52"/>
      <c r="Q56" s="1021"/>
      <c r="R56" s="1021"/>
      <c r="S56" s="1021"/>
      <c r="T56" s="1021"/>
      <c r="U56" s="1021"/>
      <c r="V56" s="1021"/>
      <c r="W56" s="1021"/>
      <c r="X56" s="1021"/>
      <c r="Y56" s="1021"/>
      <c r="Z56" s="1021"/>
      <c r="AA56" s="1021"/>
      <c r="AB56" s="1021"/>
      <c r="AC56" s="1021"/>
    </row>
    <row r="57" spans="1:29" ht="21">
      <c r="A57" s="1060" t="s">
        <v>1071</v>
      </c>
      <c r="B57" s="1061"/>
      <c r="C57" s="1062"/>
      <c r="D57" s="1062"/>
      <c r="E57" s="1062"/>
      <c r="F57" s="1063"/>
      <c r="G57" s="1063"/>
      <c r="H57" s="1062"/>
      <c r="I57" s="1062"/>
      <c r="J57" s="1062"/>
      <c r="K57" s="1111"/>
      <c r="L57" s="1280"/>
      <c r="M57" s="1113"/>
      <c r="N57" s="1113"/>
      <c r="O57" s="1113"/>
      <c r="P57" s="1454"/>
      <c r="Q57" s="1126"/>
      <c r="R57" s="1021"/>
      <c r="S57" s="1021"/>
      <c r="T57" s="1021"/>
      <c r="U57" s="1021"/>
      <c r="V57" s="1021"/>
      <c r="W57" s="1021"/>
      <c r="X57" s="1021"/>
      <c r="Y57" s="1021"/>
      <c r="Z57" s="1021"/>
      <c r="AA57" s="1021"/>
      <c r="AB57" s="1021"/>
      <c r="AC57" s="1021"/>
    </row>
    <row r="58" spans="1:29" s="910" customFormat="1" ht="15">
      <c r="A58" s="1335" t="s">
        <v>1027</v>
      </c>
      <c r="B58" s="1336"/>
      <c r="C58" s="1337" t="str">
        <f>YEAR(C7)&amp;"-"&amp;MONTH(C7)</f>
        <v>2022-6</v>
      </c>
      <c r="D58" s="1338">
        <f>EDATE(C58,-1)</f>
        <v>44682</v>
      </c>
      <c r="E58" s="1338">
        <f t="shared" ref="E58:O58" si="16">EDATE(D58,-1)</f>
        <v>44652</v>
      </c>
      <c r="F58" s="1338">
        <f t="shared" si="16"/>
        <v>44621</v>
      </c>
      <c r="G58" s="1338">
        <f t="shared" si="16"/>
        <v>44593</v>
      </c>
      <c r="H58" s="1338">
        <f t="shared" si="16"/>
        <v>44562</v>
      </c>
      <c r="I58" s="1338">
        <f t="shared" si="16"/>
        <v>44531</v>
      </c>
      <c r="J58" s="1338">
        <f t="shared" si="16"/>
        <v>44501</v>
      </c>
      <c r="K58" s="1338">
        <f t="shared" si="16"/>
        <v>44470</v>
      </c>
      <c r="L58" s="1338">
        <f t="shared" si="16"/>
        <v>44440</v>
      </c>
      <c r="M58" s="1338">
        <f t="shared" si="16"/>
        <v>44409</v>
      </c>
      <c r="N58" s="1338">
        <f t="shared" si="16"/>
        <v>44378</v>
      </c>
      <c r="O58" s="1338">
        <f t="shared" si="16"/>
        <v>44348</v>
      </c>
      <c r="P58" s="1455"/>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56"/>
      <c r="Q59" s="1246"/>
      <c r="R59" s="1246"/>
      <c r="S59" s="1246"/>
      <c r="T59" s="1246"/>
      <c r="U59" s="1246"/>
      <c r="V59" s="1246"/>
      <c r="W59" s="1246"/>
      <c r="X59" s="1246"/>
      <c r="Y59" s="1246"/>
      <c r="Z59" s="1246"/>
      <c r="AA59" s="1246"/>
      <c r="AB59" s="1246"/>
      <c r="AC59" s="1246"/>
    </row>
    <row r="60" spans="1:29" s="905" customFormat="1" ht="15">
      <c r="A60" s="1141" t="s">
        <v>1072</v>
      </c>
      <c r="B60" s="1142"/>
      <c r="C60" s="1143"/>
      <c r="D60" s="1144"/>
      <c r="E60" s="1144"/>
      <c r="F60" s="1144"/>
      <c r="G60" s="1144"/>
      <c r="H60" s="1144"/>
      <c r="I60" s="1144"/>
      <c r="J60" s="1144"/>
      <c r="K60" s="1144"/>
      <c r="L60" s="1144"/>
      <c r="M60" s="1192"/>
      <c r="N60" s="1144"/>
      <c r="O60" s="1192"/>
      <c r="P60" s="1456"/>
      <c r="Q60" s="1126"/>
      <c r="R60" s="1246"/>
      <c r="S60" s="1246"/>
      <c r="T60" s="1246"/>
      <c r="U60" s="1246"/>
      <c r="V60" s="1246"/>
      <c r="W60" s="1246"/>
      <c r="X60" s="1246"/>
      <c r="Y60" s="1246"/>
      <c r="Z60" s="1246"/>
      <c r="AA60" s="1246"/>
      <c r="AB60" s="1246"/>
      <c r="AC60" s="1246"/>
    </row>
    <row r="61" spans="1:29" s="905" customFormat="1" ht="15">
      <c r="A61" s="1145" t="s">
        <v>1030</v>
      </c>
      <c r="B61" s="1146"/>
      <c r="C61" s="1147" t="s">
        <v>1031</v>
      </c>
      <c r="D61" s="1148"/>
      <c r="E61" s="1148"/>
      <c r="F61" s="1148"/>
      <c r="G61" s="1148"/>
      <c r="H61" s="1148"/>
      <c r="I61" s="1148"/>
      <c r="J61" s="1148"/>
      <c r="K61" s="1148"/>
      <c r="L61" s="1194"/>
      <c r="M61" s="1195"/>
      <c r="N61" s="1196"/>
      <c r="O61" s="1196"/>
      <c r="P61" s="1457"/>
      <c r="Q61" s="1126"/>
      <c r="R61" s="1246"/>
      <c r="S61" s="1246"/>
      <c r="T61" s="1246"/>
      <c r="U61" s="1246"/>
      <c r="V61" s="1246"/>
      <c r="W61" s="1246"/>
      <c r="X61" s="1246"/>
      <c r="Y61" s="1246"/>
      <c r="Z61" s="1246"/>
      <c r="AA61" s="1246"/>
      <c r="AB61" s="1246"/>
      <c r="AC61" s="1246"/>
    </row>
    <row r="62" spans="1:29" s="905" customFormat="1" ht="15">
      <c r="A62" s="1145"/>
      <c r="B62" s="1146"/>
      <c r="C62" s="1431">
        <v>100</v>
      </c>
      <c r="D62" s="1150"/>
      <c r="E62" s="1150"/>
      <c r="F62" s="1150"/>
      <c r="G62" s="1150"/>
      <c r="H62" s="1150"/>
      <c r="I62" s="1150"/>
      <c r="J62" s="1150"/>
      <c r="K62" s="1150"/>
      <c r="L62" s="1150"/>
      <c r="M62" s="1198"/>
      <c r="N62" s="1196"/>
      <c r="O62" s="1196"/>
      <c r="P62" s="1456"/>
      <c r="Q62" s="1126"/>
      <c r="R62" s="1246"/>
      <c r="S62" s="1246"/>
      <c r="T62" s="1246"/>
      <c r="U62" s="1246"/>
      <c r="V62" s="1246"/>
      <c r="W62" s="1246"/>
      <c r="X62" s="1246"/>
      <c r="Y62" s="1246"/>
      <c r="Z62" s="1246"/>
      <c r="AA62" s="1246"/>
      <c r="AB62" s="1246"/>
      <c r="AC62" s="1246"/>
    </row>
    <row r="63" spans="1:29">
      <c r="A63" s="1151" t="s">
        <v>1073</v>
      </c>
      <c r="B63" s="1152" t="s">
        <v>1034</v>
      </c>
      <c r="C63" s="1174">
        <f>C9</f>
        <v>0</v>
      </c>
      <c r="D63" s="1094"/>
      <c r="E63" s="1094"/>
      <c r="F63" s="1094"/>
      <c r="G63" s="1094"/>
      <c r="H63" s="1094"/>
      <c r="I63" s="1094"/>
      <c r="J63" s="1094"/>
      <c r="K63" s="1199"/>
      <c r="L63" s="1200"/>
      <c r="M63" s="1201"/>
      <c r="N63" s="1202"/>
      <c r="O63" s="1202"/>
      <c r="P63" s="1458"/>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58"/>
      <c r="Q64" s="1126"/>
      <c r="R64" s="1021"/>
      <c r="S64" s="1021"/>
      <c r="T64" s="1021"/>
      <c r="U64" s="1021"/>
      <c r="V64" s="1021"/>
      <c r="W64" s="1021"/>
      <c r="X64" s="1021"/>
      <c r="Y64" s="1021"/>
      <c r="Z64" s="1021"/>
      <c r="AA64" s="1021"/>
      <c r="AB64" s="1021"/>
      <c r="AC64" s="1021"/>
    </row>
    <row r="65" spans="1:29" ht="27">
      <c r="A65" s="1153"/>
      <c r="B65" s="1156" t="s">
        <v>1037</v>
      </c>
      <c r="C65" s="1157" t="s">
        <v>1074</v>
      </c>
      <c r="D65" s="1157" t="s">
        <v>1075</v>
      </c>
      <c r="E65" s="1157" t="s">
        <v>1076</v>
      </c>
      <c r="F65" s="1157" t="s">
        <v>1077</v>
      </c>
      <c r="G65" s="1157" t="s">
        <v>1078</v>
      </c>
      <c r="H65" s="1157" t="s">
        <v>1079</v>
      </c>
      <c r="I65" s="1157" t="s">
        <v>1080</v>
      </c>
      <c r="J65" s="1157"/>
      <c r="K65" s="1206"/>
      <c r="L65" s="1207"/>
      <c r="M65" s="1208"/>
      <c r="N65" s="1202"/>
      <c r="O65" s="1202"/>
      <c r="P65" s="1458"/>
      <c r="Q65" s="1126"/>
      <c r="R65" s="1021"/>
      <c r="S65" s="1021"/>
      <c r="T65" s="1021"/>
      <c r="U65" s="1021"/>
      <c r="V65" s="1021"/>
      <c r="W65" s="1021"/>
      <c r="X65" s="1021"/>
      <c r="Y65" s="1021"/>
      <c r="Z65" s="1021"/>
      <c r="AA65" s="1021"/>
      <c r="AB65" s="1021"/>
      <c r="AC65" s="1021"/>
    </row>
    <row r="66" spans="1:29" ht="15">
      <c r="A66" s="1153"/>
      <c r="B66" s="1158"/>
      <c r="C66" s="1159" t="s">
        <v>1081</v>
      </c>
      <c r="D66" s="1159" t="s">
        <v>1081</v>
      </c>
      <c r="E66" s="1159" t="s">
        <v>1081</v>
      </c>
      <c r="F66" s="1159">
        <v>100</v>
      </c>
      <c r="G66" s="1159">
        <f>F66-$K10</f>
        <v>100</v>
      </c>
      <c r="H66" s="1159">
        <f>G66-$K10</f>
        <v>100</v>
      </c>
      <c r="I66" s="1159">
        <f>H66-$K10</f>
        <v>100</v>
      </c>
      <c r="J66" s="1159"/>
      <c r="K66" s="1159"/>
      <c r="L66" s="1159"/>
      <c r="M66" s="1209"/>
      <c r="N66" s="1205"/>
      <c r="O66" s="1205"/>
      <c r="P66" s="1458"/>
      <c r="Q66" s="1126"/>
      <c r="R66" s="1021"/>
      <c r="S66" s="1021"/>
      <c r="T66" s="1021"/>
      <c r="U66" s="1021"/>
      <c r="V66" s="1021"/>
      <c r="W66" s="1021"/>
      <c r="X66" s="1021"/>
      <c r="Y66" s="1021"/>
      <c r="Z66" s="1021"/>
      <c r="AA66" s="1021"/>
      <c r="AB66" s="1021"/>
      <c r="AC66" s="1021"/>
    </row>
    <row r="67" spans="1:29" ht="15">
      <c r="A67" s="1153"/>
      <c r="B67" s="1160" t="s">
        <v>1038</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58"/>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58"/>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58"/>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64"/>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64"/>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65"/>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64"/>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66"/>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64"/>
      <c r="Q75" s="1247"/>
      <c r="R75" s="1248"/>
      <c r="S75" s="1248"/>
      <c r="T75" s="1248"/>
      <c r="U75" s="1248"/>
      <c r="V75" s="1248"/>
      <c r="W75" s="1248"/>
      <c r="X75" s="1248"/>
      <c r="Y75" s="1248"/>
      <c r="Z75" s="1248"/>
      <c r="AA75" s="1248"/>
      <c r="AB75" s="1248"/>
      <c r="AC75" s="1248"/>
    </row>
    <row r="76" spans="1:29">
      <c r="A76" s="1151" t="s">
        <v>1039</v>
      </c>
      <c r="B76" s="1152" t="s">
        <v>1500</v>
      </c>
      <c r="C76" s="1173" t="s">
        <v>1082</v>
      </c>
      <c r="D76" s="1173" t="s">
        <v>1083</v>
      </c>
      <c r="E76" s="1173" t="s">
        <v>1084</v>
      </c>
      <c r="F76" s="1173" t="s">
        <v>1085</v>
      </c>
      <c r="G76" s="1173" t="s">
        <v>1086</v>
      </c>
      <c r="H76" s="1174"/>
      <c r="I76" s="1174"/>
      <c r="J76" s="1174"/>
      <c r="K76" s="1222"/>
      <c r="L76" s="1223"/>
      <c r="M76" s="1224"/>
      <c r="N76" s="1202"/>
      <c r="O76" s="1202"/>
      <c r="P76" s="1467"/>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58"/>
      <c r="Q77" s="1126"/>
      <c r="R77" s="1021"/>
      <c r="S77" s="1021"/>
      <c r="T77" s="1021"/>
      <c r="U77" s="1021"/>
      <c r="V77" s="1021"/>
      <c r="W77" s="1021"/>
      <c r="X77" s="1021"/>
      <c r="Y77" s="1021"/>
      <c r="Z77" s="1021"/>
      <c r="AA77" s="1021"/>
      <c r="AB77" s="1021"/>
      <c r="AC77" s="1021"/>
    </row>
    <row r="78" spans="1:29" ht="15">
      <c r="A78" s="1153"/>
      <c r="B78" s="1156" t="s">
        <v>1042</v>
      </c>
      <c r="C78" s="1175" t="s">
        <v>1082</v>
      </c>
      <c r="D78" s="1175" t="s">
        <v>1083</v>
      </c>
      <c r="E78" s="1175" t="s">
        <v>1084</v>
      </c>
      <c r="F78" s="1175" t="s">
        <v>1085</v>
      </c>
      <c r="G78" s="1175" t="s">
        <v>1086</v>
      </c>
      <c r="H78" s="1157"/>
      <c r="I78" s="1157"/>
      <c r="J78" s="1157"/>
      <c r="K78" s="1206"/>
      <c r="L78" s="1207"/>
      <c r="M78" s="1208"/>
      <c r="N78" s="1202"/>
      <c r="O78" s="1202"/>
      <c r="P78" s="1458"/>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58"/>
      <c r="Q79" s="1126"/>
      <c r="R79" s="1021"/>
      <c r="S79" s="1021"/>
      <c r="T79" s="1021"/>
      <c r="U79" s="1021"/>
      <c r="V79" s="1021"/>
      <c r="W79" s="1021"/>
      <c r="X79" s="1021"/>
      <c r="Y79" s="1021"/>
      <c r="Z79" s="1021"/>
      <c r="AA79" s="1021"/>
      <c r="AB79" s="1021"/>
      <c r="AC79" s="1021"/>
    </row>
    <row r="80" spans="1:29" ht="15">
      <c r="A80" s="1153"/>
      <c r="B80" s="1156" t="s">
        <v>1043</v>
      </c>
      <c r="C80" s="1175" t="s">
        <v>1082</v>
      </c>
      <c r="D80" s="1175" t="s">
        <v>1083</v>
      </c>
      <c r="E80" s="1175" t="s">
        <v>1084</v>
      </c>
      <c r="F80" s="1175" t="s">
        <v>1085</v>
      </c>
      <c r="G80" s="1175" t="s">
        <v>1086</v>
      </c>
      <c r="H80" s="1157"/>
      <c r="I80" s="1157"/>
      <c r="J80" s="1157"/>
      <c r="K80" s="1206"/>
      <c r="L80" s="1207"/>
      <c r="M80" s="1208"/>
      <c r="N80" s="1202"/>
      <c r="O80" s="1202"/>
      <c r="P80" s="1458"/>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58"/>
      <c r="Q81" s="1126"/>
      <c r="R81" s="1021"/>
      <c r="S81" s="1021"/>
      <c r="T81" s="1021"/>
      <c r="U81" s="1021"/>
      <c r="V81" s="1021"/>
      <c r="W81" s="1021"/>
      <c r="X81" s="1021"/>
      <c r="Y81" s="1021"/>
      <c r="Z81" s="1021"/>
      <c r="AA81" s="1021"/>
      <c r="AB81" s="1021"/>
      <c r="AC81" s="1021"/>
    </row>
    <row r="82" spans="1:29" ht="15">
      <c r="A82" s="1153"/>
      <c r="B82" s="1160" t="s">
        <v>1044</v>
      </c>
      <c r="C82" s="1180" t="s">
        <v>1087</v>
      </c>
      <c r="D82" s="1180" t="s">
        <v>1088</v>
      </c>
      <c r="E82" s="1180" t="s">
        <v>1089</v>
      </c>
      <c r="F82" s="1180" t="s">
        <v>1090</v>
      </c>
      <c r="G82" s="1180" t="s">
        <v>1091</v>
      </c>
      <c r="H82" s="1157"/>
      <c r="I82" s="1157"/>
      <c r="J82" s="1157"/>
      <c r="K82" s="1157"/>
      <c r="L82" s="1157"/>
      <c r="M82" s="1352"/>
      <c r="N82" s="1205"/>
      <c r="O82" s="1205"/>
      <c r="P82" s="1458"/>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58"/>
      <c r="Q83" s="1126"/>
      <c r="R83" s="1021"/>
      <c r="S83" s="1021"/>
      <c r="T83" s="1021"/>
      <c r="U83" s="1021"/>
      <c r="V83" s="1021"/>
      <c r="W83" s="1021"/>
      <c r="X83" s="1021"/>
      <c r="Y83" s="1021"/>
      <c r="Z83" s="1021"/>
      <c r="AA83" s="1021"/>
      <c r="AB83" s="1021"/>
      <c r="AC83" s="1021"/>
    </row>
    <row r="84" spans="1:29" ht="15">
      <c r="A84" s="1153"/>
      <c r="B84" s="1156" t="s">
        <v>1501</v>
      </c>
      <c r="C84" s="1175" t="s">
        <v>1082</v>
      </c>
      <c r="D84" s="1175" t="s">
        <v>1083</v>
      </c>
      <c r="E84" s="1175" t="s">
        <v>1084</v>
      </c>
      <c r="F84" s="1175" t="s">
        <v>1085</v>
      </c>
      <c r="G84" s="1175" t="s">
        <v>1086</v>
      </c>
      <c r="H84" s="1157"/>
      <c r="I84" s="1157"/>
      <c r="J84" s="1157"/>
      <c r="K84" s="1206"/>
      <c r="L84" s="1207"/>
      <c r="M84" s="1208"/>
      <c r="N84" s="1202"/>
      <c r="O84" s="1202"/>
      <c r="P84" s="1458"/>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58"/>
      <c r="Q85" s="1126"/>
      <c r="R85" s="1021"/>
      <c r="S85" s="1021"/>
      <c r="T85" s="1021"/>
      <c r="U85" s="1021"/>
      <c r="V85" s="1021"/>
      <c r="W85" s="1021"/>
      <c r="X85" s="1021"/>
      <c r="Y85" s="1021"/>
      <c r="Z85" s="1021"/>
      <c r="AA85" s="1021"/>
      <c r="AB85" s="1021"/>
      <c r="AC85" s="1021"/>
    </row>
    <row r="86" spans="1:29" s="905" customFormat="1" ht="15">
      <c r="A86" s="1176"/>
      <c r="B86" s="1156" t="s">
        <v>1530</v>
      </c>
      <c r="C86" s="1164"/>
      <c r="D86" s="1164"/>
      <c r="E86" s="1164"/>
      <c r="F86" s="1164"/>
      <c r="G86" s="1164"/>
      <c r="H86" s="1164"/>
      <c r="I86" s="1164"/>
      <c r="J86" s="1164"/>
      <c r="K86" s="1164"/>
      <c r="L86" s="1353"/>
      <c r="M86" s="1354"/>
      <c r="N86" s="1196"/>
      <c r="O86" s="1196"/>
      <c r="P86" s="1458"/>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58"/>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37"/>
      <c r="G88" s="1164"/>
      <c r="H88" s="1164"/>
      <c r="I88" s="1164"/>
      <c r="J88" s="1164"/>
      <c r="K88" s="1164"/>
      <c r="L88" s="1164"/>
      <c r="M88" s="1354"/>
      <c r="N88" s="1196"/>
      <c r="O88" s="1196"/>
      <c r="P88" s="1458"/>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58"/>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64"/>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64"/>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58"/>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58"/>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58"/>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58"/>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58"/>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58"/>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58"/>
      <c r="Q98" s="1126"/>
      <c r="R98" s="1021"/>
      <c r="S98" s="1021"/>
      <c r="T98" s="1021"/>
      <c r="U98" s="1021"/>
      <c r="V98" s="1021"/>
      <c r="W98" s="1021"/>
      <c r="X98" s="1021"/>
      <c r="Y98" s="1021"/>
      <c r="Z98" s="1021"/>
      <c r="AA98" s="1021"/>
      <c r="AB98" s="1021"/>
      <c r="AC98" s="1021"/>
    </row>
    <row r="99" spans="1:29" ht="15">
      <c r="A99" s="1438"/>
      <c r="B99" s="1170"/>
      <c r="C99" s="1171"/>
      <c r="D99" s="1171"/>
      <c r="E99" s="1171"/>
      <c r="F99" s="1171"/>
      <c r="G99" s="1183"/>
      <c r="H99" s="1183"/>
      <c r="I99" s="1183"/>
      <c r="J99" s="1183"/>
      <c r="K99" s="1183"/>
      <c r="L99" s="1183"/>
      <c r="M99" s="1238"/>
      <c r="N99" s="1205"/>
      <c r="O99" s="1205"/>
      <c r="P99" s="1458"/>
      <c r="Q99" s="1126"/>
      <c r="R99" s="1021"/>
      <c r="S99" s="1021"/>
      <c r="T99" s="1021"/>
      <c r="U99" s="1021"/>
      <c r="V99" s="1021"/>
      <c r="W99" s="1021"/>
      <c r="X99" s="1021"/>
      <c r="Y99" s="1021"/>
      <c r="Z99" s="1021"/>
      <c r="AA99" s="1021"/>
      <c r="AB99" s="1021"/>
      <c r="AC99" s="1021"/>
    </row>
    <row r="100" spans="1:29">
      <c r="A100" s="1151" t="s">
        <v>1048</v>
      </c>
      <c r="B100" s="1152" t="s">
        <v>1534</v>
      </c>
      <c r="C100" s="1094"/>
      <c r="D100" s="1094"/>
      <c r="E100" s="1094"/>
      <c r="F100" s="1094"/>
      <c r="G100" s="1094"/>
      <c r="H100" s="1094"/>
      <c r="I100" s="1094"/>
      <c r="J100" s="1094"/>
      <c r="K100" s="1199"/>
      <c r="L100" s="1200"/>
      <c r="M100" s="1201"/>
      <c r="N100" s="1202"/>
      <c r="O100" s="1202"/>
      <c r="P100" s="1458"/>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58"/>
      <c r="Q101" s="1126"/>
      <c r="R101" s="1021"/>
      <c r="S101" s="1021"/>
      <c r="T101" s="1021"/>
      <c r="U101" s="1021"/>
      <c r="V101" s="1021"/>
      <c r="W101" s="1021"/>
      <c r="X101" s="1021"/>
      <c r="Y101" s="1021"/>
      <c r="Z101" s="1021"/>
      <c r="AA101" s="1021"/>
      <c r="AB101" s="1021"/>
      <c r="AC101" s="1021"/>
    </row>
    <row r="102" spans="1:29" ht="15">
      <c r="A102" s="1153"/>
      <c r="B102" s="1156" t="s">
        <v>1052</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58"/>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64"/>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64"/>
      <c r="Q104" s="1247"/>
      <c r="R104" s="1248"/>
      <c r="S104" s="1248"/>
      <c r="T104" s="1248"/>
      <c r="U104" s="1248"/>
      <c r="V104" s="1248"/>
      <c r="W104" s="1248"/>
      <c r="X104" s="1248"/>
      <c r="Y104" s="1248"/>
      <c r="Z104" s="1248"/>
      <c r="AA104" s="1248"/>
      <c r="AB104" s="1248"/>
      <c r="AC104" s="1248"/>
    </row>
    <row r="105" spans="1:29">
      <c r="A105" s="1187"/>
      <c r="B105" s="1156" t="s">
        <v>1053</v>
      </c>
      <c r="C105" s="1164"/>
      <c r="D105" s="1164"/>
      <c r="E105" s="1181"/>
      <c r="F105" s="1181"/>
      <c r="G105" s="1181"/>
      <c r="H105" s="1181"/>
      <c r="I105" s="1181"/>
      <c r="J105" s="1181"/>
      <c r="K105" s="1232"/>
      <c r="L105" s="1233"/>
      <c r="M105" s="1234"/>
      <c r="N105" s="1202"/>
      <c r="O105" s="1202"/>
      <c r="P105" s="1458"/>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58"/>
      <c r="Q106" s="1126"/>
      <c r="R106" s="1021"/>
      <c r="S106" s="1021"/>
      <c r="T106" s="1021"/>
      <c r="U106" s="1021"/>
      <c r="V106" s="1021"/>
      <c r="W106" s="1021"/>
      <c r="X106" s="1021"/>
      <c r="Y106" s="1021"/>
      <c r="Z106" s="1021"/>
      <c r="AA106" s="1021"/>
      <c r="AB106" s="1021"/>
      <c r="AC106" s="1021"/>
    </row>
    <row r="107" spans="1:29">
      <c r="A107" s="1187"/>
      <c r="B107" s="1156" t="s">
        <v>1055</v>
      </c>
      <c r="C107" s="1164"/>
      <c r="D107" s="1164"/>
      <c r="E107" s="1164"/>
      <c r="F107" s="1181"/>
      <c r="G107" s="1181"/>
      <c r="H107" s="1181"/>
      <c r="I107" s="1181"/>
      <c r="J107" s="1181"/>
      <c r="K107" s="1232"/>
      <c r="L107" s="1233"/>
      <c r="M107" s="1234"/>
      <c r="N107" s="1202"/>
      <c r="O107" s="1202"/>
      <c r="P107" s="1458"/>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58"/>
      <c r="Q108" s="1126"/>
      <c r="R108" s="1021"/>
      <c r="S108" s="1021"/>
      <c r="T108" s="1021"/>
      <c r="U108" s="1021"/>
      <c r="V108" s="1021"/>
      <c r="W108" s="1021"/>
      <c r="X108" s="1021"/>
      <c r="Y108" s="1021"/>
      <c r="Z108" s="1021"/>
      <c r="AA108" s="1021"/>
      <c r="AB108" s="1021"/>
      <c r="AC108" s="1021"/>
    </row>
    <row r="109" spans="1:29">
      <c r="A109" s="1187"/>
      <c r="B109" s="1156" t="s">
        <v>568</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58"/>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58"/>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58"/>
      <c r="Q111" s="1126"/>
      <c r="R111" s="1021"/>
      <c r="S111" s="1021"/>
      <c r="T111" s="1021"/>
      <c r="U111" s="1021"/>
      <c r="V111" s="1021"/>
      <c r="W111" s="1021"/>
      <c r="X111" s="1021"/>
      <c r="Y111" s="1021"/>
      <c r="Z111" s="1021"/>
      <c r="AA111" s="1021"/>
      <c r="AB111" s="1021"/>
      <c r="AC111" s="1021"/>
    </row>
    <row r="112" spans="1:29" s="907" customFormat="1">
      <c r="A112" s="1184"/>
      <c r="B112" s="1156" t="s">
        <v>1059</v>
      </c>
      <c r="C112" s="1164"/>
      <c r="D112" s="1164"/>
      <c r="E112" s="1164"/>
      <c r="F112" s="1164"/>
      <c r="G112" s="1164"/>
      <c r="H112" s="1181"/>
      <c r="I112" s="1181"/>
      <c r="J112" s="1181"/>
      <c r="K112" s="1232"/>
      <c r="L112" s="1233"/>
      <c r="M112" s="1234"/>
      <c r="N112" s="1215"/>
      <c r="O112" s="1215"/>
      <c r="P112" s="1464"/>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64"/>
      <c r="Q113" s="1247"/>
      <c r="R113" s="1248"/>
      <c r="S113" s="1248"/>
      <c r="T113" s="1248"/>
      <c r="U113" s="1248"/>
      <c r="V113" s="1248"/>
      <c r="W113" s="1248"/>
      <c r="X113" s="1248"/>
      <c r="Y113" s="1248"/>
      <c r="Z113" s="1248"/>
      <c r="AA113" s="1248"/>
      <c r="AB113" s="1248"/>
      <c r="AC113" s="1248"/>
    </row>
    <row r="114" spans="1:29">
      <c r="A114" s="1187"/>
      <c r="B114" s="1156" t="s">
        <v>1535</v>
      </c>
      <c r="C114" s="1164"/>
      <c r="D114" s="1164"/>
      <c r="E114" s="1181"/>
      <c r="F114" s="1181"/>
      <c r="G114" s="1181"/>
      <c r="H114" s="1181"/>
      <c r="I114" s="1181"/>
      <c r="J114" s="1181"/>
      <c r="K114" s="1232"/>
      <c r="L114" s="1233"/>
      <c r="M114" s="1234"/>
      <c r="N114" s="1202"/>
      <c r="O114" s="1202"/>
      <c r="P114" s="1458"/>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58"/>
      <c r="Q115" s="1126"/>
      <c r="R115" s="1021"/>
      <c r="S115" s="1021"/>
      <c r="T115" s="1021"/>
      <c r="U115" s="1021"/>
      <c r="V115" s="1021"/>
      <c r="W115" s="1021"/>
      <c r="X115" s="1021"/>
      <c r="Y115" s="1021"/>
      <c r="Z115" s="1021"/>
      <c r="AA115" s="1021"/>
      <c r="AB115" s="1021"/>
      <c r="AC115" s="1021"/>
    </row>
    <row r="116" spans="1:29">
      <c r="A116" s="1187"/>
      <c r="B116" s="1156" t="s">
        <v>1536</v>
      </c>
      <c r="C116" s="1164"/>
      <c r="D116" s="1164"/>
      <c r="E116" s="1164"/>
      <c r="F116" s="1164"/>
      <c r="G116" s="1164"/>
      <c r="H116" s="1181"/>
      <c r="I116" s="1181"/>
      <c r="J116" s="1181"/>
      <c r="K116" s="1232"/>
      <c r="L116" s="1233"/>
      <c r="M116" s="1234"/>
      <c r="N116" s="1202"/>
      <c r="O116" s="1202"/>
      <c r="P116" s="1458"/>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58"/>
      <c r="Q117" s="1126"/>
      <c r="R117" s="1021"/>
      <c r="S117" s="1021"/>
      <c r="T117" s="1021"/>
      <c r="U117" s="1021"/>
      <c r="V117" s="1021"/>
      <c r="W117" s="1021"/>
      <c r="X117" s="1021"/>
      <c r="Y117" s="1021"/>
      <c r="Z117" s="1021"/>
      <c r="AA117" s="1021"/>
      <c r="AB117" s="1021"/>
      <c r="AC117" s="1021"/>
    </row>
    <row r="118" spans="1:29">
      <c r="A118" s="1187"/>
      <c r="B118" s="1156" t="s">
        <v>1537</v>
      </c>
      <c r="C118" s="1463"/>
      <c r="D118" s="1463"/>
      <c r="E118" s="1463"/>
      <c r="F118" s="1463"/>
      <c r="G118" s="1463"/>
      <c r="H118" s="1165"/>
      <c r="I118" s="1165"/>
      <c r="J118" s="1165"/>
      <c r="K118" s="1165"/>
      <c r="L118" s="1213"/>
      <c r="M118" s="1214"/>
      <c r="N118" s="1202"/>
      <c r="O118" s="1202"/>
      <c r="P118" s="1458"/>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58"/>
      <c r="Q119" s="1126"/>
      <c r="R119" s="1021"/>
      <c r="S119" s="1021"/>
      <c r="T119" s="1021"/>
      <c r="U119" s="1021"/>
      <c r="V119" s="1021"/>
      <c r="W119" s="1021"/>
      <c r="X119" s="1021"/>
      <c r="Y119" s="1021"/>
      <c r="Z119" s="1021"/>
      <c r="AA119" s="1021"/>
      <c r="AB119" s="1021"/>
      <c r="AC119" s="1021"/>
    </row>
    <row r="120" spans="1:29" s="907" customFormat="1">
      <c r="A120" s="1184"/>
      <c r="B120" s="1156" t="s">
        <v>1539</v>
      </c>
      <c r="C120" s="1181"/>
      <c r="D120" s="1181"/>
      <c r="E120" s="1181"/>
      <c r="F120" s="1181"/>
      <c r="G120" s="1165"/>
      <c r="H120" s="1165"/>
      <c r="I120" s="1165"/>
      <c r="J120" s="1165"/>
      <c r="K120" s="1165"/>
      <c r="L120" s="1213"/>
      <c r="M120" s="1214"/>
      <c r="N120" s="1215"/>
      <c r="O120" s="1215"/>
      <c r="P120" s="1464"/>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64"/>
      <c r="Q121" s="1247"/>
      <c r="R121" s="1248"/>
      <c r="S121" s="1248"/>
      <c r="T121" s="1248"/>
      <c r="U121" s="1248"/>
      <c r="V121" s="1248"/>
      <c r="W121" s="1248"/>
      <c r="X121" s="1248"/>
      <c r="Y121" s="1248"/>
      <c r="Z121" s="1248"/>
      <c r="AA121" s="1248"/>
      <c r="AB121" s="1248"/>
      <c r="AC121" s="1248"/>
    </row>
    <row r="122" spans="1:29">
      <c r="A122" s="1187"/>
      <c r="B122" s="1156" t="s">
        <v>1060</v>
      </c>
      <c r="C122" s="1164"/>
      <c r="D122" s="1164"/>
      <c r="E122" s="1164"/>
      <c r="F122" s="1181"/>
      <c r="G122" s="1181"/>
      <c r="H122" s="1181"/>
      <c r="I122" s="1181"/>
      <c r="J122" s="1181"/>
      <c r="K122" s="1232"/>
      <c r="L122" s="1233"/>
      <c r="M122" s="1234"/>
      <c r="N122" s="1202"/>
      <c r="O122" s="1202"/>
      <c r="P122" s="1458"/>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58"/>
      <c r="Q123" s="1126"/>
      <c r="R123" s="1021"/>
      <c r="S123" s="1021"/>
      <c r="T123" s="1021"/>
      <c r="U123" s="1021"/>
      <c r="V123" s="1021"/>
      <c r="W123" s="1021"/>
      <c r="X123" s="1021"/>
      <c r="Y123" s="1021"/>
      <c r="Z123" s="1021"/>
      <c r="AA123" s="1021"/>
      <c r="AB123" s="1021"/>
      <c r="AC123" s="1021"/>
    </row>
    <row r="124" spans="1:29">
      <c r="A124" s="1187"/>
      <c r="B124" s="1156" t="s">
        <v>1507</v>
      </c>
      <c r="C124" s="1175" t="s">
        <v>1082</v>
      </c>
      <c r="D124" s="1175" t="s">
        <v>1083</v>
      </c>
      <c r="E124" s="1175" t="s">
        <v>1084</v>
      </c>
      <c r="F124" s="1175" t="s">
        <v>1085</v>
      </c>
      <c r="G124" s="1175" t="s">
        <v>1086</v>
      </c>
      <c r="H124" s="1157"/>
      <c r="I124" s="1157"/>
      <c r="J124" s="1157"/>
      <c r="K124" s="1206"/>
      <c r="L124" s="1207"/>
      <c r="M124" s="1208"/>
      <c r="N124" s="1202"/>
      <c r="O124" s="1202"/>
      <c r="P124" s="1464"/>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58"/>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64"/>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64"/>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58"/>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58"/>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58"/>
      <c r="Q130" s="1126"/>
      <c r="R130" s="1021"/>
      <c r="S130" s="1021"/>
      <c r="T130" s="1021"/>
      <c r="U130" s="1021"/>
      <c r="V130" s="1021"/>
      <c r="W130" s="1021"/>
      <c r="X130" s="1021"/>
      <c r="Y130" s="1021"/>
      <c r="Z130" s="1021"/>
      <c r="AA130" s="1021"/>
      <c r="AB130" s="1021"/>
      <c r="AC130" s="1021"/>
    </row>
    <row r="131" spans="1:29" ht="15">
      <c r="A131" s="1438"/>
      <c r="B131" s="1170"/>
      <c r="C131" s="1171"/>
      <c r="D131" s="1171"/>
      <c r="E131" s="1171"/>
      <c r="F131" s="1171"/>
      <c r="G131" s="1183"/>
      <c r="H131" s="1183"/>
      <c r="I131" s="1183"/>
      <c r="J131" s="1183"/>
      <c r="K131" s="1183"/>
      <c r="L131" s="1183"/>
      <c r="M131" s="1238"/>
      <c r="N131" s="1205"/>
      <c r="O131" s="1205"/>
      <c r="P131" s="1458"/>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1011</v>
      </c>
      <c r="B1" s="1419" t="s">
        <v>1540</v>
      </c>
      <c r="C1" s="1286" t="s">
        <v>1013</v>
      </c>
      <c r="D1" s="1287"/>
      <c r="E1" s="1288"/>
      <c r="F1" s="1289"/>
      <c r="G1" s="1290" t="s">
        <v>1015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913</v>
      </c>
      <c r="B2" s="1292" t="e">
        <f ca="1">IF(C2="——",ROUND(C50*D3/10000,0),ROUND(C50*D3/10000,0)-D2)</f>
        <v>#DIV/0!</v>
      </c>
      <c r="C2" s="1293"/>
      <c r="D2" s="1420" t="e">
        <f ca="1">SUMIF(INDIRECT("'"&amp;F2&amp;"'"&amp;"!A:A"),"承租人权益价值",INDIRECT("'"&amp;F2&amp;"'"&amp;"!c:c"))</f>
        <v>#REF!</v>
      </c>
      <c r="E2" s="1294" t="s">
        <v>914</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915</v>
      </c>
      <c r="B3" s="922" t="e">
        <f ca="1">IF(C2="——",C50,ROUND(B2*10000/D3,0))</f>
        <v>#DIV/0!</v>
      </c>
      <c r="C3" s="1296" t="s">
        <v>1016</v>
      </c>
      <c r="D3" s="1297">
        <f>IF(D1="",'数据-汇总表'!E3,SUMIF('数据-汇总表'!$C19:$C33,D1,'数据-汇总表'!$E19:$E33))</f>
        <v>842.81</v>
      </c>
      <c r="E3" s="1421"/>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1017</v>
      </c>
      <c r="B4" s="925"/>
      <c r="C4" s="3458" t="s">
        <v>1018</v>
      </c>
      <c r="D4" s="3459"/>
      <c r="E4" s="3460" t="s">
        <v>1019</v>
      </c>
      <c r="F4" s="3461"/>
      <c r="G4" s="3458" t="s">
        <v>1020</v>
      </c>
      <c r="H4" s="3459"/>
      <c r="I4" s="3458" t="s">
        <v>1021</v>
      </c>
      <c r="J4" s="3459"/>
      <c r="K4" s="1071" t="s">
        <v>1022</v>
      </c>
      <c r="L4" s="1072"/>
      <c r="M4" s="1073"/>
      <c r="N4" s="1073"/>
      <c r="O4" s="1073"/>
      <c r="P4" s="3504" t="s">
        <v>1023</v>
      </c>
      <c r="Q4" s="3505"/>
      <c r="R4" s="3508" t="s">
        <v>1019</v>
      </c>
      <c r="S4" s="3509"/>
      <c r="T4" s="3508" t="s">
        <v>1020</v>
      </c>
      <c r="U4" s="3509"/>
      <c r="V4" s="3510" t="s">
        <v>1021</v>
      </c>
      <c r="W4" s="3510"/>
      <c r="X4" s="1432"/>
      <c r="Y4" s="3508" t="s">
        <v>1023</v>
      </c>
      <c r="Z4" s="3509"/>
      <c r="AA4" s="3500" t="s">
        <v>1019</v>
      </c>
      <c r="AB4" s="3500" t="s">
        <v>1020</v>
      </c>
      <c r="AC4" s="3501" t="s">
        <v>1021</v>
      </c>
    </row>
    <row r="5" spans="1:29" ht="15">
      <c r="A5" s="926"/>
      <c r="B5" s="927"/>
      <c r="C5" s="3498" t="s">
        <v>1024</v>
      </c>
      <c r="D5" s="3463"/>
      <c r="E5" s="3499" t="s">
        <v>1497</v>
      </c>
      <c r="F5" s="3465"/>
      <c r="G5" s="3498" t="s">
        <v>1498</v>
      </c>
      <c r="H5" s="3463"/>
      <c r="I5" s="3498" t="s">
        <v>1499</v>
      </c>
      <c r="J5" s="3463"/>
      <c r="K5" s="1071"/>
      <c r="L5" s="1072"/>
      <c r="M5" s="1073"/>
      <c r="N5" s="1073"/>
      <c r="O5" s="1073"/>
      <c r="P5" s="3506"/>
      <c r="Q5" s="3431"/>
      <c r="R5" s="3436"/>
      <c r="S5" s="3437"/>
      <c r="T5" s="3436"/>
      <c r="U5" s="3437"/>
      <c r="V5" s="3440"/>
      <c r="W5" s="3440"/>
      <c r="X5" s="1115"/>
      <c r="Y5" s="3436"/>
      <c r="Z5" s="3437"/>
      <c r="AA5" s="3426"/>
      <c r="AB5" s="3426"/>
      <c r="AC5" s="3502"/>
    </row>
    <row r="6" spans="1:29" ht="15">
      <c r="A6" s="928"/>
      <c r="B6" s="929"/>
      <c r="C6" s="3453" t="s">
        <v>1025</v>
      </c>
      <c r="D6" s="3454"/>
      <c r="E6" s="3455" t="s">
        <v>1025</v>
      </c>
      <c r="F6" s="3456"/>
      <c r="G6" s="3453" t="s">
        <v>1025</v>
      </c>
      <c r="H6" s="3454"/>
      <c r="I6" s="3453" t="s">
        <v>1025</v>
      </c>
      <c r="J6" s="3454"/>
      <c r="K6" s="1071" t="s">
        <v>1026</v>
      </c>
      <c r="L6" s="1072"/>
      <c r="M6" s="1073"/>
      <c r="N6" s="1073"/>
      <c r="O6" s="1073"/>
      <c r="P6" s="3507"/>
      <c r="Q6" s="3433"/>
      <c r="R6" s="3436"/>
      <c r="S6" s="3437"/>
      <c r="T6" s="3438"/>
      <c r="U6" s="3439"/>
      <c r="V6" s="3440"/>
      <c r="W6" s="3440"/>
      <c r="X6" s="1115"/>
      <c r="Y6" s="3438"/>
      <c r="Z6" s="3439"/>
      <c r="AA6" s="3427"/>
      <c r="AB6" s="3427"/>
      <c r="AC6" s="3503"/>
    </row>
    <row r="7" spans="1:29" s="905" customFormat="1" ht="15">
      <c r="A7" s="930" t="s">
        <v>1027</v>
      </c>
      <c r="B7" s="931"/>
      <c r="C7" s="932">
        <f>'数据-取费表'!B2</f>
        <v>44725</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14" t="s">
        <v>1028</v>
      </c>
      <c r="Q7" s="3457"/>
      <c r="R7" s="1116" t="s">
        <v>1029</v>
      </c>
      <c r="S7" s="1117">
        <f t="shared" ref="S7:S15" si="0">F7</f>
        <v>0</v>
      </c>
      <c r="T7" s="1116" t="s">
        <v>1029</v>
      </c>
      <c r="U7" s="1117">
        <f t="shared" ref="U7:U15" si="1">H7</f>
        <v>0</v>
      </c>
      <c r="V7" s="1116" t="s">
        <v>1029</v>
      </c>
      <c r="W7" s="1117">
        <f t="shared" ref="W7:W15" si="2">J7</f>
        <v>0</v>
      </c>
      <c r="X7" s="1118"/>
      <c r="Y7" s="3446" t="s">
        <v>1028</v>
      </c>
      <c r="Z7" s="3447"/>
      <c r="AA7" s="1130" t="e">
        <f>D7/F7</f>
        <v>#DIV/0!</v>
      </c>
      <c r="AB7" s="1130" t="e">
        <f>D7/H7</f>
        <v>#DIV/0!</v>
      </c>
      <c r="AC7" s="1434" t="e">
        <f>D7/J7</f>
        <v>#DIV/0!</v>
      </c>
    </row>
    <row r="8" spans="1:29" s="905" customFormat="1" ht="15">
      <c r="A8" s="930" t="s">
        <v>1030</v>
      </c>
      <c r="B8" s="931"/>
      <c r="C8" s="937" t="s">
        <v>1031</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14" t="s">
        <v>1032</v>
      </c>
      <c r="Q8" s="3447"/>
      <c r="R8" s="1116" t="s">
        <v>1029</v>
      </c>
      <c r="S8" s="1117">
        <f t="shared" si="0"/>
        <v>0</v>
      </c>
      <c r="T8" s="1116" t="s">
        <v>1029</v>
      </c>
      <c r="U8" s="1117">
        <f t="shared" si="1"/>
        <v>0</v>
      </c>
      <c r="V8" s="1116" t="s">
        <v>1029</v>
      </c>
      <c r="W8" s="1117">
        <f t="shared" si="2"/>
        <v>0</v>
      </c>
      <c r="X8" s="1118"/>
      <c r="Y8" s="3446" t="s">
        <v>1032</v>
      </c>
      <c r="Z8" s="3447"/>
      <c r="AA8" s="1130" t="e">
        <f t="shared" ref="AA8:AA47" si="3">D8/F8</f>
        <v>#DIV/0!</v>
      </c>
      <c r="AB8" s="1130" t="e">
        <f t="shared" ref="AB8:AB47" si="4">D8/H8</f>
        <v>#DIV/0!</v>
      </c>
      <c r="AC8" s="1434" t="e">
        <f t="shared" ref="AC8:AC47" si="5">D8/J8</f>
        <v>#DIV/0!</v>
      </c>
    </row>
    <row r="9" spans="1:29" s="905" customFormat="1">
      <c r="A9" s="938" t="s">
        <v>1033</v>
      </c>
      <c r="B9" s="939" t="s">
        <v>1034</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92" t="s">
        <v>1035</v>
      </c>
      <c r="Q9" s="1120" t="str">
        <f t="shared" ref="Q9:Q15" si="6">B9</f>
        <v>用途</v>
      </c>
      <c r="R9" s="1116" t="s">
        <v>1029</v>
      </c>
      <c r="S9" s="1117">
        <f t="shared" si="0"/>
        <v>100</v>
      </c>
      <c r="T9" s="1116" t="s">
        <v>1029</v>
      </c>
      <c r="U9" s="1117">
        <f t="shared" si="1"/>
        <v>100</v>
      </c>
      <c r="V9" s="1116" t="s">
        <v>1029</v>
      </c>
      <c r="W9" s="1117">
        <f t="shared" si="2"/>
        <v>100</v>
      </c>
      <c r="X9" s="1118"/>
      <c r="Y9" s="3334" t="s">
        <v>1036</v>
      </c>
      <c r="Z9" s="1131" t="str">
        <f t="shared" ref="Z9:Z15" si="7">Q9</f>
        <v>用途</v>
      </c>
      <c r="AA9" s="1130">
        <f t="shared" si="3"/>
        <v>1</v>
      </c>
      <c r="AB9" s="1130">
        <f t="shared" si="4"/>
        <v>1</v>
      </c>
      <c r="AC9" s="1434">
        <f t="shared" si="5"/>
        <v>1</v>
      </c>
    </row>
    <row r="10" spans="1:29" s="906" customFormat="1" ht="27">
      <c r="A10" s="942"/>
      <c r="B10" s="943" t="s">
        <v>1037</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92"/>
      <c r="Q10" s="1120" t="str">
        <f t="shared" si="6"/>
        <v>土地使用年限（年）</v>
      </c>
      <c r="R10" s="1116" t="s">
        <v>1029</v>
      </c>
      <c r="S10" s="1117">
        <f t="shared" si="0"/>
        <v>100</v>
      </c>
      <c r="T10" s="1116" t="s">
        <v>1029</v>
      </c>
      <c r="U10" s="1117">
        <f t="shared" si="1"/>
        <v>100</v>
      </c>
      <c r="V10" s="1116" t="s">
        <v>1029</v>
      </c>
      <c r="W10" s="1117">
        <f t="shared" si="2"/>
        <v>100</v>
      </c>
      <c r="X10" s="1118"/>
      <c r="Y10" s="3334"/>
      <c r="Z10" s="1131" t="str">
        <f t="shared" si="7"/>
        <v>土地使用年限（年）</v>
      </c>
      <c r="AA10" s="1130">
        <f t="shared" si="3"/>
        <v>1</v>
      </c>
      <c r="AB10" s="1130">
        <f t="shared" si="4"/>
        <v>1</v>
      </c>
      <c r="AC10" s="1434">
        <f t="shared" si="5"/>
        <v>1</v>
      </c>
    </row>
    <row r="11" spans="1:29" ht="15">
      <c r="A11" s="946"/>
      <c r="B11" s="943" t="s">
        <v>1038</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92"/>
      <c r="Q11" s="1120" t="str">
        <f t="shared" si="6"/>
        <v>容积率</v>
      </c>
      <c r="R11" s="1116" t="s">
        <v>1029</v>
      </c>
      <c r="S11" s="1117" t="e">
        <f t="shared" si="0"/>
        <v>#N/A</v>
      </c>
      <c r="T11" s="1116" t="s">
        <v>1029</v>
      </c>
      <c r="U11" s="1117" t="e">
        <f t="shared" si="1"/>
        <v>#N/A</v>
      </c>
      <c r="V11" s="1116" t="s">
        <v>1029</v>
      </c>
      <c r="W11" s="1117" t="e">
        <f t="shared" si="2"/>
        <v>#N/A</v>
      </c>
      <c r="X11" s="1118"/>
      <c r="Y11" s="3334"/>
      <c r="Z11" s="1131" t="str">
        <f t="shared" si="7"/>
        <v>容积率</v>
      </c>
      <c r="AA11" s="1130" t="e">
        <f t="shared" si="3"/>
        <v>#N/A</v>
      </c>
      <c r="AB11" s="1130" t="e">
        <f t="shared" si="4"/>
        <v>#N/A</v>
      </c>
      <c r="AC11" s="1434" t="e">
        <f t="shared" si="5"/>
        <v>#N/A</v>
      </c>
    </row>
    <row r="12" spans="1:29" s="905" customFormat="1" ht="15">
      <c r="A12" s="949"/>
      <c r="B12" s="950">
        <v>111</v>
      </c>
      <c r="C12" s="944"/>
      <c r="D12" s="951">
        <v>100</v>
      </c>
      <c r="E12" s="944"/>
      <c r="F12" s="945">
        <f>SUMIF(71:71,E12,72:72)-SUMIF(71:71,C12,72:72)+100</f>
        <v>100</v>
      </c>
      <c r="G12" s="1422"/>
      <c r="H12" s="945">
        <f>SUMIF(71:71,G12,72:72)-SUMIF(71:71,C12,72:72)+100</f>
        <v>100</v>
      </c>
      <c r="I12" s="944"/>
      <c r="J12" s="945">
        <f>SUMIF(71:71,I12,72:72)-SUMIF(71:71,C12,72:72)+100</f>
        <v>100</v>
      </c>
      <c r="K12" s="1090"/>
      <c r="L12" s="1075"/>
      <c r="M12" s="1076"/>
      <c r="N12" s="1076"/>
      <c r="O12" s="1076"/>
      <c r="P12" s="3492"/>
      <c r="Q12" s="1120">
        <f t="shared" si="6"/>
        <v>111</v>
      </c>
      <c r="R12" s="1116" t="s">
        <v>1029</v>
      </c>
      <c r="S12" s="1117">
        <f t="shared" si="0"/>
        <v>100</v>
      </c>
      <c r="T12" s="1116" t="s">
        <v>1029</v>
      </c>
      <c r="U12" s="1117">
        <f t="shared" si="1"/>
        <v>100</v>
      </c>
      <c r="V12" s="1116" t="s">
        <v>1029</v>
      </c>
      <c r="W12" s="1117">
        <f t="shared" si="2"/>
        <v>100</v>
      </c>
      <c r="X12" s="1118"/>
      <c r="Y12" s="3334"/>
      <c r="Z12" s="1131">
        <f t="shared" si="7"/>
        <v>111</v>
      </c>
      <c r="AA12" s="1130">
        <f t="shared" si="3"/>
        <v>1</v>
      </c>
      <c r="AB12" s="1130">
        <f t="shared" si="4"/>
        <v>1</v>
      </c>
      <c r="AC12" s="1434">
        <f t="shared" si="5"/>
        <v>1</v>
      </c>
    </row>
    <row r="13" spans="1:29" ht="15">
      <c r="A13" s="946"/>
      <c r="B13" s="950">
        <v>111</v>
      </c>
      <c r="C13" s="954"/>
      <c r="D13" s="955">
        <v>100</v>
      </c>
      <c r="E13" s="944"/>
      <c r="F13" s="945">
        <f>SUMIF(73:73,E13,74:74)-SUMIF(73:73,C13,74:74)+100</f>
        <v>100</v>
      </c>
      <c r="G13" s="1422"/>
      <c r="H13" s="955">
        <f>SUMIF(73:73,G13,74:74)-SUMIF(73:73,C13,74:74)+100</f>
        <v>100</v>
      </c>
      <c r="I13" s="944"/>
      <c r="J13" s="955">
        <f>SUMIF(73:73,I13,74:74)-SUMIF(73:73,C13,74:74)+100</f>
        <v>100</v>
      </c>
      <c r="K13" s="1090"/>
      <c r="L13" s="1085"/>
      <c r="M13" s="1073"/>
      <c r="N13" s="1073"/>
      <c r="O13" s="1073"/>
      <c r="P13" s="3492"/>
      <c r="Q13" s="1120">
        <f t="shared" si="6"/>
        <v>111</v>
      </c>
      <c r="R13" s="1116" t="s">
        <v>1029</v>
      </c>
      <c r="S13" s="1117">
        <f t="shared" si="0"/>
        <v>100</v>
      </c>
      <c r="T13" s="1116" t="s">
        <v>1029</v>
      </c>
      <c r="U13" s="1117">
        <f t="shared" si="1"/>
        <v>100</v>
      </c>
      <c r="V13" s="1116" t="s">
        <v>1029</v>
      </c>
      <c r="W13" s="1117">
        <f t="shared" si="2"/>
        <v>100</v>
      </c>
      <c r="X13" s="1118"/>
      <c r="Y13" s="3334"/>
      <c r="Z13" s="1131">
        <f t="shared" si="7"/>
        <v>111</v>
      </c>
      <c r="AA13" s="1130">
        <f t="shared" si="3"/>
        <v>1</v>
      </c>
      <c r="AB13" s="1130">
        <f t="shared" si="4"/>
        <v>1</v>
      </c>
      <c r="AC13" s="1434">
        <f t="shared" si="5"/>
        <v>1</v>
      </c>
    </row>
    <row r="14" spans="1:29" ht="15">
      <c r="A14" s="956"/>
      <c r="B14" s="957">
        <v>111</v>
      </c>
      <c r="C14" s="958"/>
      <c r="D14" s="959">
        <v>100</v>
      </c>
      <c r="E14" s="1379"/>
      <c r="F14" s="959">
        <f>SUMIF(75:75,E14,76:76)-SUMIF(75:75,C14,76:76)+100</f>
        <v>100</v>
      </c>
      <c r="G14" s="1422"/>
      <c r="H14" s="959">
        <f>SUMIF(75:75,G14,76:76)-SUMIF(75:75,C14,76:76)+100</f>
        <v>100</v>
      </c>
      <c r="I14" s="944"/>
      <c r="J14" s="959">
        <f>SUMIF(75:75,I14,76:76)-SUMIF(75:75,C14,76:76)+100</f>
        <v>100</v>
      </c>
      <c r="K14" s="1090"/>
      <c r="L14" s="1085"/>
      <c r="M14" s="1073"/>
      <c r="N14" s="1073"/>
      <c r="O14" s="1073"/>
      <c r="P14" s="3492"/>
      <c r="Q14" s="1120">
        <f t="shared" si="6"/>
        <v>111</v>
      </c>
      <c r="R14" s="1116" t="s">
        <v>1029</v>
      </c>
      <c r="S14" s="1117">
        <f t="shared" si="0"/>
        <v>100</v>
      </c>
      <c r="T14" s="1116" t="s">
        <v>1029</v>
      </c>
      <c r="U14" s="1117">
        <f t="shared" si="1"/>
        <v>100</v>
      </c>
      <c r="V14" s="1116" t="s">
        <v>1029</v>
      </c>
      <c r="W14" s="1117">
        <f t="shared" si="2"/>
        <v>100</v>
      </c>
      <c r="X14" s="1118"/>
      <c r="Y14" s="3334"/>
      <c r="Z14" s="1131">
        <f t="shared" si="7"/>
        <v>111</v>
      </c>
      <c r="AA14" s="1130">
        <f t="shared" si="3"/>
        <v>1</v>
      </c>
      <c r="AB14" s="1130">
        <f t="shared" si="4"/>
        <v>1</v>
      </c>
      <c r="AC14" s="1434">
        <f t="shared" si="5"/>
        <v>1</v>
      </c>
    </row>
    <row r="15" spans="1:29" ht="15">
      <c r="A15" s="960" t="s">
        <v>1039</v>
      </c>
      <c r="B15" s="961" t="s">
        <v>1541</v>
      </c>
      <c r="C15" s="1423">
        <f>估价对象房地状况!C5</f>
        <v>0</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93" t="s">
        <v>1041</v>
      </c>
      <c r="Q15" s="681" t="str">
        <f t="shared" si="6"/>
        <v>办公集聚程度</v>
      </c>
      <c r="R15" s="1121" t="s">
        <v>1029</v>
      </c>
      <c r="S15" s="1122">
        <f t="shared" si="0"/>
        <v>100</v>
      </c>
      <c r="T15" s="1121" t="s">
        <v>1029</v>
      </c>
      <c r="U15" s="1122">
        <f t="shared" si="1"/>
        <v>100</v>
      </c>
      <c r="V15" s="1121" t="s">
        <v>1029</v>
      </c>
      <c r="W15" s="1122">
        <f t="shared" si="2"/>
        <v>100</v>
      </c>
      <c r="X15" s="1115"/>
      <c r="Y15" s="3448" t="s">
        <v>1041</v>
      </c>
      <c r="Z15" s="1105" t="str">
        <f t="shared" si="7"/>
        <v>办公集聚程度</v>
      </c>
      <c r="AA15" s="1132">
        <f t="shared" si="3"/>
        <v>1</v>
      </c>
      <c r="AB15" s="1132">
        <f t="shared" si="4"/>
        <v>1</v>
      </c>
      <c r="AC15" s="1435">
        <f t="shared" si="5"/>
        <v>1</v>
      </c>
    </row>
    <row r="16" spans="1:29" ht="15">
      <c r="A16" s="946"/>
      <c r="B16" s="965"/>
      <c r="C16" s="968"/>
      <c r="D16" s="967"/>
      <c r="E16" s="966"/>
      <c r="F16" s="967"/>
      <c r="G16" s="968"/>
      <c r="H16" s="969"/>
      <c r="I16" s="966"/>
      <c r="J16" s="967"/>
      <c r="K16" s="1345"/>
      <c r="L16" s="1085"/>
      <c r="M16" s="1073"/>
      <c r="N16" s="1073"/>
      <c r="O16" s="1073"/>
      <c r="P16" s="3494"/>
      <c r="Q16" s="681"/>
      <c r="R16" s="1121"/>
      <c r="S16" s="1122"/>
      <c r="T16" s="1121"/>
      <c r="U16" s="1122"/>
      <c r="V16" s="1121"/>
      <c r="W16" s="1122"/>
      <c r="X16" s="1115"/>
      <c r="Y16" s="3449"/>
      <c r="Z16" s="1105"/>
      <c r="AA16" s="1132">
        <v>1</v>
      </c>
      <c r="AB16" s="1132">
        <v>1</v>
      </c>
      <c r="AC16" s="1435">
        <v>1</v>
      </c>
    </row>
    <row r="17" spans="1:29" ht="15">
      <c r="A17" s="946"/>
      <c r="B17" s="970" t="s">
        <v>1042</v>
      </c>
      <c r="C17" s="1424">
        <f>估价对象房地状况!C6</f>
        <v>0</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94"/>
      <c r="Q17" s="681" t="str">
        <f>B17</f>
        <v>交通便捷度</v>
      </c>
      <c r="R17" s="1121" t="s">
        <v>1029</v>
      </c>
      <c r="S17" s="1122">
        <f>F17</f>
        <v>100</v>
      </c>
      <c r="T17" s="1121" t="s">
        <v>1029</v>
      </c>
      <c r="U17" s="1122">
        <f>H17</f>
        <v>100</v>
      </c>
      <c r="V17" s="1121" t="s">
        <v>1029</v>
      </c>
      <c r="W17" s="1122">
        <f>J17</f>
        <v>100</v>
      </c>
      <c r="X17" s="1115"/>
      <c r="Y17" s="3449"/>
      <c r="Z17" s="1105" t="str">
        <f>Q17</f>
        <v>交通便捷度</v>
      </c>
      <c r="AA17" s="1132">
        <f t="shared" si="3"/>
        <v>1</v>
      </c>
      <c r="AB17" s="1132">
        <f t="shared" si="4"/>
        <v>1</v>
      </c>
      <c r="AC17" s="1435">
        <f t="shared" si="5"/>
        <v>1</v>
      </c>
    </row>
    <row r="18" spans="1:29" ht="15">
      <c r="A18" s="946"/>
      <c r="B18" s="974"/>
      <c r="C18" s="1425"/>
      <c r="D18" s="969"/>
      <c r="E18" s="1266"/>
      <c r="F18" s="969"/>
      <c r="G18" s="1258"/>
      <c r="H18" s="967"/>
      <c r="I18" s="1258"/>
      <c r="J18" s="967"/>
      <c r="K18" s="1345"/>
      <c r="L18" s="1085"/>
      <c r="M18" s="1073"/>
      <c r="N18" s="1073"/>
      <c r="O18" s="1073"/>
      <c r="P18" s="3494"/>
      <c r="Q18" s="681"/>
      <c r="R18" s="1121"/>
      <c r="S18" s="1122"/>
      <c r="T18" s="1121"/>
      <c r="U18" s="1122"/>
      <c r="V18" s="1121"/>
      <c r="W18" s="1122"/>
      <c r="X18" s="1115"/>
      <c r="Y18" s="3449"/>
      <c r="Z18" s="1105"/>
      <c r="AA18" s="1132">
        <v>1</v>
      </c>
      <c r="AB18" s="1132">
        <v>1</v>
      </c>
      <c r="AC18" s="1435">
        <v>1</v>
      </c>
    </row>
    <row r="19" spans="1:29" ht="15">
      <c r="A19" s="946"/>
      <c r="B19" s="970" t="s">
        <v>1043</v>
      </c>
      <c r="C19" s="1424">
        <f>估价对象房地状况!C7</f>
        <v>0</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94"/>
      <c r="Q19" s="681" t="str">
        <f>B19</f>
        <v>公共配套设施</v>
      </c>
      <c r="R19" s="1121" t="s">
        <v>1029</v>
      </c>
      <c r="S19" s="1122">
        <f>F19</f>
        <v>100</v>
      </c>
      <c r="T19" s="1121" t="s">
        <v>1029</v>
      </c>
      <c r="U19" s="1122">
        <f>H19</f>
        <v>100</v>
      </c>
      <c r="V19" s="1121" t="s">
        <v>1029</v>
      </c>
      <c r="W19" s="1122">
        <f>J19</f>
        <v>100</v>
      </c>
      <c r="X19" s="1115"/>
      <c r="Y19" s="3449"/>
      <c r="Z19" s="1105" t="str">
        <f>Q19</f>
        <v>公共配套设施</v>
      </c>
      <c r="AA19" s="1132">
        <f t="shared" si="3"/>
        <v>1</v>
      </c>
      <c r="AB19" s="1132">
        <f t="shared" si="4"/>
        <v>1</v>
      </c>
      <c r="AC19" s="1435">
        <f t="shared" si="5"/>
        <v>1</v>
      </c>
    </row>
    <row r="20" spans="1:29" ht="15">
      <c r="A20" s="946"/>
      <c r="B20" s="974"/>
      <c r="C20" s="968"/>
      <c r="D20" s="967"/>
      <c r="E20" s="1088"/>
      <c r="F20" s="967"/>
      <c r="G20" s="975"/>
      <c r="H20" s="967"/>
      <c r="I20" s="975"/>
      <c r="J20" s="967"/>
      <c r="K20" s="1345"/>
      <c r="L20" s="1085"/>
      <c r="M20" s="1073"/>
      <c r="N20" s="1073"/>
      <c r="O20" s="1073"/>
      <c r="P20" s="3494"/>
      <c r="Q20" s="681"/>
      <c r="R20" s="1121"/>
      <c r="S20" s="1122"/>
      <c r="T20" s="1121"/>
      <c r="U20" s="1122"/>
      <c r="V20" s="1121"/>
      <c r="W20" s="1122"/>
      <c r="X20" s="1115"/>
      <c r="Y20" s="3449"/>
      <c r="Z20" s="1105"/>
      <c r="AA20" s="1132">
        <v>1</v>
      </c>
      <c r="AB20" s="1132">
        <v>1</v>
      </c>
      <c r="AC20" s="1435">
        <v>1</v>
      </c>
    </row>
    <row r="21" spans="1:29" ht="15">
      <c r="A21" s="946"/>
      <c r="B21" s="977" t="s">
        <v>1044</v>
      </c>
      <c r="C21" s="1424">
        <f>估价对象房地状况!C8</f>
        <v>0</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94"/>
      <c r="Q21" s="681" t="str">
        <f>B21</f>
        <v>基础设施水平</v>
      </c>
      <c r="R21" s="1121" t="s">
        <v>1029</v>
      </c>
      <c r="S21" s="1122">
        <f>F21</f>
        <v>100</v>
      </c>
      <c r="T21" s="1121" t="s">
        <v>1029</v>
      </c>
      <c r="U21" s="1122">
        <f>H21</f>
        <v>100</v>
      </c>
      <c r="V21" s="1121" t="s">
        <v>1029</v>
      </c>
      <c r="W21" s="1122">
        <f>J21</f>
        <v>100</v>
      </c>
      <c r="X21" s="1115"/>
      <c r="Y21" s="3449"/>
      <c r="Z21" s="1105" t="str">
        <f>Q21</f>
        <v>基础设施水平</v>
      </c>
      <c r="AA21" s="1132">
        <f t="shared" ref="AA21" si="8">D21/F21</f>
        <v>1</v>
      </c>
      <c r="AB21" s="1132">
        <f t="shared" ref="AB21" si="9">D21/H21</f>
        <v>1</v>
      </c>
      <c r="AC21" s="1435">
        <f t="shared" ref="AC21" si="10">D21/J21</f>
        <v>1</v>
      </c>
    </row>
    <row r="22" spans="1:29" ht="15">
      <c r="A22" s="946"/>
      <c r="B22" s="977"/>
      <c r="C22" s="1425"/>
      <c r="D22" s="967"/>
      <c r="E22" s="966"/>
      <c r="F22" s="967"/>
      <c r="G22" s="968"/>
      <c r="H22" s="967"/>
      <c r="I22" s="968"/>
      <c r="J22" s="967"/>
      <c r="K22" s="1346"/>
      <c r="L22" s="1085"/>
      <c r="M22" s="1073"/>
      <c r="N22" s="1073"/>
      <c r="O22" s="1073"/>
      <c r="P22" s="3494"/>
      <c r="Q22" s="681"/>
      <c r="R22" s="1121"/>
      <c r="S22" s="1122"/>
      <c r="T22" s="1121"/>
      <c r="U22" s="1122"/>
      <c r="V22" s="1121"/>
      <c r="W22" s="1122"/>
      <c r="X22" s="1115"/>
      <c r="Y22" s="3449"/>
      <c r="Z22" s="1105"/>
      <c r="AA22" s="1132">
        <v>1</v>
      </c>
      <c r="AB22" s="1132">
        <v>1</v>
      </c>
      <c r="AC22" s="1435">
        <v>1</v>
      </c>
    </row>
    <row r="23" spans="1:29" ht="15">
      <c r="A23" s="946"/>
      <c r="B23" s="970" t="s">
        <v>1045</v>
      </c>
      <c r="C23" s="1424">
        <f>估价对象房地状况!C9</f>
        <v>0</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94"/>
      <c r="Q23" s="681" t="str">
        <f>B23</f>
        <v>环境质量</v>
      </c>
      <c r="R23" s="1121" t="s">
        <v>1029</v>
      </c>
      <c r="S23" s="1122">
        <f>F23</f>
        <v>100</v>
      </c>
      <c r="T23" s="1121" t="s">
        <v>1029</v>
      </c>
      <c r="U23" s="1122">
        <f>H23</f>
        <v>100</v>
      </c>
      <c r="V23" s="1121" t="s">
        <v>1029</v>
      </c>
      <c r="W23" s="1122">
        <f>J23</f>
        <v>100</v>
      </c>
      <c r="X23" s="1115"/>
      <c r="Y23" s="3449"/>
      <c r="Z23" s="1105" t="str">
        <f>Q23</f>
        <v>环境质量</v>
      </c>
      <c r="AA23" s="1132">
        <f t="shared" si="3"/>
        <v>1</v>
      </c>
      <c r="AB23" s="1132">
        <f t="shared" si="4"/>
        <v>1</v>
      </c>
      <c r="AC23" s="1435">
        <f t="shared" si="5"/>
        <v>1</v>
      </c>
    </row>
    <row r="24" spans="1:29" ht="15">
      <c r="A24" s="946"/>
      <c r="B24" s="977"/>
      <c r="C24" s="968"/>
      <c r="D24" s="967"/>
      <c r="E24" s="1088"/>
      <c r="F24" s="967"/>
      <c r="G24" s="975"/>
      <c r="H24" s="967"/>
      <c r="I24" s="975"/>
      <c r="J24" s="967"/>
      <c r="K24" s="1345"/>
      <c r="L24" s="1085"/>
      <c r="M24" s="1073"/>
      <c r="N24" s="1073"/>
      <c r="O24" s="1073"/>
      <c r="P24" s="3494"/>
      <c r="Q24" s="681"/>
      <c r="R24" s="1121"/>
      <c r="S24" s="1122"/>
      <c r="T24" s="1121"/>
      <c r="U24" s="1122"/>
      <c r="V24" s="1121"/>
      <c r="W24" s="1122"/>
      <c r="X24" s="1115"/>
      <c r="Y24" s="3449"/>
      <c r="Z24" s="1105"/>
      <c r="AA24" s="1132">
        <v>1</v>
      </c>
      <c r="AB24" s="1132">
        <v>1</v>
      </c>
      <c r="AC24" s="1435">
        <v>1</v>
      </c>
    </row>
    <row r="25" spans="1:29" ht="27">
      <c r="A25" s="926"/>
      <c r="B25" s="970" t="s">
        <v>1542</v>
      </c>
      <c r="C25" s="1426"/>
      <c r="D25" s="955">
        <v>100</v>
      </c>
      <c r="E25" s="954"/>
      <c r="F25" s="955">
        <f>SUMIF(87:87,E26,88:88)-SUMIF(87:87,C26,88:88)+100</f>
        <v>100</v>
      </c>
      <c r="G25" s="1426"/>
      <c r="H25" s="955">
        <f>SUMIF(87:87,G26,88:88)-SUMIF(87:87,C26,88:88)+100</f>
        <v>100</v>
      </c>
      <c r="I25" s="954"/>
      <c r="J25" s="955">
        <f>SUMIF(87:87,I26,88:88)-SUMIF(87:87,C26,88:88)+100</f>
        <v>100</v>
      </c>
      <c r="K25" s="1344"/>
      <c r="L25" s="1085"/>
      <c r="M25" s="1073"/>
      <c r="N25" s="1073"/>
      <c r="O25" s="1073"/>
      <c r="P25" s="3494"/>
      <c r="Q25" s="681" t="str">
        <f>B25</f>
        <v>毗邻道路的类型与等级</v>
      </c>
      <c r="R25" s="1121" t="s">
        <v>1029</v>
      </c>
      <c r="S25" s="1122">
        <f>F25</f>
        <v>100</v>
      </c>
      <c r="T25" s="1121" t="s">
        <v>1029</v>
      </c>
      <c r="U25" s="1122">
        <f>H25</f>
        <v>100</v>
      </c>
      <c r="V25" s="1121" t="s">
        <v>1029</v>
      </c>
      <c r="W25" s="1122">
        <f>J25</f>
        <v>100</v>
      </c>
      <c r="X25" s="1115"/>
      <c r="Y25" s="3449"/>
      <c r="Z25" s="1105" t="str">
        <f>Q25</f>
        <v>毗邻道路的类型与等级</v>
      </c>
      <c r="AA25" s="1132">
        <f t="shared" si="3"/>
        <v>1</v>
      </c>
      <c r="AB25" s="1132">
        <f t="shared" si="4"/>
        <v>1</v>
      </c>
      <c r="AC25" s="1435">
        <f t="shared" si="5"/>
        <v>1</v>
      </c>
    </row>
    <row r="26" spans="1:29" ht="15">
      <c r="A26" s="926"/>
      <c r="B26" s="974"/>
      <c r="C26" s="981"/>
      <c r="D26" s="955"/>
      <c r="E26" s="980"/>
      <c r="F26" s="955"/>
      <c r="G26" s="981"/>
      <c r="H26" s="955"/>
      <c r="I26" s="980"/>
      <c r="J26" s="955"/>
      <c r="K26" s="1345"/>
      <c r="L26" s="1085"/>
      <c r="M26" s="1073"/>
      <c r="N26" s="1073"/>
      <c r="O26" s="1073"/>
      <c r="P26" s="3494"/>
      <c r="Q26" s="681"/>
      <c r="R26" s="1121"/>
      <c r="S26" s="1122"/>
      <c r="T26" s="1121"/>
      <c r="U26" s="1122"/>
      <c r="V26" s="1121"/>
      <c r="W26" s="1122"/>
      <c r="X26" s="1115"/>
      <c r="Y26" s="3449"/>
      <c r="Z26" s="1105"/>
      <c r="AA26" s="1132">
        <v>1</v>
      </c>
      <c r="AB26" s="1132">
        <v>1</v>
      </c>
      <c r="AC26" s="1435">
        <v>1</v>
      </c>
    </row>
    <row r="27" spans="1:29" ht="15">
      <c r="A27" s="946"/>
      <c r="B27" s="974" t="s">
        <v>1533</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94"/>
      <c r="Q27" s="681" t="str">
        <f t="shared" ref="Q27:Q47" si="11">B27</f>
        <v>楼层</v>
      </c>
      <c r="R27" s="1121" t="s">
        <v>1029</v>
      </c>
      <c r="S27" s="1122">
        <f>F27</f>
        <v>100</v>
      </c>
      <c r="T27" s="1121" t="s">
        <v>1029</v>
      </c>
      <c r="U27" s="1122">
        <f>H27</f>
        <v>100</v>
      </c>
      <c r="V27" s="1121" t="s">
        <v>1029</v>
      </c>
      <c r="W27" s="1122">
        <f>J27</f>
        <v>100</v>
      </c>
      <c r="X27" s="1115"/>
      <c r="Y27" s="3449"/>
      <c r="Z27" s="1105" t="str">
        <f>Q27</f>
        <v>楼层</v>
      </c>
      <c r="AA27" s="1132">
        <f t="shared" si="3"/>
        <v>1</v>
      </c>
      <c r="AB27" s="1132">
        <f t="shared" si="4"/>
        <v>1</v>
      </c>
      <c r="AC27" s="1435">
        <f t="shared" si="5"/>
        <v>1</v>
      </c>
    </row>
    <row r="28" spans="1:29" s="905" customFormat="1" ht="15">
      <c r="A28" s="949"/>
      <c r="B28" s="970" t="s">
        <v>1503</v>
      </c>
      <c r="C28" s="1427"/>
      <c r="D28" s="1428">
        <v>100</v>
      </c>
      <c r="E28" s="1429"/>
      <c r="F28" s="1428">
        <f>SUMIF(91:91,E28,92:92)-SUMIF(91:91,C28,92:92)+100</f>
        <v>100</v>
      </c>
      <c r="G28" s="1427"/>
      <c r="H28" s="1428">
        <f>SUMIF(91:91,G28,92:92)-SUMIF(91:91,C28,92:92)+100</f>
        <v>100</v>
      </c>
      <c r="I28" s="1429"/>
      <c r="J28" s="1428">
        <f>SUMIF(91:91,I28,92:92)-SUMIF(91:91,C28,92:92)+100</f>
        <v>100</v>
      </c>
      <c r="K28" s="1091"/>
      <c r="L28" s="1075"/>
      <c r="M28" s="1076"/>
      <c r="N28" s="1076"/>
      <c r="O28" s="1076"/>
      <c r="P28" s="3494"/>
      <c r="Q28" s="1120" t="str">
        <f t="shared" si="11"/>
        <v>朝向</v>
      </c>
      <c r="R28" s="1116" t="s">
        <v>1029</v>
      </c>
      <c r="S28" s="1117">
        <f>F28</f>
        <v>100</v>
      </c>
      <c r="T28" s="1116" t="s">
        <v>1029</v>
      </c>
      <c r="U28" s="1117">
        <f>H28</f>
        <v>100</v>
      </c>
      <c r="V28" s="1116" t="s">
        <v>1029</v>
      </c>
      <c r="W28" s="1117">
        <f>J28</f>
        <v>100</v>
      </c>
      <c r="X28" s="1118"/>
      <c r="Y28" s="3449"/>
      <c r="Z28" s="1131" t="str">
        <f>Q28</f>
        <v>朝向</v>
      </c>
      <c r="AA28" s="1132">
        <f t="shared" si="3"/>
        <v>1</v>
      </c>
      <c r="AB28" s="1132">
        <f t="shared" si="4"/>
        <v>1</v>
      </c>
      <c r="AC28" s="1435">
        <f t="shared" si="5"/>
        <v>1</v>
      </c>
    </row>
    <row r="29" spans="1:29" ht="15">
      <c r="A29" s="946"/>
      <c r="B29" s="985">
        <v>111</v>
      </c>
      <c r="C29" s="1426"/>
      <c r="D29" s="955">
        <v>100</v>
      </c>
      <c r="E29" s="944"/>
      <c r="F29" s="955">
        <f>SUMIF(93:93,E29,94:94)-SUMIF(93:93,C29,94:94)+100</f>
        <v>100</v>
      </c>
      <c r="G29" s="1422"/>
      <c r="H29" s="955">
        <f>SUMIF(93:93,G29,94:94)-SUMIF(93:93,C29,94:94)+100</f>
        <v>100</v>
      </c>
      <c r="I29" s="944"/>
      <c r="J29" s="955">
        <f>SUMIF(93:93,I29,94:94)-SUMIF(93:93,C29,94:94)+100</f>
        <v>100</v>
      </c>
      <c r="K29" s="1090"/>
      <c r="L29" s="1085"/>
      <c r="M29" s="1073"/>
      <c r="N29" s="1073"/>
      <c r="O29" s="1073"/>
      <c r="P29" s="3494"/>
      <c r="Q29" s="681">
        <f t="shared" si="11"/>
        <v>111</v>
      </c>
      <c r="R29" s="1121" t="s">
        <v>1029</v>
      </c>
      <c r="S29" s="1122">
        <f t="shared" ref="S29:S47" si="12">F29</f>
        <v>100</v>
      </c>
      <c r="T29" s="1121" t="s">
        <v>1029</v>
      </c>
      <c r="U29" s="1122">
        <f t="shared" ref="U29:U47" si="13">H29</f>
        <v>100</v>
      </c>
      <c r="V29" s="1121" t="s">
        <v>1029</v>
      </c>
      <c r="W29" s="1122">
        <f t="shared" ref="W29:W47" si="14">J29</f>
        <v>100</v>
      </c>
      <c r="X29" s="1115"/>
      <c r="Y29" s="3449"/>
      <c r="Z29" s="1105">
        <f t="shared" ref="Z29:Z47" si="15">Q29</f>
        <v>111</v>
      </c>
      <c r="AA29" s="1132">
        <f t="shared" si="3"/>
        <v>1</v>
      </c>
      <c r="AB29" s="1132">
        <f t="shared" si="4"/>
        <v>1</v>
      </c>
      <c r="AC29" s="1435">
        <f t="shared" si="5"/>
        <v>1</v>
      </c>
    </row>
    <row r="30" spans="1:29" ht="15">
      <c r="A30" s="946"/>
      <c r="B30" s="985">
        <v>111</v>
      </c>
      <c r="C30" s="1426"/>
      <c r="D30" s="955">
        <v>100</v>
      </c>
      <c r="E30" s="944"/>
      <c r="F30" s="955">
        <f>SUMIF(95:95,E30,96:96)-SUMIF(95:95,C30,96:96)+100</f>
        <v>100</v>
      </c>
      <c r="G30" s="1422"/>
      <c r="H30" s="955">
        <f>SUMIF(95:95,G30,96:96)-SUMIF(95:95,C30,96:96)+100</f>
        <v>100</v>
      </c>
      <c r="I30" s="944"/>
      <c r="J30" s="955">
        <f>SUMIF(95:95,I30,96:96)-SUMIF(95:95,C30,96:96)+100</f>
        <v>100</v>
      </c>
      <c r="K30" s="1090"/>
      <c r="L30" s="1085"/>
      <c r="M30" s="1073"/>
      <c r="N30" s="1073"/>
      <c r="O30" s="1073"/>
      <c r="P30" s="3494"/>
      <c r="Q30" s="681">
        <f t="shared" si="11"/>
        <v>111</v>
      </c>
      <c r="R30" s="1121" t="s">
        <v>1029</v>
      </c>
      <c r="S30" s="1122">
        <f t="shared" si="12"/>
        <v>100</v>
      </c>
      <c r="T30" s="1121" t="s">
        <v>1029</v>
      </c>
      <c r="U30" s="1122">
        <f t="shared" si="13"/>
        <v>100</v>
      </c>
      <c r="V30" s="1121" t="s">
        <v>1029</v>
      </c>
      <c r="W30" s="1122">
        <f t="shared" si="14"/>
        <v>100</v>
      </c>
      <c r="X30" s="1115"/>
      <c r="Y30" s="3449"/>
      <c r="Z30" s="1105">
        <f t="shared" si="15"/>
        <v>111</v>
      </c>
      <c r="AA30" s="1132">
        <f t="shared" si="3"/>
        <v>1</v>
      </c>
      <c r="AB30" s="1132">
        <f t="shared" si="4"/>
        <v>1</v>
      </c>
      <c r="AC30" s="1435">
        <f t="shared" si="5"/>
        <v>1</v>
      </c>
    </row>
    <row r="31" spans="1:29" ht="15">
      <c r="A31" s="946"/>
      <c r="B31" s="985">
        <v>111</v>
      </c>
      <c r="C31" s="1426"/>
      <c r="D31" s="955">
        <v>100</v>
      </c>
      <c r="E31" s="944"/>
      <c r="F31" s="955">
        <f>SUMIF(97:97,E31,98:98)-SUMIF(97:97,C31,98:98)+100</f>
        <v>100</v>
      </c>
      <c r="G31" s="1422"/>
      <c r="H31" s="955">
        <f>SUMIF(97:97,G31,98:98)-SUMIF(97:97,C31,98:98)+100</f>
        <v>100</v>
      </c>
      <c r="I31" s="944"/>
      <c r="J31" s="955">
        <f>SUMIF(97:97,I31,98:98)-SUMIF(97:97,C31,98:98)+100</f>
        <v>100</v>
      </c>
      <c r="K31" s="1090"/>
      <c r="L31" s="1085"/>
      <c r="M31" s="1073"/>
      <c r="N31" s="1073"/>
      <c r="O31" s="1073"/>
      <c r="P31" s="3494"/>
      <c r="Q31" s="681">
        <f t="shared" si="11"/>
        <v>111</v>
      </c>
      <c r="R31" s="1121" t="s">
        <v>1029</v>
      </c>
      <c r="S31" s="1122">
        <f t="shared" si="12"/>
        <v>100</v>
      </c>
      <c r="T31" s="1121" t="s">
        <v>1029</v>
      </c>
      <c r="U31" s="1122">
        <f t="shared" si="13"/>
        <v>100</v>
      </c>
      <c r="V31" s="1121" t="s">
        <v>1029</v>
      </c>
      <c r="W31" s="1122">
        <f t="shared" si="14"/>
        <v>100</v>
      </c>
      <c r="X31" s="1115"/>
      <c r="Y31" s="3449"/>
      <c r="Z31" s="1105">
        <f t="shared" si="15"/>
        <v>111</v>
      </c>
      <c r="AA31" s="1132">
        <f t="shared" si="3"/>
        <v>1</v>
      </c>
      <c r="AB31" s="1132">
        <f t="shared" si="4"/>
        <v>1</v>
      </c>
      <c r="AC31" s="1435">
        <f t="shared" si="5"/>
        <v>1</v>
      </c>
    </row>
    <row r="32" spans="1:29" ht="15">
      <c r="A32" s="956"/>
      <c r="B32" s="1377">
        <v>111</v>
      </c>
      <c r="C32" s="1430"/>
      <c r="D32" s="959">
        <v>100</v>
      </c>
      <c r="E32" s="1379"/>
      <c r="F32" s="959">
        <f>SUMIF(99:99,E32,100:100)-SUMIF(99:99,C32,100:100)+100</f>
        <v>100</v>
      </c>
      <c r="G32" s="1422"/>
      <c r="H32" s="959">
        <f>SUMIF(99:99,G32,100:100)-SUMIF(99:99,C32,100:100)+100</f>
        <v>100</v>
      </c>
      <c r="I32" s="944"/>
      <c r="J32" s="959">
        <f>SUMIF(99:99,I32,100:100)-SUMIF(99:99,C32,100:100)+100</f>
        <v>100</v>
      </c>
      <c r="K32" s="1090"/>
      <c r="L32" s="1085"/>
      <c r="M32" s="1073"/>
      <c r="N32" s="1073"/>
      <c r="O32" s="1073"/>
      <c r="P32" s="3494"/>
      <c r="Q32" s="681">
        <f t="shared" si="11"/>
        <v>111</v>
      </c>
      <c r="R32" s="1121" t="s">
        <v>1029</v>
      </c>
      <c r="S32" s="1122">
        <f t="shared" si="12"/>
        <v>100</v>
      </c>
      <c r="T32" s="1121" t="s">
        <v>1029</v>
      </c>
      <c r="U32" s="1122">
        <f t="shared" si="13"/>
        <v>100</v>
      </c>
      <c r="V32" s="1121" t="s">
        <v>1029</v>
      </c>
      <c r="W32" s="1122">
        <f t="shared" si="14"/>
        <v>100</v>
      </c>
      <c r="X32" s="1115"/>
      <c r="Y32" s="3449"/>
      <c r="Z32" s="1105">
        <f t="shared" si="15"/>
        <v>111</v>
      </c>
      <c r="AA32" s="1132">
        <f t="shared" si="3"/>
        <v>1</v>
      </c>
      <c r="AB32" s="1132">
        <f t="shared" si="4"/>
        <v>1</v>
      </c>
      <c r="AC32" s="1435">
        <f t="shared" si="5"/>
        <v>1</v>
      </c>
    </row>
    <row r="33" spans="1:29" ht="15">
      <c r="A33" s="960" t="s">
        <v>1048</v>
      </c>
      <c r="B33" s="939" t="s">
        <v>1049</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95" t="s">
        <v>1051</v>
      </c>
      <c r="Q33" s="681" t="str">
        <f t="shared" si="11"/>
        <v>建筑类型</v>
      </c>
      <c r="R33" s="1121" t="s">
        <v>1029</v>
      </c>
      <c r="S33" s="1122">
        <f t="shared" si="12"/>
        <v>100</v>
      </c>
      <c r="T33" s="1121" t="s">
        <v>1029</v>
      </c>
      <c r="U33" s="1122">
        <f t="shared" si="13"/>
        <v>100</v>
      </c>
      <c r="V33" s="1121" t="s">
        <v>1029</v>
      </c>
      <c r="W33" s="1122">
        <f t="shared" si="14"/>
        <v>100</v>
      </c>
      <c r="X33" s="1115"/>
      <c r="Y33" s="3451" t="s">
        <v>1051</v>
      </c>
      <c r="Z33" s="1105" t="str">
        <f t="shared" si="15"/>
        <v>建筑类型</v>
      </c>
      <c r="AA33" s="1132">
        <f t="shared" si="3"/>
        <v>1</v>
      </c>
      <c r="AB33" s="1132">
        <f t="shared" si="4"/>
        <v>1</v>
      </c>
      <c r="AC33" s="1435">
        <f t="shared" si="5"/>
        <v>1</v>
      </c>
    </row>
    <row r="34" spans="1:29" s="907" customFormat="1" ht="15">
      <c r="A34" s="1002"/>
      <c r="B34" s="943" t="s">
        <v>1052</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96"/>
      <c r="Q34" s="1348" t="str">
        <f t="shared" si="11"/>
        <v>项目建筑规模</v>
      </c>
      <c r="R34" s="1123" t="s">
        <v>1029</v>
      </c>
      <c r="S34" s="1124" t="e">
        <f t="shared" si="12"/>
        <v>#N/A</v>
      </c>
      <c r="T34" s="1123" t="s">
        <v>1029</v>
      </c>
      <c r="U34" s="1124" t="e">
        <f t="shared" si="13"/>
        <v>#N/A</v>
      </c>
      <c r="V34" s="1123" t="s">
        <v>1029</v>
      </c>
      <c r="W34" s="1124" t="e">
        <f t="shared" si="14"/>
        <v>#N/A</v>
      </c>
      <c r="X34" s="1125"/>
      <c r="Y34" s="3451"/>
      <c r="Z34" s="1133" t="str">
        <f t="shared" si="15"/>
        <v>项目建筑规模</v>
      </c>
      <c r="AA34" s="1132" t="e">
        <f t="shared" si="3"/>
        <v>#N/A</v>
      </c>
      <c r="AB34" s="1132" t="e">
        <f t="shared" si="4"/>
        <v>#N/A</v>
      </c>
      <c r="AC34" s="1435" t="e">
        <f t="shared" si="5"/>
        <v>#N/A</v>
      </c>
    </row>
    <row r="35" spans="1:29" ht="15">
      <c r="A35" s="997"/>
      <c r="B35" s="943" t="s">
        <v>1053</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96"/>
      <c r="Q35" s="681" t="str">
        <f t="shared" si="11"/>
        <v>建筑结构</v>
      </c>
      <c r="R35" s="1121" t="s">
        <v>1029</v>
      </c>
      <c r="S35" s="1122">
        <f t="shared" si="12"/>
        <v>100</v>
      </c>
      <c r="T35" s="1121" t="s">
        <v>1029</v>
      </c>
      <c r="U35" s="1122">
        <f t="shared" si="13"/>
        <v>100</v>
      </c>
      <c r="V35" s="1121" t="s">
        <v>1029</v>
      </c>
      <c r="W35" s="1122">
        <f t="shared" si="14"/>
        <v>100</v>
      </c>
      <c r="X35" s="1115"/>
      <c r="Y35" s="3451"/>
      <c r="Z35" s="1105" t="str">
        <f t="shared" si="15"/>
        <v>建筑结构</v>
      </c>
      <c r="AA35" s="1132">
        <f t="shared" si="3"/>
        <v>1</v>
      </c>
      <c r="AB35" s="1132">
        <f t="shared" si="4"/>
        <v>1</v>
      </c>
      <c r="AC35" s="1435">
        <f t="shared" si="5"/>
        <v>1</v>
      </c>
    </row>
    <row r="36" spans="1:29" ht="15">
      <c r="A36" s="997"/>
      <c r="B36" s="943" t="s">
        <v>1055</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96"/>
      <c r="Q36" s="681" t="str">
        <f t="shared" si="11"/>
        <v>公共部分装修</v>
      </c>
      <c r="R36" s="1121" t="s">
        <v>1029</v>
      </c>
      <c r="S36" s="1122">
        <f t="shared" si="12"/>
        <v>100</v>
      </c>
      <c r="T36" s="1121" t="s">
        <v>1029</v>
      </c>
      <c r="U36" s="1122">
        <f t="shared" si="13"/>
        <v>100</v>
      </c>
      <c r="V36" s="1121" t="s">
        <v>1029</v>
      </c>
      <c r="W36" s="1122">
        <f t="shared" si="14"/>
        <v>100</v>
      </c>
      <c r="X36" s="1115"/>
      <c r="Y36" s="3451"/>
      <c r="Z36" s="1105" t="str">
        <f t="shared" si="15"/>
        <v>公共部分装修</v>
      </c>
      <c r="AA36" s="1132">
        <f t="shared" si="3"/>
        <v>1</v>
      </c>
      <c r="AB36" s="1132">
        <f t="shared" si="4"/>
        <v>1</v>
      </c>
      <c r="AC36" s="1435">
        <f t="shared" si="5"/>
        <v>1</v>
      </c>
    </row>
    <row r="37" spans="1:29" ht="15">
      <c r="A37" s="997"/>
      <c r="B37" s="943" t="s">
        <v>568</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96"/>
      <c r="Q37" s="681" t="str">
        <f t="shared" si="11"/>
        <v>成新度</v>
      </c>
      <c r="R37" s="1121" t="s">
        <v>1029</v>
      </c>
      <c r="S37" s="1122" t="e">
        <f t="shared" si="12"/>
        <v>#N/A</v>
      </c>
      <c r="T37" s="1121" t="s">
        <v>1029</v>
      </c>
      <c r="U37" s="1122" t="e">
        <f t="shared" si="13"/>
        <v>#N/A</v>
      </c>
      <c r="V37" s="1121" t="s">
        <v>1029</v>
      </c>
      <c r="W37" s="1122" t="e">
        <f t="shared" si="14"/>
        <v>#N/A</v>
      </c>
      <c r="X37" s="1115"/>
      <c r="Y37" s="3451"/>
      <c r="Z37" s="1105" t="str">
        <f t="shared" si="15"/>
        <v>成新度</v>
      </c>
      <c r="AA37" s="1132" t="e">
        <f t="shared" si="3"/>
        <v>#N/A</v>
      </c>
      <c r="AB37" s="1132" t="e">
        <f t="shared" si="4"/>
        <v>#N/A</v>
      </c>
      <c r="AC37" s="1435" t="e">
        <f t="shared" si="5"/>
        <v>#N/A</v>
      </c>
    </row>
    <row r="38" spans="1:29" s="905" customFormat="1" ht="15">
      <c r="A38" s="999"/>
      <c r="B38" s="943" t="s">
        <v>1543</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96"/>
      <c r="Q38" s="1120" t="str">
        <f t="shared" si="11"/>
        <v>写字楼等级</v>
      </c>
      <c r="R38" s="1116" t="s">
        <v>1029</v>
      </c>
      <c r="S38" s="1117">
        <f t="shared" si="12"/>
        <v>100</v>
      </c>
      <c r="T38" s="1116" t="s">
        <v>1029</v>
      </c>
      <c r="U38" s="1117">
        <f t="shared" si="13"/>
        <v>100</v>
      </c>
      <c r="V38" s="1116" t="s">
        <v>1029</v>
      </c>
      <c r="W38" s="1117">
        <f t="shared" si="14"/>
        <v>100</v>
      </c>
      <c r="X38" s="1118"/>
      <c r="Y38" s="3451"/>
      <c r="Z38" s="1131" t="str">
        <f t="shared" si="15"/>
        <v>写字楼等级</v>
      </c>
      <c r="AA38" s="1130">
        <f t="shared" si="3"/>
        <v>1</v>
      </c>
      <c r="AB38" s="1130">
        <f t="shared" si="4"/>
        <v>1</v>
      </c>
      <c r="AC38" s="1434">
        <f t="shared" si="5"/>
        <v>1</v>
      </c>
    </row>
    <row r="39" spans="1:29" ht="15">
      <c r="A39" s="997"/>
      <c r="B39" s="943" t="s">
        <v>1057</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96" t="s">
        <v>1051</v>
      </c>
      <c r="Q39" s="681" t="str">
        <f t="shared" si="11"/>
        <v>物业管理</v>
      </c>
      <c r="R39" s="1121" t="s">
        <v>1029</v>
      </c>
      <c r="S39" s="1122">
        <f t="shared" si="12"/>
        <v>100</v>
      </c>
      <c r="T39" s="1121" t="s">
        <v>1029</v>
      </c>
      <c r="U39" s="1122">
        <f t="shared" si="13"/>
        <v>100</v>
      </c>
      <c r="V39" s="1121" t="s">
        <v>1029</v>
      </c>
      <c r="W39" s="1122">
        <f t="shared" si="14"/>
        <v>100</v>
      </c>
      <c r="X39" s="1115"/>
      <c r="Y39" s="3451" t="s">
        <v>1051</v>
      </c>
      <c r="Z39" s="1105" t="str">
        <f t="shared" si="15"/>
        <v>物业管理</v>
      </c>
      <c r="AA39" s="1132">
        <f t="shared" si="3"/>
        <v>1</v>
      </c>
      <c r="AB39" s="1132">
        <f t="shared" si="4"/>
        <v>1</v>
      </c>
      <c r="AC39" s="1435">
        <f t="shared" si="5"/>
        <v>1</v>
      </c>
    </row>
    <row r="40" spans="1:29" ht="15">
      <c r="A40" s="997"/>
      <c r="B40" s="943" t="s">
        <v>1059</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96"/>
      <c r="Q40" s="681" t="str">
        <f t="shared" si="11"/>
        <v>市政基础设施</v>
      </c>
      <c r="R40" s="1121" t="s">
        <v>1029</v>
      </c>
      <c r="S40" s="1122">
        <f t="shared" si="12"/>
        <v>100</v>
      </c>
      <c r="T40" s="1121" t="s">
        <v>1029</v>
      </c>
      <c r="U40" s="1122">
        <f t="shared" si="13"/>
        <v>100</v>
      </c>
      <c r="V40" s="1121" t="s">
        <v>1029</v>
      </c>
      <c r="W40" s="1122">
        <f t="shared" si="14"/>
        <v>100</v>
      </c>
      <c r="X40" s="1115"/>
      <c r="Y40" s="3451"/>
      <c r="Z40" s="1105" t="str">
        <f t="shared" si="15"/>
        <v>市政基础设施</v>
      </c>
      <c r="AA40" s="1132">
        <f t="shared" si="3"/>
        <v>1</v>
      </c>
      <c r="AB40" s="1132">
        <f t="shared" si="4"/>
        <v>1</v>
      </c>
      <c r="AC40" s="1435">
        <f t="shared" si="5"/>
        <v>1</v>
      </c>
    </row>
    <row r="41" spans="1:29" ht="15">
      <c r="A41" s="997"/>
      <c r="B41" s="943" t="s">
        <v>1536</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96"/>
      <c r="Q41" s="681" t="str">
        <f t="shared" si="11"/>
        <v>层高</v>
      </c>
      <c r="R41" s="1121" t="s">
        <v>1029</v>
      </c>
      <c r="S41" s="1122">
        <f t="shared" si="12"/>
        <v>100</v>
      </c>
      <c r="T41" s="1121" t="s">
        <v>1029</v>
      </c>
      <c r="U41" s="1122">
        <f t="shared" si="13"/>
        <v>100</v>
      </c>
      <c r="V41" s="1121" t="s">
        <v>1029</v>
      </c>
      <c r="W41" s="1122">
        <f t="shared" si="14"/>
        <v>100</v>
      </c>
      <c r="X41" s="1115"/>
      <c r="Y41" s="3451"/>
      <c r="Z41" s="1105" t="str">
        <f t="shared" si="15"/>
        <v>层高</v>
      </c>
      <c r="AA41" s="1132">
        <f t="shared" si="3"/>
        <v>1</v>
      </c>
      <c r="AB41" s="1132">
        <f t="shared" si="4"/>
        <v>1</v>
      </c>
      <c r="AC41" s="1435">
        <f t="shared" si="5"/>
        <v>1</v>
      </c>
    </row>
    <row r="42" spans="1:29" s="907" customFormat="1" ht="15">
      <c r="A42" s="1002"/>
      <c r="B42" s="1100" t="s">
        <v>1544</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96"/>
      <c r="Q42" s="1348" t="str">
        <f t="shared" si="11"/>
        <v>单套建筑面积</v>
      </c>
      <c r="R42" s="1123" t="s">
        <v>1029</v>
      </c>
      <c r="S42" s="1124">
        <f t="shared" si="12"/>
        <v>100</v>
      </c>
      <c r="T42" s="1123" t="s">
        <v>1029</v>
      </c>
      <c r="U42" s="1124">
        <f t="shared" si="13"/>
        <v>100</v>
      </c>
      <c r="V42" s="1123" t="s">
        <v>1029</v>
      </c>
      <c r="W42" s="1124">
        <f t="shared" si="14"/>
        <v>100</v>
      </c>
      <c r="X42" s="1125"/>
      <c r="Y42" s="3451"/>
      <c r="Z42" s="1133" t="str">
        <f t="shared" si="15"/>
        <v>单套建筑面积</v>
      </c>
      <c r="AA42" s="1132">
        <f t="shared" si="3"/>
        <v>1</v>
      </c>
      <c r="AB42" s="1132">
        <f t="shared" si="4"/>
        <v>1</v>
      </c>
      <c r="AC42" s="1435">
        <f t="shared" si="5"/>
        <v>1</v>
      </c>
    </row>
    <row r="43" spans="1:29" ht="15">
      <c r="A43" s="997"/>
      <c r="B43" s="943" t="s">
        <v>1060</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96"/>
      <c r="Q43" s="681" t="str">
        <f t="shared" si="11"/>
        <v>内部装修</v>
      </c>
      <c r="R43" s="1121" t="s">
        <v>1029</v>
      </c>
      <c r="S43" s="1122">
        <f t="shared" si="12"/>
        <v>100</v>
      </c>
      <c r="T43" s="1121" t="s">
        <v>1029</v>
      </c>
      <c r="U43" s="1122">
        <f t="shared" si="13"/>
        <v>100</v>
      </c>
      <c r="V43" s="1121" t="s">
        <v>1029</v>
      </c>
      <c r="W43" s="1122">
        <f t="shared" si="14"/>
        <v>100</v>
      </c>
      <c r="X43" s="1115"/>
      <c r="Y43" s="3451"/>
      <c r="Z43" s="1105" t="str">
        <f t="shared" si="15"/>
        <v>内部装修</v>
      </c>
      <c r="AA43" s="1132">
        <f t="shared" si="3"/>
        <v>1</v>
      </c>
      <c r="AB43" s="1132">
        <f t="shared" si="4"/>
        <v>1</v>
      </c>
      <c r="AC43" s="1435">
        <f t="shared" si="5"/>
        <v>1</v>
      </c>
    </row>
    <row r="44" spans="1:29" ht="15">
      <c r="A44" s="997"/>
      <c r="B44" s="943" t="s">
        <v>1507</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96"/>
      <c r="Q44" s="681" t="str">
        <f t="shared" si="11"/>
        <v>内部装修维护情况</v>
      </c>
      <c r="R44" s="1121" t="s">
        <v>1029</v>
      </c>
      <c r="S44" s="1122">
        <f t="shared" si="12"/>
        <v>100</v>
      </c>
      <c r="T44" s="1121" t="s">
        <v>1029</v>
      </c>
      <c r="U44" s="1122">
        <f t="shared" si="13"/>
        <v>100</v>
      </c>
      <c r="V44" s="1121" t="s">
        <v>1029</v>
      </c>
      <c r="W44" s="1122">
        <f t="shared" si="14"/>
        <v>100</v>
      </c>
      <c r="X44" s="1115"/>
      <c r="Y44" s="3451"/>
      <c r="Z44" s="1105" t="str">
        <f t="shared" si="15"/>
        <v>内部装修维护情况</v>
      </c>
      <c r="AA44" s="1132">
        <f t="shared" si="3"/>
        <v>1</v>
      </c>
      <c r="AB44" s="1132">
        <f t="shared" si="4"/>
        <v>1</v>
      </c>
      <c r="AC44" s="143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96"/>
      <c r="Q45" s="1120">
        <f t="shared" si="11"/>
        <v>111</v>
      </c>
      <c r="R45" s="1116" t="s">
        <v>1029</v>
      </c>
      <c r="S45" s="1117">
        <f t="shared" si="12"/>
        <v>100</v>
      </c>
      <c r="T45" s="1116" t="s">
        <v>1029</v>
      </c>
      <c r="U45" s="1117">
        <f t="shared" si="13"/>
        <v>100</v>
      </c>
      <c r="V45" s="1116" t="s">
        <v>1029</v>
      </c>
      <c r="W45" s="1117">
        <f t="shared" si="14"/>
        <v>100</v>
      </c>
      <c r="X45" s="1118"/>
      <c r="Y45" s="3451"/>
      <c r="Z45" s="1131">
        <f t="shared" si="15"/>
        <v>111</v>
      </c>
      <c r="AA45" s="1130">
        <f t="shared" si="3"/>
        <v>1</v>
      </c>
      <c r="AB45" s="1130">
        <f t="shared" si="4"/>
        <v>1</v>
      </c>
      <c r="AC45" s="143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96"/>
      <c r="Q46" s="681">
        <f t="shared" si="11"/>
        <v>111</v>
      </c>
      <c r="R46" s="1121" t="s">
        <v>1029</v>
      </c>
      <c r="S46" s="1122">
        <f t="shared" si="12"/>
        <v>100</v>
      </c>
      <c r="T46" s="1121" t="s">
        <v>1029</v>
      </c>
      <c r="U46" s="1122">
        <f t="shared" si="13"/>
        <v>100</v>
      </c>
      <c r="V46" s="1121" t="s">
        <v>1029</v>
      </c>
      <c r="W46" s="1122">
        <f t="shared" si="14"/>
        <v>100</v>
      </c>
      <c r="X46" s="1115"/>
      <c r="Y46" s="3451"/>
      <c r="Z46" s="1105">
        <f t="shared" si="15"/>
        <v>111</v>
      </c>
      <c r="AA46" s="1132">
        <f t="shared" si="3"/>
        <v>1</v>
      </c>
      <c r="AB46" s="1132">
        <f t="shared" si="4"/>
        <v>1</v>
      </c>
      <c r="AC46" s="143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97"/>
      <c r="Q47" s="681">
        <f t="shared" si="11"/>
        <v>111</v>
      </c>
      <c r="R47" s="1121" t="s">
        <v>1029</v>
      </c>
      <c r="S47" s="1122">
        <f t="shared" si="12"/>
        <v>100</v>
      </c>
      <c r="T47" s="1121" t="s">
        <v>1029</v>
      </c>
      <c r="U47" s="1122">
        <f t="shared" si="13"/>
        <v>100</v>
      </c>
      <c r="V47" s="1121" t="s">
        <v>1029</v>
      </c>
      <c r="W47" s="1122">
        <f t="shared" si="14"/>
        <v>100</v>
      </c>
      <c r="X47" s="1115"/>
      <c r="Y47" s="3452"/>
      <c r="Z47" s="1105">
        <f t="shared" si="15"/>
        <v>111</v>
      </c>
      <c r="AA47" s="1132">
        <f t="shared" si="3"/>
        <v>1</v>
      </c>
      <c r="AB47" s="1132">
        <f t="shared" si="4"/>
        <v>1</v>
      </c>
      <c r="AC47" s="1435">
        <f t="shared" si="5"/>
        <v>1</v>
      </c>
    </row>
    <row r="48" spans="1:29" ht="15">
      <c r="A48" s="1004" t="s">
        <v>1064</v>
      </c>
      <c r="B48" s="1323"/>
      <c r="C48" s="1324" t="s">
        <v>124</v>
      </c>
      <c r="D48" s="1325"/>
      <c r="E48" s="1326"/>
      <c r="F48" s="1327"/>
      <c r="G48" s="1328"/>
      <c r="H48" s="1329"/>
      <c r="I48" s="1326"/>
      <c r="J48" s="1011"/>
      <c r="K48" s="1096"/>
      <c r="L48" s="1097"/>
      <c r="M48" s="1073"/>
      <c r="N48" s="1073"/>
      <c r="O48" s="1073"/>
      <c r="P48" s="3492" t="str">
        <f>A48</f>
        <v>成交单价（元/平方米）</v>
      </c>
      <c r="Q48" s="3441"/>
      <c r="R48" s="3442">
        <f>E48</f>
        <v>0</v>
      </c>
      <c r="S48" s="3442"/>
      <c r="T48" s="3442">
        <f>G48</f>
        <v>0</v>
      </c>
      <c r="U48" s="3442"/>
      <c r="V48" s="3442">
        <f>I48</f>
        <v>0</v>
      </c>
      <c r="W48" s="3442"/>
      <c r="X48" s="1255"/>
      <c r="Y48" s="1134"/>
      <c r="Z48" s="1255"/>
      <c r="AA48" s="1255"/>
      <c r="AB48" s="1255"/>
      <c r="AC48" s="965"/>
    </row>
    <row r="49" spans="1:29" ht="15">
      <c r="A49" s="1012" t="s">
        <v>1065</v>
      </c>
      <c r="B49" s="1330"/>
      <c r="C49" s="1331" t="e">
        <f>R50</f>
        <v>#DIV/0!</v>
      </c>
      <c r="D49" s="1015" t="s">
        <v>1066</v>
      </c>
      <c r="E49" s="1332" t="e">
        <f>R49</f>
        <v>#DIV/0!</v>
      </c>
      <c r="F49" s="1016"/>
      <c r="G49" s="1331" t="e">
        <f>T49</f>
        <v>#DIV/0!</v>
      </c>
      <c r="H49" s="1016"/>
      <c r="I49" s="1332" t="e">
        <f>V49</f>
        <v>#DIV/0!</v>
      </c>
      <c r="J49" s="1016"/>
      <c r="K49" s="1098">
        <f>F49+H49+J49</f>
        <v>0</v>
      </c>
      <c r="L49" s="1097"/>
      <c r="M49" s="1073"/>
      <c r="N49" s="1073"/>
      <c r="O49" s="1073"/>
      <c r="P49" s="3492" t="str">
        <f>A49</f>
        <v>比较价值（元/平方米）</v>
      </c>
      <c r="Q49" s="3441"/>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1255"/>
      <c r="Y49" s="1255"/>
      <c r="Z49" s="1255"/>
      <c r="AA49" s="1255"/>
      <c r="AB49" s="1255"/>
      <c r="AC49" s="965"/>
    </row>
    <row r="50" spans="1:29" ht="15">
      <c r="A50" s="1018" t="s">
        <v>1067</v>
      </c>
      <c r="B50" s="1019"/>
      <c r="C50" s="1333" t="e">
        <f>R50</f>
        <v>#DIV/0!</v>
      </c>
      <c r="D50" s="1333"/>
      <c r="E50" s="1333"/>
      <c r="F50" s="1333"/>
      <c r="G50" s="1333"/>
      <c r="H50" s="1333"/>
      <c r="I50" s="1333"/>
      <c r="J50" s="1020"/>
      <c r="K50" s="1099"/>
      <c r="L50" s="1097"/>
      <c r="M50" s="1073"/>
      <c r="N50" s="1073"/>
      <c r="O50" s="1073"/>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1433"/>
      <c r="Y50" s="1433"/>
      <c r="Z50" s="1433"/>
      <c r="AA50" s="1433"/>
      <c r="AB50" s="1433"/>
      <c r="AC50" s="143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1068</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1069</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1070</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1071</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1027</v>
      </c>
      <c r="B59" s="1336"/>
      <c r="C59" s="1337" t="str">
        <f>YEAR(C7)&amp;"-"&amp;MONTH(C7)</f>
        <v>2022-6</v>
      </c>
      <c r="D59" s="1338">
        <f>EDATE(C59,-1)</f>
        <v>44682</v>
      </c>
      <c r="E59" s="1338">
        <f>EDATE(D59,-1)</f>
        <v>44652</v>
      </c>
      <c r="F59" s="1338">
        <f t="shared" ref="F59:O59" si="16">EDATE(E59,-1)</f>
        <v>44621</v>
      </c>
      <c r="G59" s="1338">
        <f t="shared" si="16"/>
        <v>44593</v>
      </c>
      <c r="H59" s="1338">
        <f t="shared" si="16"/>
        <v>44562</v>
      </c>
      <c r="I59" s="1338">
        <f t="shared" si="16"/>
        <v>44531</v>
      </c>
      <c r="J59" s="1338">
        <f t="shared" si="16"/>
        <v>44501</v>
      </c>
      <c r="K59" s="1338">
        <f t="shared" si="16"/>
        <v>44470</v>
      </c>
      <c r="L59" s="1338">
        <f t="shared" si="16"/>
        <v>44440</v>
      </c>
      <c r="M59" s="1338">
        <f t="shared" si="16"/>
        <v>44409</v>
      </c>
      <c r="N59" s="1338">
        <f t="shared" si="16"/>
        <v>44378</v>
      </c>
      <c r="O59" s="1338">
        <f t="shared" si="16"/>
        <v>44348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1072</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1030</v>
      </c>
      <c r="B62" s="1146"/>
      <c r="C62" s="1147" t="s">
        <v>1031</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3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1073</v>
      </c>
      <c r="B64" s="1152" t="s">
        <v>1034</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1037</v>
      </c>
      <c r="C66" s="1157" t="s">
        <v>1074</v>
      </c>
      <c r="D66" s="1157" t="s">
        <v>1075</v>
      </c>
      <c r="E66" s="1157" t="s">
        <v>1076</v>
      </c>
      <c r="F66" s="1157" t="s">
        <v>1077</v>
      </c>
      <c r="G66" s="1157" t="s">
        <v>1078</v>
      </c>
      <c r="H66" s="1157" t="s">
        <v>1079</v>
      </c>
      <c r="I66" s="1157" t="s">
        <v>1080</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1081</v>
      </c>
      <c r="D67" s="1159" t="s">
        <v>1081</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1038</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39"/>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1039</v>
      </c>
      <c r="B77" s="1152" t="s">
        <v>1541</v>
      </c>
      <c r="C77" s="1173" t="s">
        <v>1082</v>
      </c>
      <c r="D77" s="1173" t="s">
        <v>1083</v>
      </c>
      <c r="E77" s="1173" t="s">
        <v>1084</v>
      </c>
      <c r="F77" s="1173" t="s">
        <v>1085</v>
      </c>
      <c r="G77" s="1173" t="s">
        <v>1086</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1042</v>
      </c>
      <c r="C79" s="1175" t="s">
        <v>1082</v>
      </c>
      <c r="D79" s="1175" t="s">
        <v>1083</v>
      </c>
      <c r="E79" s="1175" t="s">
        <v>1084</v>
      </c>
      <c r="F79" s="1175" t="s">
        <v>1085</v>
      </c>
      <c r="G79" s="1175" t="s">
        <v>1086</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1043</v>
      </c>
      <c r="C81" s="1175" t="s">
        <v>1082</v>
      </c>
      <c r="D81" s="1175" t="s">
        <v>1083</v>
      </c>
      <c r="E81" s="1175" t="s">
        <v>1084</v>
      </c>
      <c r="F81" s="1175" t="s">
        <v>1085</v>
      </c>
      <c r="G81" s="1175" t="s">
        <v>1086</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1044</v>
      </c>
      <c r="C83" s="1180" t="s">
        <v>1087</v>
      </c>
      <c r="D83" s="1180" t="s">
        <v>1088</v>
      </c>
      <c r="E83" s="1180" t="s">
        <v>1089</v>
      </c>
      <c r="F83" s="1180" t="s">
        <v>1090</v>
      </c>
      <c r="G83" s="1180" t="s">
        <v>1091</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1045</v>
      </c>
      <c r="C85" s="1175" t="s">
        <v>1082</v>
      </c>
      <c r="D85" s="1175" t="s">
        <v>1083</v>
      </c>
      <c r="E85" s="1175" t="s">
        <v>1084</v>
      </c>
      <c r="F85" s="1175" t="s">
        <v>1085</v>
      </c>
      <c r="G85" s="1175" t="s">
        <v>1086</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1542</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3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38"/>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1048</v>
      </c>
      <c r="B101" s="1152" t="s">
        <v>1049</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1052</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1053</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1055</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568</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1543</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1057</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1059</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1545</v>
      </c>
      <c r="C119" s="1181"/>
      <c r="D119" s="1181"/>
      <c r="E119" s="1181"/>
      <c r="F119" s="1181"/>
      <c r="G119" s="1181"/>
      <c r="H119" s="1181"/>
      <c r="I119" s="1181"/>
      <c r="J119" s="1181"/>
      <c r="K119" s="1181"/>
      <c r="L119" s="1440"/>
      <c r="M119" s="1441"/>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1537</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1060</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1507</v>
      </c>
      <c r="C125" s="1175" t="s">
        <v>1082</v>
      </c>
      <c r="D125" s="1175" t="s">
        <v>1083</v>
      </c>
      <c r="E125" s="1175" t="s">
        <v>1084</v>
      </c>
      <c r="F125" s="1175" t="s">
        <v>1085</v>
      </c>
      <c r="G125" s="1175" t="s">
        <v>1086</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38"/>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J53">
    <cfRule type="containsText" dxfId="91" priority="10" stopIfTrue="1" operator="containsText" text="超过">
      <formula>NOT(ISERROR(SEARCH("超过",J53)))</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J54">
    <cfRule type="containsText" dxfId="87" priority="8" stopIfTrue="1" operator="containsText" text="超过">
      <formula>NOT(ISERROR(SEARCH("超过",J54)))</formula>
    </cfRule>
  </conditionalFormatting>
  <conditionalFormatting sqref="E55">
    <cfRule type="expression" dxfId="86" priority="14" stopIfTrue="1">
      <formula>$F$55="超过30%"</formula>
    </cfRule>
  </conditionalFormatting>
  <conditionalFormatting sqref="F55">
    <cfRule type="containsText" dxfId="85" priority="18" stopIfTrue="1" operator="containsText" text="超过">
      <formula>NOT(ISERROR(SEARCH("超过",F55)))</formula>
    </cfRule>
  </conditionalFormatting>
  <conditionalFormatting sqref="G55">
    <cfRule type="expression" dxfId="84" priority="13" stopIfTrue="1">
      <formula>$H$55="超过30%"</formula>
    </cfRule>
  </conditionalFormatting>
  <conditionalFormatting sqref="H55">
    <cfRule type="containsText" dxfId="83" priority="19" stopIfTrue="1" operator="containsText" text="超过">
      <formula>NOT(ISERROR(SEARCH("超过",H55)))</formula>
    </cfRule>
  </conditionalFormatting>
  <conditionalFormatting sqref="I55">
    <cfRule type="expression" dxfId="82" priority="5" stopIfTrue="1">
      <formula>$J$55="超过30%"</formula>
    </cfRule>
  </conditionalFormatting>
  <conditionalFormatting sqref="J55">
    <cfRule type="containsText" dxfId="81" priority="9" stopIfTrue="1" operator="containsText" text="超过">
      <formula>NOT(ISERROR(SEARCH("超过",J55)))</formula>
    </cfRule>
  </conditionalFormatting>
  <conditionalFormatting sqref="F7:F47 H7:H47 J7:J47">
    <cfRule type="cellIs" dxfId="80" priority="1" operator="notEqual">
      <formula>100</formula>
    </cfRule>
  </conditionalFormatting>
  <conditionalFormatting sqref="F53 H53">
    <cfRule type="containsText" dxfId="79" priority="20" stopIfTrue="1" operator="containsText" text="超过">
      <formula>NOT(ISERROR(SEARCH("超过",F53)))</formula>
    </cfRule>
  </conditionalFormatting>
  <conditionalFormatting sqref="F54 H54">
    <cfRule type="containsText" dxfId="78"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1546</v>
      </c>
      <c r="B1" s="1285"/>
      <c r="C1" s="1286" t="s">
        <v>1013</v>
      </c>
      <c r="D1" s="1287"/>
      <c r="E1" s="1363"/>
      <c r="F1" s="1289"/>
      <c r="G1" s="1364" t="s">
        <v>1015</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913</v>
      </c>
      <c r="B2" s="1292" t="e">
        <f ca="1">IF(C2="——",IF(B37="元/平方米",ROUND(C39*D3/10000,0),ROUND(F3*C39/10000,0)),IF(B37="元/平方米",ROUND(C39*D3/10000,0),ROUND(F3*C39/10000,0))-D2)</f>
        <v>#DIV/0!</v>
      </c>
      <c r="C2" s="1293"/>
      <c r="D2" s="1250" t="e">
        <f ca="1">SUMIF(INDIRECT("'"&amp;F2&amp;"'"&amp;"!A:A"),"承租人权益价值",INDIRECT("'"&amp;F2&amp;"'"&amp;"!c:c"))</f>
        <v>#REF!</v>
      </c>
      <c r="E2" s="1294" t="s">
        <v>914</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915</v>
      </c>
      <c r="B3" s="922" t="e">
        <f ca="1">IF(AND(C2="——",B37="元/平方米"),C39,ROUND(B2*10000/D3,0))</f>
        <v>#DIV/0!</v>
      </c>
      <c r="C3" s="1296" t="s">
        <v>1016</v>
      </c>
      <c r="D3" s="1297">
        <f>SUMIF('数据-汇总表'!$C19:$C33,D1,'数据-汇总表'!$E19:$E33)</f>
        <v>0</v>
      </c>
      <c r="E3" s="1296" t="s">
        <v>1547</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1017</v>
      </c>
      <c r="B4" s="925"/>
      <c r="C4" s="3458" t="s">
        <v>1018</v>
      </c>
      <c r="D4" s="3459"/>
      <c r="E4" s="3460" t="s">
        <v>1019</v>
      </c>
      <c r="F4" s="3461"/>
      <c r="G4" s="3458" t="s">
        <v>1020</v>
      </c>
      <c r="H4" s="3459"/>
      <c r="I4" s="3458" t="s">
        <v>1021</v>
      </c>
      <c r="J4" s="3459"/>
      <c r="K4" s="1071" t="s">
        <v>1022</v>
      </c>
      <c r="L4" s="1072"/>
      <c r="M4" s="1073"/>
      <c r="N4" s="1073"/>
      <c r="O4" s="1073"/>
      <c r="P4" s="3428" t="s">
        <v>1023</v>
      </c>
      <c r="Q4" s="3429"/>
      <c r="R4" s="3434" t="s">
        <v>1019</v>
      </c>
      <c r="S4" s="3435"/>
      <c r="T4" s="3434" t="s">
        <v>1020</v>
      </c>
      <c r="U4" s="3435"/>
      <c r="V4" s="3440" t="s">
        <v>1021</v>
      </c>
      <c r="W4" s="3440"/>
      <c r="X4" s="1115"/>
      <c r="Y4" s="3434" t="s">
        <v>1023</v>
      </c>
      <c r="Z4" s="3435"/>
      <c r="AA4" s="3425" t="s">
        <v>1019</v>
      </c>
      <c r="AB4" s="3426" t="s">
        <v>1020</v>
      </c>
      <c r="AC4" s="3425" t="s">
        <v>1021</v>
      </c>
    </row>
    <row r="5" spans="1:29" ht="15">
      <c r="A5" s="926"/>
      <c r="B5" s="927"/>
      <c r="C5" s="3498" t="s">
        <v>1024</v>
      </c>
      <c r="D5" s="3463"/>
      <c r="E5" s="3499" t="s">
        <v>1497</v>
      </c>
      <c r="F5" s="3465"/>
      <c r="G5" s="3498" t="s">
        <v>1498</v>
      </c>
      <c r="H5" s="3463"/>
      <c r="I5" s="3498" t="s">
        <v>1499</v>
      </c>
      <c r="J5" s="3463"/>
      <c r="K5" s="1071"/>
      <c r="L5" s="1072"/>
      <c r="M5" s="1073"/>
      <c r="N5" s="1073"/>
      <c r="O5" s="1073"/>
      <c r="P5" s="3430"/>
      <c r="Q5" s="3431"/>
      <c r="R5" s="3436"/>
      <c r="S5" s="3437"/>
      <c r="T5" s="3436"/>
      <c r="U5" s="3437"/>
      <c r="V5" s="3440"/>
      <c r="W5" s="3440"/>
      <c r="X5" s="1115"/>
      <c r="Y5" s="3436"/>
      <c r="Z5" s="3437"/>
      <c r="AA5" s="3426"/>
      <c r="AB5" s="3426"/>
      <c r="AC5" s="3426"/>
    </row>
    <row r="6" spans="1:29" ht="15">
      <c r="A6" s="928"/>
      <c r="B6" s="929"/>
      <c r="C6" s="3453" t="s">
        <v>1025</v>
      </c>
      <c r="D6" s="3454"/>
      <c r="E6" s="3455" t="s">
        <v>1025</v>
      </c>
      <c r="F6" s="3456"/>
      <c r="G6" s="3453" t="s">
        <v>1025</v>
      </c>
      <c r="H6" s="3454"/>
      <c r="I6" s="3453" t="s">
        <v>1025</v>
      </c>
      <c r="J6" s="3454"/>
      <c r="K6" s="1071" t="s">
        <v>1026</v>
      </c>
      <c r="L6" s="1072"/>
      <c r="M6" s="1073"/>
      <c r="N6" s="1073"/>
      <c r="O6" s="1073"/>
      <c r="P6" s="3432"/>
      <c r="Q6" s="3433"/>
      <c r="R6" s="3436"/>
      <c r="S6" s="3437"/>
      <c r="T6" s="3438"/>
      <c r="U6" s="3439"/>
      <c r="V6" s="3440"/>
      <c r="W6" s="3440"/>
      <c r="X6" s="1115"/>
      <c r="Y6" s="3438"/>
      <c r="Z6" s="3439"/>
      <c r="AA6" s="3427"/>
      <c r="AB6" s="3427"/>
      <c r="AC6" s="3427"/>
    </row>
    <row r="7" spans="1:29" s="905" customFormat="1" ht="15">
      <c r="A7" s="930" t="s">
        <v>1027</v>
      </c>
      <c r="B7" s="931"/>
      <c r="C7" s="932">
        <f>'数据-取费表'!B2</f>
        <v>44725</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46" t="s">
        <v>1028</v>
      </c>
      <c r="Q7" s="3457"/>
      <c r="R7" s="1116" t="s">
        <v>1029</v>
      </c>
      <c r="S7" s="1117">
        <f t="shared" ref="S7:S14" si="0">F7</f>
        <v>0</v>
      </c>
      <c r="T7" s="1116" t="s">
        <v>1029</v>
      </c>
      <c r="U7" s="1117">
        <f t="shared" ref="U7:U14" si="1">H7</f>
        <v>0</v>
      </c>
      <c r="V7" s="1116" t="s">
        <v>1029</v>
      </c>
      <c r="W7" s="1117">
        <f t="shared" ref="W7:W14" si="2">J7</f>
        <v>0</v>
      </c>
      <c r="X7" s="1118"/>
      <c r="Y7" s="3446" t="s">
        <v>1028</v>
      </c>
      <c r="Z7" s="3447"/>
      <c r="AA7" s="1130" t="e">
        <f>D7/F7</f>
        <v>#DIV/0!</v>
      </c>
      <c r="AB7" s="1130" t="e">
        <f>D7/H7</f>
        <v>#DIV/0!</v>
      </c>
      <c r="AC7" s="1130" t="e">
        <f>D7/J7</f>
        <v>#DIV/0!</v>
      </c>
    </row>
    <row r="8" spans="1:29" s="905" customFormat="1" ht="15">
      <c r="A8" s="930" t="s">
        <v>1030</v>
      </c>
      <c r="B8" s="931"/>
      <c r="C8" s="937" t="s">
        <v>1031</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46" t="s">
        <v>1032</v>
      </c>
      <c r="Q8" s="3447"/>
      <c r="R8" s="1116" t="s">
        <v>1029</v>
      </c>
      <c r="S8" s="1117">
        <f t="shared" si="0"/>
        <v>0</v>
      </c>
      <c r="T8" s="1116" t="s">
        <v>1029</v>
      </c>
      <c r="U8" s="1117">
        <f t="shared" si="1"/>
        <v>0</v>
      </c>
      <c r="V8" s="1116" t="s">
        <v>1029</v>
      </c>
      <c r="W8" s="1117">
        <f t="shared" si="2"/>
        <v>0</v>
      </c>
      <c r="X8" s="1118"/>
      <c r="Y8" s="3446" t="s">
        <v>1032</v>
      </c>
      <c r="Z8" s="3447"/>
      <c r="AA8" s="1130" t="e">
        <f t="shared" ref="AA8:AA36" si="3">D8/F8</f>
        <v>#DIV/0!</v>
      </c>
      <c r="AB8" s="1130" t="e">
        <f t="shared" ref="AB8:AB36" si="4">D8/H8</f>
        <v>#DIV/0!</v>
      </c>
      <c r="AC8" s="1130" t="e">
        <f t="shared" ref="AC8:AC36" si="5">D8/J8</f>
        <v>#DIV/0!</v>
      </c>
    </row>
    <row r="9" spans="1:29" s="905" customFormat="1">
      <c r="A9" s="1365" t="s">
        <v>1033</v>
      </c>
      <c r="B9" s="1366" t="s">
        <v>1034</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41" t="s">
        <v>1035</v>
      </c>
      <c r="Q9" s="1120" t="str">
        <f t="shared" ref="Q9:Q14" si="6">B9</f>
        <v>用途</v>
      </c>
      <c r="R9" s="1116" t="s">
        <v>1029</v>
      </c>
      <c r="S9" s="1117">
        <f t="shared" si="0"/>
        <v>100</v>
      </c>
      <c r="T9" s="1116" t="s">
        <v>1029</v>
      </c>
      <c r="U9" s="1117">
        <f t="shared" si="1"/>
        <v>100</v>
      </c>
      <c r="V9" s="1116" t="s">
        <v>1029</v>
      </c>
      <c r="W9" s="1117">
        <f t="shared" si="2"/>
        <v>100</v>
      </c>
      <c r="X9" s="1118"/>
      <c r="Y9" s="3334" t="s">
        <v>1036</v>
      </c>
      <c r="Z9" s="1131" t="str">
        <f t="shared" ref="Z9:Z14" si="7">Q9</f>
        <v>用途</v>
      </c>
      <c r="AA9" s="1130">
        <f t="shared" si="3"/>
        <v>1</v>
      </c>
      <c r="AB9" s="1130">
        <f t="shared" si="4"/>
        <v>1</v>
      </c>
      <c r="AC9" s="1130">
        <f t="shared" si="5"/>
        <v>1</v>
      </c>
    </row>
    <row r="10" spans="1:29" s="906" customFormat="1" ht="27">
      <c r="A10" s="1368"/>
      <c r="B10" s="1369" t="s">
        <v>1037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41"/>
      <c r="Q10" s="1120" t="str">
        <f t="shared" si="6"/>
        <v>土地使用年限（年）</v>
      </c>
      <c r="R10" s="1116" t="s">
        <v>1029</v>
      </c>
      <c r="S10" s="1117">
        <f t="shared" si="0"/>
        <v>100</v>
      </c>
      <c r="T10" s="1116" t="s">
        <v>1029</v>
      </c>
      <c r="U10" s="1117">
        <f t="shared" si="1"/>
        <v>100</v>
      </c>
      <c r="V10" s="1116" t="s">
        <v>1029</v>
      </c>
      <c r="W10" s="1117">
        <f t="shared" si="2"/>
        <v>100</v>
      </c>
      <c r="X10" s="1118"/>
      <c r="Y10" s="3334"/>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41"/>
      <c r="Q11" s="1120">
        <f t="shared" si="6"/>
        <v>111</v>
      </c>
      <c r="R11" s="1116" t="s">
        <v>1029</v>
      </c>
      <c r="S11" s="1117">
        <f t="shared" si="0"/>
        <v>100</v>
      </c>
      <c r="T11" s="1116" t="s">
        <v>1029</v>
      </c>
      <c r="U11" s="1117">
        <f t="shared" si="1"/>
        <v>100</v>
      </c>
      <c r="V11" s="1116" t="s">
        <v>1029</v>
      </c>
      <c r="W11" s="1117">
        <f t="shared" si="2"/>
        <v>100</v>
      </c>
      <c r="X11" s="1118"/>
      <c r="Y11" s="3334"/>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41"/>
      <c r="Q12" s="1120">
        <f t="shared" si="6"/>
        <v>111</v>
      </c>
      <c r="R12" s="1116" t="s">
        <v>1029</v>
      </c>
      <c r="S12" s="1117">
        <f t="shared" si="0"/>
        <v>100</v>
      </c>
      <c r="T12" s="1116" t="s">
        <v>1029</v>
      </c>
      <c r="U12" s="1117">
        <f t="shared" si="1"/>
        <v>100</v>
      </c>
      <c r="V12" s="1116" t="s">
        <v>1029</v>
      </c>
      <c r="W12" s="1117">
        <f t="shared" si="2"/>
        <v>100</v>
      </c>
      <c r="X12" s="1118"/>
      <c r="Y12" s="3334"/>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41"/>
      <c r="Q13" s="1120">
        <f t="shared" si="6"/>
        <v>111</v>
      </c>
      <c r="R13" s="1116" t="s">
        <v>1029</v>
      </c>
      <c r="S13" s="1117">
        <f t="shared" si="0"/>
        <v>100</v>
      </c>
      <c r="T13" s="1116" t="s">
        <v>1029</v>
      </c>
      <c r="U13" s="1117">
        <f t="shared" si="1"/>
        <v>100</v>
      </c>
      <c r="V13" s="1116" t="s">
        <v>1029</v>
      </c>
      <c r="W13" s="1117">
        <f t="shared" si="2"/>
        <v>100</v>
      </c>
      <c r="X13" s="1118"/>
      <c r="Y13" s="3334"/>
      <c r="Z13" s="1131">
        <f t="shared" si="7"/>
        <v>111</v>
      </c>
      <c r="AA13" s="1130">
        <f t="shared" si="3"/>
        <v>1</v>
      </c>
      <c r="AB13" s="1130">
        <f t="shared" si="4"/>
        <v>1</v>
      </c>
      <c r="AC13" s="1130">
        <f t="shared" si="5"/>
        <v>1</v>
      </c>
    </row>
    <row r="14" spans="1:29" ht="15">
      <c r="A14" s="924" t="s">
        <v>1039</v>
      </c>
      <c r="B14" s="961" t="s">
        <v>1042</v>
      </c>
      <c r="C14" s="962">
        <f>IF(B1="工业",估价对象房地状况!G4,估价对象房地状况!C6)</f>
        <v>0</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48" t="s">
        <v>1041</v>
      </c>
      <c r="Q14" s="681" t="str">
        <f t="shared" si="6"/>
        <v>交通便捷度</v>
      </c>
      <c r="R14" s="1121" t="s">
        <v>1029</v>
      </c>
      <c r="S14" s="1122">
        <f t="shared" si="0"/>
        <v>100</v>
      </c>
      <c r="T14" s="1121" t="s">
        <v>1029</v>
      </c>
      <c r="U14" s="1122">
        <f t="shared" si="1"/>
        <v>100</v>
      </c>
      <c r="V14" s="1121" t="s">
        <v>1029</v>
      </c>
      <c r="W14" s="1122">
        <f t="shared" si="2"/>
        <v>100</v>
      </c>
      <c r="X14" s="1115"/>
      <c r="Y14" s="3448" t="s">
        <v>1041</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49"/>
      <c r="Q15" s="681"/>
      <c r="R15" s="1121"/>
      <c r="S15" s="1122"/>
      <c r="T15" s="1121"/>
      <c r="U15" s="1122"/>
      <c r="V15" s="1121"/>
      <c r="W15" s="1122"/>
      <c r="X15" s="1115"/>
      <c r="Y15" s="3449"/>
      <c r="Z15" s="1105"/>
      <c r="AA15" s="1132">
        <v>1</v>
      </c>
      <c r="AB15" s="1132">
        <v>1</v>
      </c>
      <c r="AC15" s="1132">
        <v>1</v>
      </c>
    </row>
    <row r="16" spans="1:29" ht="15">
      <c r="A16" s="926"/>
      <c r="B16" s="970" t="s">
        <v>1043</v>
      </c>
      <c r="C16" s="971">
        <f>IF(B1="工业",估价对象房地状况!G5,估价对象房地状况!C7)</f>
        <v>0</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49"/>
      <c r="Q16" s="681" t="str">
        <f>B16</f>
        <v>公共配套设施</v>
      </c>
      <c r="R16" s="1121" t="s">
        <v>1029</v>
      </c>
      <c r="S16" s="1122">
        <f>F16</f>
        <v>100</v>
      </c>
      <c r="T16" s="1121" t="s">
        <v>1029</v>
      </c>
      <c r="U16" s="1122">
        <f>H16</f>
        <v>100</v>
      </c>
      <c r="V16" s="1121" t="s">
        <v>1029</v>
      </c>
      <c r="W16" s="1122">
        <f>J16</f>
        <v>100</v>
      </c>
      <c r="X16" s="1115"/>
      <c r="Y16" s="3449"/>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49"/>
      <c r="Q17" s="681"/>
      <c r="R17" s="1121"/>
      <c r="S17" s="1122"/>
      <c r="T17" s="1121"/>
      <c r="U17" s="1122"/>
      <c r="V17" s="1121"/>
      <c r="W17" s="1122"/>
      <c r="X17" s="1115"/>
      <c r="Y17" s="3449"/>
      <c r="Z17" s="1105"/>
      <c r="AA17" s="1132">
        <v>1</v>
      </c>
      <c r="AB17" s="1132">
        <v>1</v>
      </c>
      <c r="AC17" s="1132">
        <v>1</v>
      </c>
    </row>
    <row r="18" spans="1:29" ht="15">
      <c r="A18" s="926"/>
      <c r="B18" s="977" t="s">
        <v>1044</v>
      </c>
      <c r="C18" s="971">
        <f>IF(B1="工业",估价对象房地状况!G6,估价对象房地状况!C8)</f>
        <v>0</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49"/>
      <c r="Q18" s="681" t="str">
        <f>B18</f>
        <v>基础设施水平</v>
      </c>
      <c r="R18" s="1121" t="s">
        <v>1029</v>
      </c>
      <c r="S18" s="1122">
        <f>F18</f>
        <v>100</v>
      </c>
      <c r="T18" s="1121" t="s">
        <v>1029</v>
      </c>
      <c r="U18" s="1122">
        <f>H18</f>
        <v>100</v>
      </c>
      <c r="V18" s="1121" t="s">
        <v>1029</v>
      </c>
      <c r="W18" s="1122">
        <f>J18</f>
        <v>100</v>
      </c>
      <c r="X18" s="1115"/>
      <c r="Y18" s="3449"/>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49"/>
      <c r="Q19" s="681"/>
      <c r="R19" s="1121"/>
      <c r="S19" s="1122"/>
      <c r="T19" s="1121"/>
      <c r="U19" s="1122"/>
      <c r="V19" s="1121"/>
      <c r="W19" s="1122"/>
      <c r="X19" s="1115"/>
      <c r="Y19" s="3449"/>
      <c r="Z19" s="1105"/>
      <c r="AA19" s="1132">
        <v>1</v>
      </c>
      <c r="AB19" s="1132">
        <v>1</v>
      </c>
      <c r="AC19" s="1132">
        <v>1</v>
      </c>
    </row>
    <row r="20" spans="1:29" ht="15">
      <c r="A20" s="926"/>
      <c r="B20" s="970" t="s">
        <v>1501</v>
      </c>
      <c r="C20" s="971">
        <f>IF(B1="工业",估价对象房地状况!G7,估价对象房地状况!C9)</f>
        <v>0</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49"/>
      <c r="Q20" s="681" t="str">
        <f>B20</f>
        <v>自然及人文环境</v>
      </c>
      <c r="R20" s="1121" t="s">
        <v>1029</v>
      </c>
      <c r="S20" s="1122">
        <f>F20</f>
        <v>100</v>
      </c>
      <c r="T20" s="1121" t="s">
        <v>1029</v>
      </c>
      <c r="U20" s="1122">
        <f>H20</f>
        <v>100</v>
      </c>
      <c r="V20" s="1121" t="s">
        <v>1029</v>
      </c>
      <c r="W20" s="1122">
        <f>J20</f>
        <v>100</v>
      </c>
      <c r="X20" s="1115"/>
      <c r="Y20" s="3449"/>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49"/>
      <c r="Q21" s="681"/>
      <c r="R21" s="1121"/>
      <c r="S21" s="1122"/>
      <c r="T21" s="1121"/>
      <c r="U21" s="1122"/>
      <c r="V21" s="1121"/>
      <c r="W21" s="1122"/>
      <c r="X21" s="1115"/>
      <c r="Y21" s="3449"/>
      <c r="Z21" s="1105"/>
      <c r="AA21" s="1132">
        <v>1</v>
      </c>
      <c r="AB21" s="1132">
        <v>1</v>
      </c>
      <c r="AC21" s="1132">
        <v>1</v>
      </c>
    </row>
    <row r="22" spans="1:29" ht="15">
      <c r="A22" s="926"/>
      <c r="B22" s="970" t="s">
        <v>1533</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49"/>
      <c r="Q22" s="681" t="str">
        <f>B22</f>
        <v>楼层</v>
      </c>
      <c r="R22" s="1121" t="s">
        <v>1029</v>
      </c>
      <c r="S22" s="1122">
        <f>F22</f>
        <v>100</v>
      </c>
      <c r="T22" s="1121" t="s">
        <v>1029</v>
      </c>
      <c r="U22" s="1122">
        <f>H22</f>
        <v>100</v>
      </c>
      <c r="V22" s="1121" t="s">
        <v>1029</v>
      </c>
      <c r="W22" s="1122">
        <f>J22</f>
        <v>100</v>
      </c>
      <c r="X22" s="1115"/>
      <c r="Y22" s="3449"/>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49"/>
      <c r="Q23" s="681">
        <f>B23</f>
        <v>111</v>
      </c>
      <c r="R23" s="1121" t="s">
        <v>1029</v>
      </c>
      <c r="S23" s="1122">
        <f>F23</f>
        <v>100</v>
      </c>
      <c r="T23" s="1121" t="s">
        <v>1029</v>
      </c>
      <c r="U23" s="1122">
        <f>H23</f>
        <v>100</v>
      </c>
      <c r="V23" s="1121" t="s">
        <v>1029</v>
      </c>
      <c r="W23" s="1122">
        <f>J23</f>
        <v>100</v>
      </c>
      <c r="X23" s="1115"/>
      <c r="Y23" s="3449"/>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49"/>
      <c r="Q24" s="681">
        <f t="shared" ref="Q24:Q36" si="11">B24</f>
        <v>111</v>
      </c>
      <c r="R24" s="1121" t="s">
        <v>1029</v>
      </c>
      <c r="S24" s="1122">
        <f>F24</f>
        <v>100</v>
      </c>
      <c r="T24" s="1121" t="s">
        <v>1029</v>
      </c>
      <c r="U24" s="1122">
        <f>H24</f>
        <v>100</v>
      </c>
      <c r="V24" s="1121" t="s">
        <v>1029</v>
      </c>
      <c r="W24" s="1122">
        <f>J24</f>
        <v>100</v>
      </c>
      <c r="X24" s="1115"/>
      <c r="Y24" s="3449"/>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49"/>
      <c r="Q25" s="1120">
        <f t="shared" si="11"/>
        <v>111</v>
      </c>
      <c r="R25" s="1116" t="s">
        <v>1029</v>
      </c>
      <c r="S25" s="1117">
        <f>F25</f>
        <v>100</v>
      </c>
      <c r="T25" s="1116" t="s">
        <v>1029</v>
      </c>
      <c r="U25" s="1117">
        <f>H25</f>
        <v>100</v>
      </c>
      <c r="V25" s="1116" t="s">
        <v>1029</v>
      </c>
      <c r="W25" s="1117">
        <f>J25</f>
        <v>100</v>
      </c>
      <c r="X25" s="1118"/>
      <c r="Y25" s="3449"/>
      <c r="Z25" s="1131">
        <f>Q25</f>
        <v>111</v>
      </c>
      <c r="AA25" s="1132">
        <f t="shared" si="3"/>
        <v>1</v>
      </c>
      <c r="AB25" s="1132">
        <f t="shared" si="4"/>
        <v>1</v>
      </c>
      <c r="AC25" s="1132">
        <f t="shared" si="5"/>
        <v>1</v>
      </c>
    </row>
    <row r="26" spans="1:29" ht="28.5">
      <c r="A26" s="1381" t="s">
        <v>1048</v>
      </c>
      <c r="B26" s="1382" t="s">
        <v>1548</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450" t="s">
        <v>1051</v>
      </c>
      <c r="Q26" s="681" t="str">
        <f t="shared" si="11"/>
        <v>配套类型</v>
      </c>
      <c r="R26" s="1121" t="s">
        <v>1029</v>
      </c>
      <c r="S26" s="1122">
        <f t="shared" ref="S26:S36" si="12">F26</f>
        <v>100</v>
      </c>
      <c r="T26" s="1121" t="s">
        <v>1029</v>
      </c>
      <c r="U26" s="1122">
        <f t="shared" ref="U26:U36" si="13">H26</f>
        <v>100</v>
      </c>
      <c r="V26" s="1121" t="s">
        <v>1029</v>
      </c>
      <c r="W26" s="1122">
        <f t="shared" ref="W26:W36" si="14">J26</f>
        <v>100</v>
      </c>
      <c r="X26" s="1115"/>
      <c r="Y26" s="3451" t="s">
        <v>1051</v>
      </c>
      <c r="Z26" s="1105" t="str">
        <f t="shared" ref="Z26:Z36" si="15">Q26</f>
        <v>配套类型</v>
      </c>
      <c r="AA26" s="1132">
        <f t="shared" si="3"/>
        <v>1</v>
      </c>
      <c r="AB26" s="1132">
        <f t="shared" si="4"/>
        <v>1</v>
      </c>
      <c r="AC26" s="1132">
        <f t="shared" si="5"/>
        <v>1</v>
      </c>
    </row>
    <row r="27" spans="1:29" s="907" customFormat="1" ht="15">
      <c r="A27" s="1384"/>
      <c r="B27" s="983" t="s">
        <v>1549</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51"/>
      <c r="Q27" s="1348" t="str">
        <f t="shared" si="11"/>
        <v>项目停车位配比</v>
      </c>
      <c r="R27" s="1123" t="s">
        <v>1029</v>
      </c>
      <c r="S27" s="1124">
        <f t="shared" si="12"/>
        <v>100</v>
      </c>
      <c r="T27" s="1123" t="s">
        <v>1029</v>
      </c>
      <c r="U27" s="1124">
        <f t="shared" si="13"/>
        <v>100</v>
      </c>
      <c r="V27" s="1123" t="s">
        <v>1029</v>
      </c>
      <c r="W27" s="1124">
        <f t="shared" si="14"/>
        <v>100</v>
      </c>
      <c r="X27" s="1125"/>
      <c r="Y27" s="3451"/>
      <c r="Z27" s="1133" t="str">
        <f t="shared" si="15"/>
        <v>项目停车位配比</v>
      </c>
      <c r="AA27" s="1132">
        <f t="shared" si="3"/>
        <v>1</v>
      </c>
      <c r="AB27" s="1132">
        <f t="shared" si="4"/>
        <v>1</v>
      </c>
      <c r="AC27" s="1132">
        <f t="shared" si="5"/>
        <v>1</v>
      </c>
    </row>
    <row r="28" spans="1:29" ht="15">
      <c r="A28" s="1386"/>
      <c r="B28" s="983" t="s">
        <v>1055</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51"/>
      <c r="Q28" s="681" t="str">
        <f t="shared" si="11"/>
        <v>公共部分装修</v>
      </c>
      <c r="R28" s="1121" t="s">
        <v>1029</v>
      </c>
      <c r="S28" s="1122">
        <f t="shared" si="12"/>
        <v>100</v>
      </c>
      <c r="T28" s="1121" t="s">
        <v>1029</v>
      </c>
      <c r="U28" s="1122">
        <f t="shared" si="13"/>
        <v>100</v>
      </c>
      <c r="V28" s="1121" t="s">
        <v>1029</v>
      </c>
      <c r="W28" s="1122">
        <f t="shared" si="14"/>
        <v>100</v>
      </c>
      <c r="X28" s="1115"/>
      <c r="Y28" s="3451"/>
      <c r="Z28" s="1105" t="str">
        <f t="shared" si="15"/>
        <v>公共部分装修</v>
      </c>
      <c r="AA28" s="1132">
        <f t="shared" si="3"/>
        <v>1</v>
      </c>
      <c r="AB28" s="1132">
        <f t="shared" si="4"/>
        <v>1</v>
      </c>
      <c r="AC28" s="1132">
        <f t="shared" si="5"/>
        <v>1</v>
      </c>
    </row>
    <row r="29" spans="1:29" ht="15">
      <c r="A29" s="1386"/>
      <c r="B29" s="983" t="s">
        <v>1550</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51"/>
      <c r="Q29" s="681" t="str">
        <f t="shared" si="11"/>
        <v>成新率</v>
      </c>
      <c r="R29" s="1121" t="s">
        <v>1029</v>
      </c>
      <c r="S29" s="1122" t="e">
        <f t="shared" si="12"/>
        <v>#N/A</v>
      </c>
      <c r="T29" s="1121" t="s">
        <v>1029</v>
      </c>
      <c r="U29" s="1122" t="e">
        <f t="shared" si="13"/>
        <v>#N/A</v>
      </c>
      <c r="V29" s="1121" t="s">
        <v>1029</v>
      </c>
      <c r="W29" s="1122" t="e">
        <f t="shared" si="14"/>
        <v>#N/A</v>
      </c>
      <c r="X29" s="1115"/>
      <c r="Y29" s="3451"/>
      <c r="Z29" s="1105" t="str">
        <f t="shared" si="15"/>
        <v>成新率</v>
      </c>
      <c r="AA29" s="1132" t="e">
        <f t="shared" si="3"/>
        <v>#N/A</v>
      </c>
      <c r="AB29" s="1132" t="e">
        <f t="shared" si="4"/>
        <v>#N/A</v>
      </c>
      <c r="AC29" s="1132" t="e">
        <f t="shared" si="5"/>
        <v>#N/A</v>
      </c>
    </row>
    <row r="30" spans="1:29" ht="15">
      <c r="A30" s="1386"/>
      <c r="B30" s="983" t="s">
        <v>1551</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51"/>
      <c r="Q30" s="681" t="str">
        <f t="shared" si="11"/>
        <v>物业等级</v>
      </c>
      <c r="R30" s="1121" t="s">
        <v>1029</v>
      </c>
      <c r="S30" s="1122">
        <f t="shared" si="12"/>
        <v>100</v>
      </c>
      <c r="T30" s="1121" t="s">
        <v>1029</v>
      </c>
      <c r="U30" s="1122">
        <f t="shared" si="13"/>
        <v>100</v>
      </c>
      <c r="V30" s="1121" t="s">
        <v>1029</v>
      </c>
      <c r="W30" s="1122">
        <f t="shared" si="14"/>
        <v>100</v>
      </c>
      <c r="X30" s="1115"/>
      <c r="Y30" s="3451"/>
      <c r="Z30" s="1105" t="str">
        <f t="shared" si="15"/>
        <v>物业等级</v>
      </c>
      <c r="AA30" s="1132">
        <f t="shared" si="3"/>
        <v>1</v>
      </c>
      <c r="AB30" s="1132">
        <f t="shared" si="4"/>
        <v>1</v>
      </c>
      <c r="AC30" s="1132">
        <f t="shared" si="5"/>
        <v>1</v>
      </c>
    </row>
    <row r="31" spans="1:29" s="905" customFormat="1" ht="15">
      <c r="A31" s="1387"/>
      <c r="B31" s="983" t="s">
        <v>1552</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51"/>
      <c r="Q31" s="1120" t="str">
        <f t="shared" si="11"/>
        <v>停车位面积</v>
      </c>
      <c r="R31" s="1116" t="s">
        <v>1029</v>
      </c>
      <c r="S31" s="1117" t="e">
        <f t="shared" si="12"/>
        <v>#N/A</v>
      </c>
      <c r="T31" s="1116" t="s">
        <v>1029</v>
      </c>
      <c r="U31" s="1117" t="e">
        <f t="shared" si="13"/>
        <v>#N/A</v>
      </c>
      <c r="V31" s="1116" t="s">
        <v>1029</v>
      </c>
      <c r="W31" s="1117" t="e">
        <f t="shared" si="14"/>
        <v>#N/A</v>
      </c>
      <c r="X31" s="1118"/>
      <c r="Y31" s="3451"/>
      <c r="Z31" s="1131" t="str">
        <f t="shared" si="15"/>
        <v>停车位面积</v>
      </c>
      <c r="AA31" s="1130" t="e">
        <f t="shared" si="3"/>
        <v>#N/A</v>
      </c>
      <c r="AB31" s="1130" t="e">
        <f t="shared" si="4"/>
        <v>#N/A</v>
      </c>
      <c r="AC31" s="1130" t="e">
        <f t="shared" si="5"/>
        <v>#N/A</v>
      </c>
    </row>
    <row r="32" spans="1:29" ht="15">
      <c r="A32" s="1386"/>
      <c r="B32" s="983" t="s">
        <v>1553</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51" t="s">
        <v>1051</v>
      </c>
      <c r="Q32" s="681" t="str">
        <f t="shared" si="11"/>
        <v>车位类型</v>
      </c>
      <c r="R32" s="1121" t="s">
        <v>1029</v>
      </c>
      <c r="S32" s="1122">
        <f t="shared" si="12"/>
        <v>100</v>
      </c>
      <c r="T32" s="1121" t="s">
        <v>1029</v>
      </c>
      <c r="U32" s="1122">
        <f t="shared" si="13"/>
        <v>100</v>
      </c>
      <c r="V32" s="1121" t="s">
        <v>1029</v>
      </c>
      <c r="W32" s="1122">
        <f t="shared" si="14"/>
        <v>100</v>
      </c>
      <c r="X32" s="1115"/>
      <c r="Y32" s="3451" t="s">
        <v>1051</v>
      </c>
      <c r="Z32" s="1105" t="str">
        <f t="shared" si="15"/>
        <v>车位类型</v>
      </c>
      <c r="AA32" s="1132">
        <f t="shared" si="3"/>
        <v>1</v>
      </c>
      <c r="AB32" s="1132">
        <f t="shared" si="4"/>
        <v>1</v>
      </c>
      <c r="AC32" s="1132">
        <f t="shared" si="5"/>
        <v>1</v>
      </c>
    </row>
    <row r="33" spans="1:29" ht="15">
      <c r="A33" s="1386"/>
      <c r="B33" s="983" t="s">
        <v>1554</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51"/>
      <c r="Q33" s="681" t="str">
        <f t="shared" si="11"/>
        <v>是否直接入户</v>
      </c>
      <c r="R33" s="1121" t="s">
        <v>1029</v>
      </c>
      <c r="S33" s="1122">
        <f t="shared" si="12"/>
        <v>100</v>
      </c>
      <c r="T33" s="1121" t="s">
        <v>1029</v>
      </c>
      <c r="U33" s="1122">
        <f t="shared" si="13"/>
        <v>100</v>
      </c>
      <c r="V33" s="1121" t="s">
        <v>1029</v>
      </c>
      <c r="W33" s="1122">
        <f t="shared" si="14"/>
        <v>100</v>
      </c>
      <c r="X33" s="1115"/>
      <c r="Y33" s="3451"/>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51"/>
      <c r="Q34" s="681">
        <f t="shared" si="11"/>
        <v>111</v>
      </c>
      <c r="R34" s="1121" t="s">
        <v>1029</v>
      </c>
      <c r="S34" s="1122">
        <f t="shared" si="12"/>
        <v>100</v>
      </c>
      <c r="T34" s="1121" t="s">
        <v>1029</v>
      </c>
      <c r="U34" s="1122">
        <f t="shared" si="13"/>
        <v>100</v>
      </c>
      <c r="V34" s="1121" t="s">
        <v>1029</v>
      </c>
      <c r="W34" s="1122">
        <f t="shared" si="14"/>
        <v>100</v>
      </c>
      <c r="X34" s="1115"/>
      <c r="Y34" s="3451"/>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51"/>
      <c r="Q35" s="1348">
        <f t="shared" si="11"/>
        <v>111</v>
      </c>
      <c r="R35" s="1123" t="s">
        <v>1029</v>
      </c>
      <c r="S35" s="1124">
        <f t="shared" si="12"/>
        <v>100</v>
      </c>
      <c r="T35" s="1123" t="s">
        <v>1029</v>
      </c>
      <c r="U35" s="1124">
        <f t="shared" si="13"/>
        <v>100</v>
      </c>
      <c r="V35" s="1123" t="s">
        <v>1029</v>
      </c>
      <c r="W35" s="1124">
        <f t="shared" si="14"/>
        <v>100</v>
      </c>
      <c r="X35" s="1125"/>
      <c r="Y35" s="3451"/>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51"/>
      <c r="Q36" s="681">
        <f t="shared" si="11"/>
        <v>111</v>
      </c>
      <c r="R36" s="1121" t="s">
        <v>1029</v>
      </c>
      <c r="S36" s="1122">
        <f t="shared" si="12"/>
        <v>100</v>
      </c>
      <c r="T36" s="1121" t="s">
        <v>1029</v>
      </c>
      <c r="U36" s="1122">
        <f t="shared" si="13"/>
        <v>100</v>
      </c>
      <c r="V36" s="1121" t="s">
        <v>1029</v>
      </c>
      <c r="W36" s="1122">
        <f t="shared" si="14"/>
        <v>100</v>
      </c>
      <c r="X36" s="1115"/>
      <c r="Y36" s="3451"/>
      <c r="Z36" s="1105">
        <f t="shared" si="15"/>
        <v>111</v>
      </c>
      <c r="AA36" s="1132">
        <f t="shared" si="3"/>
        <v>1</v>
      </c>
      <c r="AB36" s="1132">
        <f t="shared" si="4"/>
        <v>1</v>
      </c>
      <c r="AC36" s="1132">
        <f t="shared" si="5"/>
        <v>1</v>
      </c>
    </row>
    <row r="37" spans="1:29" ht="15">
      <c r="A37" s="1004" t="s">
        <v>1555</v>
      </c>
      <c r="B37" s="1389" t="s">
        <v>1556</v>
      </c>
      <c r="C37" s="1324" t="s">
        <v>124</v>
      </c>
      <c r="D37" s="1325"/>
      <c r="E37" s="1326"/>
      <c r="F37" s="1327"/>
      <c r="G37" s="1328"/>
      <c r="H37" s="1329"/>
      <c r="I37" s="1326"/>
      <c r="J37" s="1329"/>
      <c r="K37" s="1398"/>
      <c r="L37" s="1097"/>
      <c r="M37" s="1021"/>
      <c r="N37" s="1073"/>
      <c r="O37" s="1021"/>
      <c r="P37" s="3441" t="str">
        <f>A37</f>
        <v>成交单价</v>
      </c>
      <c r="Q37" s="3441"/>
      <c r="R37" s="3442">
        <f>E37</f>
        <v>0</v>
      </c>
      <c r="S37" s="3442"/>
      <c r="T37" s="3442">
        <f>G37</f>
        <v>0</v>
      </c>
      <c r="U37" s="3442"/>
      <c r="V37" s="3442">
        <f>I37</f>
        <v>0</v>
      </c>
      <c r="W37" s="3442"/>
      <c r="X37" s="1061"/>
      <c r="Y37" s="1134"/>
      <c r="Z37" s="1061"/>
      <c r="AA37" s="1061"/>
      <c r="AB37" s="1061"/>
      <c r="AC37" s="1061"/>
    </row>
    <row r="38" spans="1:29" ht="15">
      <c r="A38" s="1012" t="s">
        <v>1065</v>
      </c>
      <c r="B38" s="1330" t="str">
        <f>B37</f>
        <v>元/车位</v>
      </c>
      <c r="C38" s="1331" t="e">
        <f>R39</f>
        <v>#DIV/0!</v>
      </c>
      <c r="D38" s="1015" t="s">
        <v>1066</v>
      </c>
      <c r="E38" s="1332" t="e">
        <f>R38</f>
        <v>#DIV/0!</v>
      </c>
      <c r="F38" s="1016"/>
      <c r="G38" s="1331" t="e">
        <f>T38</f>
        <v>#DIV/0!</v>
      </c>
      <c r="H38" s="1016"/>
      <c r="I38" s="1332" t="e">
        <f>V38</f>
        <v>#DIV/0!</v>
      </c>
      <c r="J38" s="1016"/>
      <c r="K38" s="1098">
        <f>F38+H38+J38</f>
        <v>0</v>
      </c>
      <c r="L38" s="1097"/>
      <c r="M38" s="1021"/>
      <c r="N38" s="1021"/>
      <c r="O38" s="1021"/>
      <c r="P38" s="3441" t="str">
        <f>A38</f>
        <v>比较价值（元/平方米）</v>
      </c>
      <c r="Q38" s="3441"/>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1061"/>
      <c r="Y38" s="1061"/>
      <c r="Z38" s="1061"/>
      <c r="AA38" s="1061"/>
      <c r="AB38" s="1061"/>
      <c r="AC38" s="1061"/>
    </row>
    <row r="39" spans="1:29" ht="15">
      <c r="A39" s="1018" t="s">
        <v>1557</v>
      </c>
      <c r="B39" s="1019"/>
      <c r="C39" s="1333" t="e">
        <f>R39</f>
        <v>#DIV/0!</v>
      </c>
      <c r="D39" s="1333"/>
      <c r="E39" s="1333"/>
      <c r="F39" s="1333"/>
      <c r="G39" s="1333"/>
      <c r="H39" s="1333"/>
      <c r="I39" s="1333"/>
      <c r="J39" s="1333"/>
      <c r="K39" s="1399"/>
      <c r="L39" s="1097"/>
      <c r="M39" s="1021"/>
      <c r="N39" s="1021"/>
      <c r="O39" s="1021"/>
      <c r="P39" s="3443" t="str">
        <f>A39</f>
        <v>估价对象XX用房的比较价值（楼面单价，元/平方米）</v>
      </c>
      <c r="Q39" s="3444"/>
      <c r="R39" s="3515" t="e">
        <f>IF(F1="售价",ROUND(IF(D38="简单平均",AVERAGE(R38:W38),R38*F38+T38*H38+V38*J38),0),ROUND(IF(D38="简单平均",AVERAGE(R38:V38),R38*F38+T38*H38+V38*J38),1))</f>
        <v>#DIV/0!</v>
      </c>
      <c r="S39" s="3515"/>
      <c r="T39" s="3515"/>
      <c r="U39" s="3515"/>
      <c r="V39" s="3515"/>
      <c r="W39" s="3515"/>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1068</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1069</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1070</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1071</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1027</v>
      </c>
      <c r="B48" s="1336"/>
      <c r="C48" s="1337" t="str">
        <f>YEAR(C7)&amp;"-"&amp;MONTH(C7)</f>
        <v>2022-6</v>
      </c>
      <c r="D48" s="1338">
        <f>EDATE(C48,-1)</f>
        <v>44682</v>
      </c>
      <c r="E48" s="1338">
        <f t="shared" ref="E48:O48" si="16">EDATE(D48,-1)</f>
        <v>44652</v>
      </c>
      <c r="F48" s="1338">
        <f t="shared" si="16"/>
        <v>44621</v>
      </c>
      <c r="G48" s="1338">
        <f t="shared" si="16"/>
        <v>44593</v>
      </c>
      <c r="H48" s="1338">
        <f t="shared" si="16"/>
        <v>44562</v>
      </c>
      <c r="I48" s="1338">
        <f t="shared" si="16"/>
        <v>44531</v>
      </c>
      <c r="J48" s="1338">
        <f t="shared" si="16"/>
        <v>44501</v>
      </c>
      <c r="K48" s="1338">
        <f t="shared" si="16"/>
        <v>44470</v>
      </c>
      <c r="L48" s="1338">
        <f t="shared" si="16"/>
        <v>44440</v>
      </c>
      <c r="M48" s="1338">
        <f t="shared" si="16"/>
        <v>44409</v>
      </c>
      <c r="N48" s="1338">
        <f t="shared" si="16"/>
        <v>44378</v>
      </c>
      <c r="O48" s="1338">
        <f t="shared" si="16"/>
        <v>44348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1072</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1030</v>
      </c>
      <c r="B51" s="1146"/>
      <c r="C51" s="1147" t="s">
        <v>1031</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1073</v>
      </c>
      <c r="B53" s="1152" t="s">
        <v>1034</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1037</v>
      </c>
      <c r="C55" s="1157" t="s">
        <v>1074</v>
      </c>
      <c r="D55" s="1157" t="s">
        <v>1075</v>
      </c>
      <c r="E55" s="1157" t="s">
        <v>1076</v>
      </c>
      <c r="F55" s="1157" t="s">
        <v>1077</v>
      </c>
      <c r="G55" s="1157" t="s">
        <v>1078</v>
      </c>
      <c r="H55" s="1157" t="s">
        <v>1079</v>
      </c>
      <c r="I55" s="1157" t="s">
        <v>1080</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1081</v>
      </c>
      <c r="D56" s="1159" t="s">
        <v>1081</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1039</v>
      </c>
      <c r="B63" s="1152" t="s">
        <v>1042</v>
      </c>
      <c r="C63" s="1173" t="s">
        <v>1082</v>
      </c>
      <c r="D63" s="1173" t="s">
        <v>1083</v>
      </c>
      <c r="E63" s="1173" t="s">
        <v>1084</v>
      </c>
      <c r="F63" s="1173" t="s">
        <v>1085</v>
      </c>
      <c r="G63" s="1173" t="s">
        <v>1086</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1043</v>
      </c>
      <c r="C65" s="1175" t="s">
        <v>1082</v>
      </c>
      <c r="D65" s="1175" t="s">
        <v>1083</v>
      </c>
      <c r="E65" s="1175" t="s">
        <v>1084</v>
      </c>
      <c r="F65" s="1175" t="s">
        <v>1085</v>
      </c>
      <c r="G65" s="1175" t="s">
        <v>1086</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1044</v>
      </c>
      <c r="C67" s="1180" t="s">
        <v>1087</v>
      </c>
      <c r="D67" s="1180" t="s">
        <v>1088</v>
      </c>
      <c r="E67" s="1180" t="s">
        <v>1089</v>
      </c>
      <c r="F67" s="1180" t="s">
        <v>1090</v>
      </c>
      <c r="G67" s="1180" t="s">
        <v>1091</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1501</v>
      </c>
      <c r="C69" s="1175" t="s">
        <v>1082</v>
      </c>
      <c r="D69" s="1175" t="s">
        <v>1083</v>
      </c>
      <c r="E69" s="1175" t="s">
        <v>1084</v>
      </c>
      <c r="F69" s="1175" t="s">
        <v>1085</v>
      </c>
      <c r="G69" s="1175" t="s">
        <v>1086</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1533</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1048</v>
      </c>
      <c r="B79" s="1152" t="s">
        <v>1558</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1549</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1055</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1550</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1551</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1552</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1553</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1554</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1546</v>
      </c>
      <c r="B1" s="1285"/>
      <c r="C1" s="1286" t="s">
        <v>1013</v>
      </c>
      <c r="D1" s="1287"/>
      <c r="E1" s="1288"/>
      <c r="F1" s="1289"/>
      <c r="G1" s="1290" t="s">
        <v>1015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913</v>
      </c>
      <c r="B2" s="1292" t="e">
        <f ca="1">IF(C2="——",ROUND(C37*D3/10000,0),ROUND(C37*D3/10000,0)-D2)</f>
        <v>#DIV/0!</v>
      </c>
      <c r="C2" s="1293"/>
      <c r="D2" s="1250" t="e">
        <f ca="1">SUMIF(INDIRECT("'"&amp;F2&amp;"'"&amp;"!A:A"),"承租人权益价值",INDIRECT("'"&amp;F2&amp;"'"&amp;"!c:c"))</f>
        <v>#REF!</v>
      </c>
      <c r="E2" s="1294" t="s">
        <v>914</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915</v>
      </c>
      <c r="B3" s="922" t="e">
        <f ca="1">IF(C2="——",C37,ROUND(B2*10000/D3,0))</f>
        <v>#DIV/0!</v>
      </c>
      <c r="C3" s="1296" t="s">
        <v>1016</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1017</v>
      </c>
      <c r="B4" s="925"/>
      <c r="C4" s="3458" t="s">
        <v>1018</v>
      </c>
      <c r="D4" s="3459"/>
      <c r="E4" s="3460" t="s">
        <v>1019</v>
      </c>
      <c r="F4" s="3461"/>
      <c r="G4" s="3458" t="s">
        <v>1020</v>
      </c>
      <c r="H4" s="3459"/>
      <c r="I4" s="3458" t="s">
        <v>1021</v>
      </c>
      <c r="J4" s="3459"/>
      <c r="K4" s="1071" t="s">
        <v>1022</v>
      </c>
      <c r="L4" s="1072"/>
      <c r="M4" s="1073"/>
      <c r="N4" s="1073"/>
      <c r="O4" s="1073"/>
      <c r="P4" s="3428" t="s">
        <v>1023</v>
      </c>
      <c r="Q4" s="3429"/>
      <c r="R4" s="3434" t="s">
        <v>1019</v>
      </c>
      <c r="S4" s="3435"/>
      <c r="T4" s="3434" t="s">
        <v>1020</v>
      </c>
      <c r="U4" s="3435"/>
      <c r="V4" s="3440" t="s">
        <v>1021</v>
      </c>
      <c r="W4" s="3440"/>
      <c r="X4" s="1115"/>
      <c r="Y4" s="3434" t="s">
        <v>1023</v>
      </c>
      <c r="Z4" s="3435"/>
      <c r="AA4" s="3425" t="s">
        <v>1019</v>
      </c>
      <c r="AB4" s="3426" t="s">
        <v>1020</v>
      </c>
      <c r="AC4" s="3425" t="s">
        <v>1021</v>
      </c>
    </row>
    <row r="5" spans="1:29" ht="15">
      <c r="A5" s="926"/>
      <c r="B5" s="927"/>
      <c r="C5" s="3498" t="s">
        <v>1024</v>
      </c>
      <c r="D5" s="3463"/>
      <c r="E5" s="3499" t="s">
        <v>1497</v>
      </c>
      <c r="F5" s="3465"/>
      <c r="G5" s="3498" t="s">
        <v>1498</v>
      </c>
      <c r="H5" s="3463"/>
      <c r="I5" s="3498" t="s">
        <v>1499</v>
      </c>
      <c r="J5" s="3463"/>
      <c r="K5" s="1071"/>
      <c r="L5" s="1072"/>
      <c r="M5" s="1073"/>
      <c r="N5" s="1073"/>
      <c r="O5" s="1073"/>
      <c r="P5" s="3430"/>
      <c r="Q5" s="3431"/>
      <c r="R5" s="3436"/>
      <c r="S5" s="3437"/>
      <c r="T5" s="3436"/>
      <c r="U5" s="3437"/>
      <c r="V5" s="3440"/>
      <c r="W5" s="3440"/>
      <c r="X5" s="1115"/>
      <c r="Y5" s="3436"/>
      <c r="Z5" s="3437"/>
      <c r="AA5" s="3426"/>
      <c r="AB5" s="3426"/>
      <c r="AC5" s="3426"/>
    </row>
    <row r="6" spans="1:29" ht="15">
      <c r="A6" s="928"/>
      <c r="B6" s="929"/>
      <c r="C6" s="3453" t="s">
        <v>1025</v>
      </c>
      <c r="D6" s="3454"/>
      <c r="E6" s="3455" t="s">
        <v>1025</v>
      </c>
      <c r="F6" s="3456"/>
      <c r="G6" s="3453" t="s">
        <v>1025</v>
      </c>
      <c r="H6" s="3454"/>
      <c r="I6" s="3453" t="s">
        <v>1025</v>
      </c>
      <c r="J6" s="3454"/>
      <c r="K6" s="1071" t="s">
        <v>1026</v>
      </c>
      <c r="L6" s="1072"/>
      <c r="M6" s="1073"/>
      <c r="N6" s="1073"/>
      <c r="O6" s="1073"/>
      <c r="P6" s="3432"/>
      <c r="Q6" s="3433"/>
      <c r="R6" s="3436"/>
      <c r="S6" s="3437"/>
      <c r="T6" s="3438"/>
      <c r="U6" s="3439"/>
      <c r="V6" s="3440"/>
      <c r="W6" s="3440"/>
      <c r="X6" s="1115"/>
      <c r="Y6" s="3438"/>
      <c r="Z6" s="3439"/>
      <c r="AA6" s="3427"/>
      <c r="AB6" s="3427"/>
      <c r="AC6" s="3427"/>
    </row>
    <row r="7" spans="1:29" s="905" customFormat="1" ht="15">
      <c r="A7" s="930" t="s">
        <v>1027</v>
      </c>
      <c r="B7" s="931"/>
      <c r="C7" s="932">
        <f>'数据-取费表'!B2</f>
        <v>44725</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46" t="s">
        <v>1028</v>
      </c>
      <c r="Q7" s="3457"/>
      <c r="R7" s="1116" t="s">
        <v>1029</v>
      </c>
      <c r="S7" s="1117">
        <f t="shared" ref="S7:S14" si="0">F7</f>
        <v>0</v>
      </c>
      <c r="T7" s="1116" t="s">
        <v>1029</v>
      </c>
      <c r="U7" s="1117">
        <f t="shared" ref="U7:U14" si="1">H7</f>
        <v>0</v>
      </c>
      <c r="V7" s="1116" t="s">
        <v>1029</v>
      </c>
      <c r="W7" s="1117">
        <f t="shared" ref="W7:W14" si="2">J7</f>
        <v>0</v>
      </c>
      <c r="X7" s="1118"/>
      <c r="Y7" s="3446" t="s">
        <v>1028</v>
      </c>
      <c r="Z7" s="3447"/>
      <c r="AA7" s="1130" t="e">
        <f>D7/F7</f>
        <v>#DIV/0!</v>
      </c>
      <c r="AB7" s="1130" t="e">
        <f>D7/H7</f>
        <v>#DIV/0!</v>
      </c>
      <c r="AC7" s="1130" t="e">
        <f>D7/J7</f>
        <v>#DIV/0!</v>
      </c>
    </row>
    <row r="8" spans="1:29" s="905" customFormat="1" ht="15">
      <c r="A8" s="930" t="s">
        <v>1030</v>
      </c>
      <c r="B8" s="931"/>
      <c r="C8" s="937" t="s">
        <v>1031</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46" t="s">
        <v>1032</v>
      </c>
      <c r="Q8" s="3447"/>
      <c r="R8" s="1116" t="s">
        <v>1029</v>
      </c>
      <c r="S8" s="1117">
        <f t="shared" si="0"/>
        <v>0</v>
      </c>
      <c r="T8" s="1116" t="s">
        <v>1029</v>
      </c>
      <c r="U8" s="1117">
        <f t="shared" si="1"/>
        <v>0</v>
      </c>
      <c r="V8" s="1116" t="s">
        <v>1029</v>
      </c>
      <c r="W8" s="1117">
        <f t="shared" si="2"/>
        <v>0</v>
      </c>
      <c r="X8" s="1118"/>
      <c r="Y8" s="3446" t="s">
        <v>1032</v>
      </c>
      <c r="Z8" s="3447"/>
      <c r="AA8" s="1130" t="e">
        <f t="shared" ref="AA8:AA34" si="3">D8/F8</f>
        <v>#DIV/0!</v>
      </c>
      <c r="AB8" s="1130" t="e">
        <f t="shared" ref="AB8:AB34" si="4">D8/H8</f>
        <v>#DIV/0!</v>
      </c>
      <c r="AC8" s="1130" t="e">
        <f t="shared" ref="AC8:AC34" si="5">D8/J8</f>
        <v>#DIV/0!</v>
      </c>
    </row>
    <row r="9" spans="1:29" s="905" customFormat="1">
      <c r="A9" s="938" t="s">
        <v>1033</v>
      </c>
      <c r="B9" s="939" t="s">
        <v>1034</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41" t="s">
        <v>1035</v>
      </c>
      <c r="Q9" s="1120" t="str">
        <f t="shared" ref="Q9:Q14" si="6">B9</f>
        <v>用途</v>
      </c>
      <c r="R9" s="1116" t="s">
        <v>1029</v>
      </c>
      <c r="S9" s="1117">
        <f t="shared" si="0"/>
        <v>100</v>
      </c>
      <c r="T9" s="1116" t="s">
        <v>1029</v>
      </c>
      <c r="U9" s="1117">
        <f t="shared" si="1"/>
        <v>100</v>
      </c>
      <c r="V9" s="1116" t="s">
        <v>1029</v>
      </c>
      <c r="W9" s="1117">
        <f t="shared" si="2"/>
        <v>100</v>
      </c>
      <c r="X9" s="1118"/>
      <c r="Y9" s="3334" t="s">
        <v>1036</v>
      </c>
      <c r="Z9" s="1131" t="str">
        <f t="shared" ref="Z9:Z14" si="7">Q9</f>
        <v>用途</v>
      </c>
      <c r="AA9" s="1130">
        <f t="shared" si="3"/>
        <v>1</v>
      </c>
      <c r="AB9" s="1130">
        <f t="shared" si="4"/>
        <v>1</v>
      </c>
      <c r="AC9" s="1130">
        <f t="shared" si="5"/>
        <v>1</v>
      </c>
    </row>
    <row r="10" spans="1:29" s="906" customFormat="1" ht="27">
      <c r="A10" s="942"/>
      <c r="B10" s="943" t="s">
        <v>1037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41"/>
      <c r="Q10" s="1120" t="str">
        <f t="shared" si="6"/>
        <v>土地使用年限（年）</v>
      </c>
      <c r="R10" s="1116" t="s">
        <v>1029</v>
      </c>
      <c r="S10" s="1117">
        <f t="shared" si="0"/>
        <v>100</v>
      </c>
      <c r="T10" s="1116" t="s">
        <v>1029</v>
      </c>
      <c r="U10" s="1117">
        <f t="shared" si="1"/>
        <v>100</v>
      </c>
      <c r="V10" s="1116" t="s">
        <v>1029</v>
      </c>
      <c r="W10" s="1117">
        <f t="shared" si="2"/>
        <v>100</v>
      </c>
      <c r="X10" s="1118"/>
      <c r="Y10" s="3334"/>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41"/>
      <c r="Q11" s="1120">
        <f t="shared" si="6"/>
        <v>111</v>
      </c>
      <c r="R11" s="1116" t="s">
        <v>1029</v>
      </c>
      <c r="S11" s="1117">
        <f t="shared" si="0"/>
        <v>100</v>
      </c>
      <c r="T11" s="1116" t="s">
        <v>1029</v>
      </c>
      <c r="U11" s="1117">
        <f t="shared" si="1"/>
        <v>100</v>
      </c>
      <c r="V11" s="1116" t="s">
        <v>1029</v>
      </c>
      <c r="W11" s="1117">
        <f t="shared" si="2"/>
        <v>100</v>
      </c>
      <c r="X11" s="1118"/>
      <c r="Y11" s="3334"/>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41"/>
      <c r="Q12" s="1120">
        <f t="shared" si="6"/>
        <v>111</v>
      </c>
      <c r="R12" s="1116" t="s">
        <v>1029</v>
      </c>
      <c r="S12" s="1117">
        <f t="shared" si="0"/>
        <v>100</v>
      </c>
      <c r="T12" s="1116" t="s">
        <v>1029</v>
      </c>
      <c r="U12" s="1117">
        <f t="shared" si="1"/>
        <v>100</v>
      </c>
      <c r="V12" s="1116" t="s">
        <v>1029</v>
      </c>
      <c r="W12" s="1117">
        <f t="shared" si="2"/>
        <v>100</v>
      </c>
      <c r="X12" s="1118"/>
      <c r="Y12" s="3334"/>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41"/>
      <c r="Q13" s="1120">
        <f t="shared" si="6"/>
        <v>111</v>
      </c>
      <c r="R13" s="1116" t="s">
        <v>1029</v>
      </c>
      <c r="S13" s="1117">
        <f t="shared" si="0"/>
        <v>100</v>
      </c>
      <c r="T13" s="1116" t="s">
        <v>1029</v>
      </c>
      <c r="U13" s="1117">
        <f t="shared" si="1"/>
        <v>100</v>
      </c>
      <c r="V13" s="1116" t="s">
        <v>1029</v>
      </c>
      <c r="W13" s="1117">
        <f t="shared" si="2"/>
        <v>100</v>
      </c>
      <c r="X13" s="1118"/>
      <c r="Y13" s="3334"/>
      <c r="Z13" s="1131">
        <f t="shared" si="7"/>
        <v>111</v>
      </c>
      <c r="AA13" s="1130">
        <f t="shared" si="3"/>
        <v>1</v>
      </c>
      <c r="AB13" s="1130">
        <f t="shared" si="4"/>
        <v>1</v>
      </c>
      <c r="AC13" s="1130">
        <f t="shared" si="5"/>
        <v>1</v>
      </c>
    </row>
    <row r="14" spans="1:29" ht="15">
      <c r="A14" s="960" t="s">
        <v>1039</v>
      </c>
      <c r="B14" s="1253" t="s">
        <v>1042</v>
      </c>
      <c r="C14" s="962">
        <f>IF(B1="工业",估价对象房地状况!G4,估价对象房地状况!C6)</f>
        <v>0</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48" t="s">
        <v>1041</v>
      </c>
      <c r="Q14" s="681" t="str">
        <f t="shared" si="6"/>
        <v>交通便捷度</v>
      </c>
      <c r="R14" s="1121" t="s">
        <v>1029</v>
      </c>
      <c r="S14" s="1122">
        <f t="shared" si="0"/>
        <v>100</v>
      </c>
      <c r="T14" s="1121" t="s">
        <v>1029</v>
      </c>
      <c r="U14" s="1122">
        <f t="shared" si="1"/>
        <v>100</v>
      </c>
      <c r="V14" s="1121" t="s">
        <v>1029</v>
      </c>
      <c r="W14" s="1122">
        <f t="shared" si="2"/>
        <v>100</v>
      </c>
      <c r="X14" s="1115"/>
      <c r="Y14" s="3448" t="s">
        <v>1041</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49"/>
      <c r="Q15" s="681"/>
      <c r="R15" s="1121"/>
      <c r="S15" s="1122"/>
      <c r="T15" s="1121"/>
      <c r="U15" s="1122"/>
      <c r="V15" s="1121"/>
      <c r="W15" s="1122"/>
      <c r="X15" s="1115"/>
      <c r="Y15" s="3449"/>
      <c r="Z15" s="1105"/>
      <c r="AA15" s="1132">
        <v>1</v>
      </c>
      <c r="AB15" s="1132">
        <v>1</v>
      </c>
      <c r="AC15" s="1132">
        <v>1</v>
      </c>
    </row>
    <row r="16" spans="1:29" ht="15">
      <c r="A16" s="946"/>
      <c r="B16" s="1256" t="s">
        <v>1043</v>
      </c>
      <c r="C16" s="971">
        <f>IF(B1="工业",估价对象房地状况!G5,估价对象房地状况!C7)</f>
        <v>0</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49"/>
      <c r="Q16" s="681" t="str">
        <f>B16</f>
        <v>公共配套设施</v>
      </c>
      <c r="R16" s="1121" t="s">
        <v>1029</v>
      </c>
      <c r="S16" s="1122">
        <f>F16</f>
        <v>100</v>
      </c>
      <c r="T16" s="1121" t="s">
        <v>1029</v>
      </c>
      <c r="U16" s="1122">
        <f>H16</f>
        <v>100</v>
      </c>
      <c r="V16" s="1121" t="s">
        <v>1029</v>
      </c>
      <c r="W16" s="1122">
        <f>J16</f>
        <v>100</v>
      </c>
      <c r="X16" s="1115"/>
      <c r="Y16" s="3449"/>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49"/>
      <c r="Q17" s="681"/>
      <c r="R17" s="1121"/>
      <c r="S17" s="1122"/>
      <c r="T17" s="1121"/>
      <c r="U17" s="1122"/>
      <c r="V17" s="1121"/>
      <c r="W17" s="1122"/>
      <c r="X17" s="1115"/>
      <c r="Y17" s="3449"/>
      <c r="Z17" s="1105"/>
      <c r="AA17" s="1132">
        <v>1</v>
      </c>
      <c r="AB17" s="1132">
        <v>1</v>
      </c>
      <c r="AC17" s="1132">
        <v>1</v>
      </c>
    </row>
    <row r="18" spans="1:29" ht="15">
      <c r="A18" s="946"/>
      <c r="B18" s="1260" t="s">
        <v>1044</v>
      </c>
      <c r="C18" s="971">
        <f>IF(B1="工业",估价对象房地状况!G6,估价对象房地状况!C8)</f>
        <v>0</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49"/>
      <c r="Q18" s="681" t="str">
        <f>B18</f>
        <v>基础设施水平</v>
      </c>
      <c r="R18" s="1121" t="s">
        <v>1029</v>
      </c>
      <c r="S18" s="1122">
        <f>F18</f>
        <v>100</v>
      </c>
      <c r="T18" s="1121" t="s">
        <v>1029</v>
      </c>
      <c r="U18" s="1122">
        <f>H18</f>
        <v>100</v>
      </c>
      <c r="V18" s="1121" t="s">
        <v>1029</v>
      </c>
      <c r="W18" s="1122">
        <f>J18</f>
        <v>100</v>
      </c>
      <c r="X18" s="1115"/>
      <c r="Y18" s="3449"/>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49"/>
      <c r="Q19" s="681"/>
      <c r="R19" s="1121"/>
      <c r="S19" s="1122"/>
      <c r="T19" s="1121"/>
      <c r="U19" s="1122"/>
      <c r="V19" s="1121"/>
      <c r="W19" s="1122"/>
      <c r="X19" s="1115"/>
      <c r="Y19" s="3449"/>
      <c r="Z19" s="1105"/>
      <c r="AA19" s="1132">
        <v>1</v>
      </c>
      <c r="AB19" s="1132">
        <v>1</v>
      </c>
      <c r="AC19" s="1132">
        <v>1</v>
      </c>
    </row>
    <row r="20" spans="1:29" ht="15">
      <c r="A20" s="946"/>
      <c r="B20" s="1256" t="s">
        <v>1501</v>
      </c>
      <c r="C20" s="971">
        <f>IF(B1="工业",估价对象房地状况!G7,估价对象房地状况!C9)</f>
        <v>0</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49"/>
      <c r="Q20" s="681" t="str">
        <f>B20</f>
        <v>自然及人文环境</v>
      </c>
      <c r="R20" s="1121" t="s">
        <v>1029</v>
      </c>
      <c r="S20" s="1122">
        <f>F20</f>
        <v>100</v>
      </c>
      <c r="T20" s="1121" t="s">
        <v>1029</v>
      </c>
      <c r="U20" s="1122">
        <f>H20</f>
        <v>100</v>
      </c>
      <c r="V20" s="1121" t="s">
        <v>1029</v>
      </c>
      <c r="W20" s="1122">
        <f>J20</f>
        <v>100</v>
      </c>
      <c r="X20" s="1115"/>
      <c r="Y20" s="3449"/>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49"/>
      <c r="Q21" s="681"/>
      <c r="R21" s="1121"/>
      <c r="S21" s="1122"/>
      <c r="T21" s="1121"/>
      <c r="U21" s="1122"/>
      <c r="V21" s="1121"/>
      <c r="W21" s="1122"/>
      <c r="X21" s="1115"/>
      <c r="Y21" s="3449"/>
      <c r="Z21" s="1105"/>
      <c r="AA21" s="1132">
        <v>1</v>
      </c>
      <c r="AB21" s="1132">
        <v>1</v>
      </c>
      <c r="AC21" s="1132">
        <v>1</v>
      </c>
    </row>
    <row r="22" spans="1:29" ht="15">
      <c r="A22" s="946"/>
      <c r="B22" s="1256" t="s">
        <v>1533</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49"/>
      <c r="Q22" s="681" t="str">
        <f>B22</f>
        <v>楼层</v>
      </c>
      <c r="R22" s="1121" t="s">
        <v>1029</v>
      </c>
      <c r="S22" s="1122">
        <f>F22</f>
        <v>100</v>
      </c>
      <c r="T22" s="1121" t="s">
        <v>1029</v>
      </c>
      <c r="U22" s="1122">
        <f>H22</f>
        <v>100</v>
      </c>
      <c r="V22" s="1121" t="s">
        <v>1029</v>
      </c>
      <c r="W22" s="1122">
        <f>J22</f>
        <v>100</v>
      </c>
      <c r="X22" s="1115"/>
      <c r="Y22" s="3449"/>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49"/>
      <c r="Q23" s="681">
        <f>B23</f>
        <v>111</v>
      </c>
      <c r="R23" s="1121" t="s">
        <v>1029</v>
      </c>
      <c r="S23" s="1122">
        <f>F23</f>
        <v>100</v>
      </c>
      <c r="T23" s="1121" t="s">
        <v>1029</v>
      </c>
      <c r="U23" s="1122">
        <f>H23</f>
        <v>100</v>
      </c>
      <c r="V23" s="1121" t="s">
        <v>1029</v>
      </c>
      <c r="W23" s="1122">
        <f>J23</f>
        <v>100</v>
      </c>
      <c r="X23" s="1115"/>
      <c r="Y23" s="3449"/>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49"/>
      <c r="Q24" s="681">
        <f t="shared" ref="Q24:Q34" si="11">B24</f>
        <v>111</v>
      </c>
      <c r="R24" s="1121" t="s">
        <v>1029</v>
      </c>
      <c r="S24" s="1122">
        <f>F24</f>
        <v>100</v>
      </c>
      <c r="T24" s="1121" t="s">
        <v>1029</v>
      </c>
      <c r="U24" s="1122">
        <f>H24</f>
        <v>100</v>
      </c>
      <c r="V24" s="1121" t="s">
        <v>1029</v>
      </c>
      <c r="W24" s="1122">
        <f>J24</f>
        <v>100</v>
      </c>
      <c r="X24" s="1115"/>
      <c r="Y24" s="3449"/>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49"/>
      <c r="Q25" s="1120">
        <f t="shared" si="11"/>
        <v>111</v>
      </c>
      <c r="R25" s="1116" t="s">
        <v>1029</v>
      </c>
      <c r="S25" s="1117">
        <f>F25</f>
        <v>100</v>
      </c>
      <c r="T25" s="1116" t="s">
        <v>1029</v>
      </c>
      <c r="U25" s="1117">
        <f>H25</f>
        <v>100</v>
      </c>
      <c r="V25" s="1116" t="s">
        <v>1029</v>
      </c>
      <c r="W25" s="1117">
        <f>J25</f>
        <v>100</v>
      </c>
      <c r="X25" s="1118"/>
      <c r="Y25" s="3449"/>
      <c r="Z25" s="1131">
        <f>Q25</f>
        <v>111</v>
      </c>
      <c r="AA25" s="1132">
        <f t="shared" si="3"/>
        <v>1</v>
      </c>
      <c r="AB25" s="1132">
        <f t="shared" si="4"/>
        <v>1</v>
      </c>
      <c r="AC25" s="1132">
        <f t="shared" si="5"/>
        <v>1</v>
      </c>
    </row>
    <row r="26" spans="1:29" ht="28.5">
      <c r="A26" s="1313" t="s">
        <v>1048</v>
      </c>
      <c r="B26" s="939" t="s">
        <v>1055</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450" t="s">
        <v>1051</v>
      </c>
      <c r="Q26" s="681" t="str">
        <f t="shared" si="11"/>
        <v>公共部分装修</v>
      </c>
      <c r="R26" s="1121" t="s">
        <v>1029</v>
      </c>
      <c r="S26" s="1122">
        <f t="shared" ref="S26:S34" si="12">F26</f>
        <v>100</v>
      </c>
      <c r="T26" s="1121" t="s">
        <v>1029</v>
      </c>
      <c r="U26" s="1122">
        <f t="shared" ref="U26:U34" si="13">H26</f>
        <v>100</v>
      </c>
      <c r="V26" s="1121" t="s">
        <v>1029</v>
      </c>
      <c r="W26" s="1122">
        <f t="shared" ref="W26:W34" si="14">J26</f>
        <v>100</v>
      </c>
      <c r="X26" s="1115"/>
      <c r="Y26" s="3451" t="s">
        <v>1051</v>
      </c>
      <c r="Z26" s="1105" t="str">
        <f t="shared" ref="Z26:Z34" si="15">Q26</f>
        <v>公共部分装修</v>
      </c>
      <c r="AA26" s="1132">
        <f t="shared" si="3"/>
        <v>1</v>
      </c>
      <c r="AB26" s="1132">
        <f t="shared" si="4"/>
        <v>1</v>
      </c>
      <c r="AC26" s="1132">
        <f t="shared" si="5"/>
        <v>1</v>
      </c>
    </row>
    <row r="27" spans="1:29" s="907" customFormat="1" ht="15">
      <c r="A27" s="1002"/>
      <c r="B27" s="943" t="s">
        <v>1550</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51"/>
      <c r="Q27" s="1348" t="str">
        <f t="shared" si="11"/>
        <v>成新率</v>
      </c>
      <c r="R27" s="1123" t="s">
        <v>1029</v>
      </c>
      <c r="S27" s="1124" t="e">
        <f t="shared" si="12"/>
        <v>#N/A</v>
      </c>
      <c r="T27" s="1123" t="s">
        <v>1029</v>
      </c>
      <c r="U27" s="1124" t="e">
        <f t="shared" si="13"/>
        <v>#N/A</v>
      </c>
      <c r="V27" s="1123" t="s">
        <v>1029</v>
      </c>
      <c r="W27" s="1124" t="e">
        <f t="shared" si="14"/>
        <v>#N/A</v>
      </c>
      <c r="X27" s="1125"/>
      <c r="Y27" s="3451"/>
      <c r="Z27" s="1133" t="str">
        <f t="shared" si="15"/>
        <v>成新率</v>
      </c>
      <c r="AA27" s="1132" t="e">
        <f t="shared" si="3"/>
        <v>#N/A</v>
      </c>
      <c r="AB27" s="1132" t="e">
        <f t="shared" si="4"/>
        <v>#N/A</v>
      </c>
      <c r="AC27" s="1132" t="e">
        <f t="shared" si="5"/>
        <v>#N/A</v>
      </c>
    </row>
    <row r="28" spans="1:29" ht="15">
      <c r="A28" s="997"/>
      <c r="B28" s="943" t="s">
        <v>1551</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51"/>
      <c r="Q28" s="681" t="str">
        <f t="shared" si="11"/>
        <v>物业等级</v>
      </c>
      <c r="R28" s="1121" t="s">
        <v>1029</v>
      </c>
      <c r="S28" s="1122">
        <f t="shared" si="12"/>
        <v>100</v>
      </c>
      <c r="T28" s="1121" t="s">
        <v>1029</v>
      </c>
      <c r="U28" s="1122">
        <f t="shared" si="13"/>
        <v>100</v>
      </c>
      <c r="V28" s="1121" t="s">
        <v>1029</v>
      </c>
      <c r="W28" s="1122">
        <f t="shared" si="14"/>
        <v>100</v>
      </c>
      <c r="X28" s="1115"/>
      <c r="Y28" s="3451"/>
      <c r="Z28" s="1105" t="str">
        <f t="shared" si="15"/>
        <v>物业等级</v>
      </c>
      <c r="AA28" s="1132">
        <f t="shared" si="3"/>
        <v>1</v>
      </c>
      <c r="AB28" s="1132">
        <f t="shared" si="4"/>
        <v>1</v>
      </c>
      <c r="AC28" s="1132">
        <f t="shared" si="5"/>
        <v>1</v>
      </c>
    </row>
    <row r="29" spans="1:29" ht="15">
      <c r="A29" s="997"/>
      <c r="B29" s="943" t="s">
        <v>1559</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51"/>
      <c r="Q29" s="681" t="str">
        <f t="shared" si="11"/>
        <v>有无电梯</v>
      </c>
      <c r="R29" s="1121" t="s">
        <v>1029</v>
      </c>
      <c r="S29" s="1122">
        <f t="shared" si="12"/>
        <v>100</v>
      </c>
      <c r="T29" s="1121" t="s">
        <v>1029</v>
      </c>
      <c r="U29" s="1122">
        <f t="shared" si="13"/>
        <v>100</v>
      </c>
      <c r="V29" s="1121" t="s">
        <v>1029</v>
      </c>
      <c r="W29" s="1122">
        <f t="shared" si="14"/>
        <v>100</v>
      </c>
      <c r="X29" s="1115"/>
      <c r="Y29" s="3451"/>
      <c r="Z29" s="1105" t="str">
        <f t="shared" si="15"/>
        <v>有无电梯</v>
      </c>
      <c r="AA29" s="1132">
        <f t="shared" si="3"/>
        <v>1</v>
      </c>
      <c r="AB29" s="1132">
        <f t="shared" si="4"/>
        <v>1</v>
      </c>
      <c r="AC29" s="1132">
        <f t="shared" si="5"/>
        <v>1</v>
      </c>
    </row>
    <row r="30" spans="1:29" ht="15">
      <c r="A30" s="997"/>
      <c r="B30" s="943" t="s">
        <v>528</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51"/>
      <c r="Q30" s="681" t="str">
        <f t="shared" si="11"/>
        <v>建筑面积</v>
      </c>
      <c r="R30" s="1121" t="s">
        <v>1029</v>
      </c>
      <c r="S30" s="1122" t="e">
        <f t="shared" si="12"/>
        <v>#N/A</v>
      </c>
      <c r="T30" s="1121" t="s">
        <v>1029</v>
      </c>
      <c r="U30" s="1122" t="e">
        <f t="shared" si="13"/>
        <v>#N/A</v>
      </c>
      <c r="V30" s="1121" t="s">
        <v>1029</v>
      </c>
      <c r="W30" s="1122" t="e">
        <f t="shared" si="14"/>
        <v>#N/A</v>
      </c>
      <c r="X30" s="1115"/>
      <c r="Y30" s="3451"/>
      <c r="Z30" s="1105" t="str">
        <f t="shared" si="15"/>
        <v>建筑面积</v>
      </c>
      <c r="AA30" s="1132" t="e">
        <f t="shared" si="3"/>
        <v>#N/A</v>
      </c>
      <c r="AB30" s="1132" t="e">
        <f t="shared" si="4"/>
        <v>#N/A</v>
      </c>
      <c r="AC30" s="1132" t="e">
        <f t="shared" si="5"/>
        <v>#N/A</v>
      </c>
    </row>
    <row r="31" spans="1:29" s="905" customFormat="1" ht="15">
      <c r="A31" s="999"/>
      <c r="B31" s="943" t="s">
        <v>1560</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51"/>
      <c r="Q31" s="1120" t="str">
        <f t="shared" si="11"/>
        <v>是否封闭</v>
      </c>
      <c r="R31" s="1116" t="s">
        <v>1029</v>
      </c>
      <c r="S31" s="1117">
        <f t="shared" si="12"/>
        <v>100</v>
      </c>
      <c r="T31" s="1116" t="s">
        <v>1029</v>
      </c>
      <c r="U31" s="1117">
        <f t="shared" si="13"/>
        <v>100</v>
      </c>
      <c r="V31" s="1116" t="s">
        <v>1029</v>
      </c>
      <c r="W31" s="1117">
        <f t="shared" si="14"/>
        <v>100</v>
      </c>
      <c r="X31" s="1118"/>
      <c r="Y31" s="3451"/>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51" t="s">
        <v>1051</v>
      </c>
      <c r="Q32" s="681">
        <f t="shared" si="11"/>
        <v>111</v>
      </c>
      <c r="R32" s="1121" t="s">
        <v>1029</v>
      </c>
      <c r="S32" s="1122">
        <f t="shared" si="12"/>
        <v>100</v>
      </c>
      <c r="T32" s="1121" t="s">
        <v>1029</v>
      </c>
      <c r="U32" s="1122">
        <f t="shared" si="13"/>
        <v>100</v>
      </c>
      <c r="V32" s="1121" t="s">
        <v>1029</v>
      </c>
      <c r="W32" s="1122">
        <f t="shared" si="14"/>
        <v>100</v>
      </c>
      <c r="X32" s="1115"/>
      <c r="Y32" s="3451" t="s">
        <v>1051</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51"/>
      <c r="Q33" s="681">
        <f t="shared" si="11"/>
        <v>111</v>
      </c>
      <c r="R33" s="1121" t="s">
        <v>1029</v>
      </c>
      <c r="S33" s="1122">
        <f t="shared" si="12"/>
        <v>100</v>
      </c>
      <c r="T33" s="1121" t="s">
        <v>1029</v>
      </c>
      <c r="U33" s="1122">
        <f t="shared" si="13"/>
        <v>100</v>
      </c>
      <c r="V33" s="1121" t="s">
        <v>1029</v>
      </c>
      <c r="W33" s="1122">
        <f t="shared" si="14"/>
        <v>100</v>
      </c>
      <c r="X33" s="1115"/>
      <c r="Y33" s="3451"/>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51"/>
      <c r="Q34" s="681">
        <f t="shared" si="11"/>
        <v>111</v>
      </c>
      <c r="R34" s="1121" t="s">
        <v>1029</v>
      </c>
      <c r="S34" s="1122">
        <f t="shared" si="12"/>
        <v>100</v>
      </c>
      <c r="T34" s="1121" t="s">
        <v>1029</v>
      </c>
      <c r="U34" s="1122">
        <f t="shared" si="13"/>
        <v>100</v>
      </c>
      <c r="V34" s="1121" t="s">
        <v>1029</v>
      </c>
      <c r="W34" s="1122">
        <f t="shared" si="14"/>
        <v>100</v>
      </c>
      <c r="X34" s="1115"/>
      <c r="Y34" s="3451"/>
      <c r="Z34" s="1105">
        <f t="shared" si="15"/>
        <v>111</v>
      </c>
      <c r="AA34" s="1132">
        <f t="shared" si="3"/>
        <v>1</v>
      </c>
      <c r="AB34" s="1132">
        <f t="shared" si="4"/>
        <v>1</v>
      </c>
      <c r="AC34" s="1132">
        <f t="shared" si="5"/>
        <v>1</v>
      </c>
    </row>
    <row r="35" spans="1:30" ht="15">
      <c r="A35" s="1004" t="s">
        <v>1064</v>
      </c>
      <c r="B35" s="1323"/>
      <c r="C35" s="1324" t="s">
        <v>124</v>
      </c>
      <c r="D35" s="1325"/>
      <c r="E35" s="1326"/>
      <c r="F35" s="1327"/>
      <c r="G35" s="1328"/>
      <c r="H35" s="1329"/>
      <c r="I35" s="1326"/>
      <c r="J35" s="1329"/>
      <c r="K35" s="1096"/>
      <c r="L35" s="1097"/>
      <c r="M35" s="1021"/>
      <c r="N35" s="1073"/>
      <c r="O35" s="1021"/>
      <c r="P35" s="3441" t="str">
        <f>A35</f>
        <v>成交单价（元/平方米）</v>
      </c>
      <c r="Q35" s="3441"/>
      <c r="R35" s="3442">
        <f>E35</f>
        <v>0</v>
      </c>
      <c r="S35" s="3442"/>
      <c r="T35" s="3442">
        <f>G35</f>
        <v>0</v>
      </c>
      <c r="U35" s="3442"/>
      <c r="V35" s="3442">
        <f>I35</f>
        <v>0</v>
      </c>
      <c r="W35" s="3442"/>
      <c r="X35" s="1061"/>
      <c r="Y35" s="1134"/>
      <c r="Z35" s="1061"/>
      <c r="AA35" s="1061"/>
      <c r="AB35" s="1061"/>
      <c r="AC35" s="1061"/>
    </row>
    <row r="36" spans="1:30" ht="15">
      <c r="A36" s="1012" t="s">
        <v>1065</v>
      </c>
      <c r="B36" s="1330"/>
      <c r="C36" s="1331" t="e">
        <f>R37</f>
        <v>#DIV/0!</v>
      </c>
      <c r="D36" s="1015" t="s">
        <v>1066</v>
      </c>
      <c r="E36" s="1332" t="e">
        <f>R36</f>
        <v>#DIV/0!</v>
      </c>
      <c r="F36" s="1016"/>
      <c r="G36" s="1331" t="e">
        <f>T36</f>
        <v>#DIV/0!</v>
      </c>
      <c r="H36" s="1016"/>
      <c r="I36" s="1332" t="e">
        <f>V36</f>
        <v>#DIV/0!</v>
      </c>
      <c r="J36" s="1016"/>
      <c r="K36" s="1098">
        <f>F36+H36+J36</f>
        <v>0</v>
      </c>
      <c r="L36" s="1097"/>
      <c r="M36" s="1021"/>
      <c r="N36" s="1073"/>
      <c r="O36" s="1021"/>
      <c r="P36" s="3441" t="str">
        <f>A36</f>
        <v>比较价值（元/平方米）</v>
      </c>
      <c r="Q36" s="3441"/>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1061"/>
      <c r="Y36" s="1061"/>
      <c r="Z36" s="1061"/>
      <c r="AA36" s="1061"/>
      <c r="AB36" s="1061"/>
      <c r="AC36" s="1061"/>
    </row>
    <row r="37" spans="1:30" ht="15">
      <c r="A37" s="1018" t="s">
        <v>1067</v>
      </c>
      <c r="B37" s="1019"/>
      <c r="C37" s="1333" t="e">
        <f>R37</f>
        <v>#DIV/0!</v>
      </c>
      <c r="D37" s="1333"/>
      <c r="E37" s="1333"/>
      <c r="F37" s="1333"/>
      <c r="G37" s="1333"/>
      <c r="H37" s="1333"/>
      <c r="I37" s="1333"/>
      <c r="J37" s="1333"/>
      <c r="K37" s="1099"/>
      <c r="L37" s="1097"/>
      <c r="M37" s="1021"/>
      <c r="N37" s="1021"/>
      <c r="O37" s="1021"/>
      <c r="P37" s="3443" t="str">
        <f>A37</f>
        <v>估价对象XX用房的比较价值（楼面单价，元/平方米）</v>
      </c>
      <c r="Q37" s="3444"/>
      <c r="R37" s="3515" t="e">
        <f>IF(F1="售价",ROUND(IF(D36="简单平均",AVERAGE(R36:W36),R36*F36+T36*H36+V36*J36),0),ROUND(IF(D36="简单平均",AVERAGE(R36:V36),R36*F36+T36*H36+V36*J36),1))</f>
        <v>#DIV/0!</v>
      </c>
      <c r="S37" s="3515"/>
      <c r="T37" s="3515"/>
      <c r="U37" s="3515"/>
      <c r="V37" s="3515"/>
      <c r="W37" s="3515"/>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1068</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1069</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1070</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1071</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1027</v>
      </c>
      <c r="B46" s="1336"/>
      <c r="C46" s="1337" t="str">
        <f>YEAR(C7)&amp;"-"&amp;MONTH(C7)</f>
        <v>2022-6</v>
      </c>
      <c r="D46" s="1338">
        <f>EDATE(C46,-1)</f>
        <v>44682</v>
      </c>
      <c r="E46" s="1338">
        <f t="shared" ref="E46:O46" si="16">EDATE(D46,-1)</f>
        <v>44652</v>
      </c>
      <c r="F46" s="1338">
        <f t="shared" si="16"/>
        <v>44621</v>
      </c>
      <c r="G46" s="1338">
        <f t="shared" si="16"/>
        <v>44593</v>
      </c>
      <c r="H46" s="1338">
        <f t="shared" si="16"/>
        <v>44562</v>
      </c>
      <c r="I46" s="1338">
        <f t="shared" si="16"/>
        <v>44531</v>
      </c>
      <c r="J46" s="1338">
        <f t="shared" si="16"/>
        <v>44501</v>
      </c>
      <c r="K46" s="1338">
        <f t="shared" si="16"/>
        <v>44470</v>
      </c>
      <c r="L46" s="1338">
        <f t="shared" si="16"/>
        <v>44440</v>
      </c>
      <c r="M46" s="1338">
        <f t="shared" si="16"/>
        <v>44409</v>
      </c>
      <c r="N46" s="1338">
        <f t="shared" si="16"/>
        <v>44378</v>
      </c>
      <c r="O46" s="1338">
        <f t="shared" si="16"/>
        <v>44348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1072</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1030</v>
      </c>
      <c r="B49" s="1146"/>
      <c r="C49" s="1147" t="s">
        <v>1031</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1073</v>
      </c>
      <c r="B51" s="1152" t="s">
        <v>1034</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1037</v>
      </c>
      <c r="C53" s="1157" t="s">
        <v>1074</v>
      </c>
      <c r="D53" s="1157" t="s">
        <v>1075</v>
      </c>
      <c r="E53" s="1157" t="s">
        <v>1076</v>
      </c>
      <c r="F53" s="1157" t="s">
        <v>1077</v>
      </c>
      <c r="G53" s="1157" t="s">
        <v>1078</v>
      </c>
      <c r="H53" s="1157" t="s">
        <v>1079</v>
      </c>
      <c r="I53" s="1157" t="s">
        <v>1080</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1081</v>
      </c>
      <c r="D54" s="1159" t="s">
        <v>1081</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1039</v>
      </c>
      <c r="B61" s="1152" t="s">
        <v>1042</v>
      </c>
      <c r="C61" s="1173" t="s">
        <v>1082</v>
      </c>
      <c r="D61" s="1173" t="s">
        <v>1083</v>
      </c>
      <c r="E61" s="1173" t="s">
        <v>1084</v>
      </c>
      <c r="F61" s="1173" t="s">
        <v>1085</v>
      </c>
      <c r="G61" s="1173" t="s">
        <v>1086</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1561</v>
      </c>
      <c r="C63" s="1175" t="s">
        <v>1082</v>
      </c>
      <c r="D63" s="1175" t="s">
        <v>1083</v>
      </c>
      <c r="E63" s="1175" t="s">
        <v>1084</v>
      </c>
      <c r="F63" s="1175" t="s">
        <v>1085</v>
      </c>
      <c r="G63" s="1175" t="s">
        <v>1086</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1044</v>
      </c>
      <c r="C65" s="1180" t="s">
        <v>1087</v>
      </c>
      <c r="D65" s="1180" t="s">
        <v>1088</v>
      </c>
      <c r="E65" s="1180" t="s">
        <v>1089</v>
      </c>
      <c r="F65" s="1180" t="s">
        <v>1090</v>
      </c>
      <c r="G65" s="1180" t="s">
        <v>1091</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1501</v>
      </c>
      <c r="C67" s="1175" t="s">
        <v>1082</v>
      </c>
      <c r="D67" s="1175" t="s">
        <v>1083</v>
      </c>
      <c r="E67" s="1175" t="s">
        <v>1084</v>
      </c>
      <c r="F67" s="1175" t="s">
        <v>1085</v>
      </c>
      <c r="G67" s="1175" t="s">
        <v>1086</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1533</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1048</v>
      </c>
      <c r="B77" s="1152" t="s">
        <v>1055</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1550</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1551</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1559</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528</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1560</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1562</v>
      </c>
      <c r="B1" s="915"/>
      <c r="C1" s="916" t="s">
        <v>1563</v>
      </c>
      <c r="D1" s="917"/>
      <c r="E1" s="917"/>
      <c r="F1" s="918" t="s">
        <v>1015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913</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915</v>
      </c>
      <c r="B3" s="922" t="e">
        <f>ROUND(IF(D3="",B2*10000/'数据-汇总表'!E3,B2*10000/D3),0)</f>
        <v>#DIV/0!</v>
      </c>
      <c r="C3" s="153" t="s">
        <v>1016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1017</v>
      </c>
      <c r="B4" s="925"/>
      <c r="C4" s="3458" t="s">
        <v>1018</v>
      </c>
      <c r="D4" s="3459"/>
      <c r="E4" s="3460" t="s">
        <v>1019</v>
      </c>
      <c r="F4" s="3461"/>
      <c r="G4" s="3458" t="s">
        <v>1020</v>
      </c>
      <c r="H4" s="3459"/>
      <c r="I4" s="3458" t="s">
        <v>1021</v>
      </c>
      <c r="J4" s="3459"/>
      <c r="K4" s="1071" t="s">
        <v>1022</v>
      </c>
      <c r="L4" s="1072"/>
      <c r="M4" s="1073"/>
      <c r="N4" s="1073"/>
      <c r="O4" s="1073"/>
      <c r="P4" s="3428" t="s">
        <v>1023</v>
      </c>
      <c r="Q4" s="3429"/>
      <c r="R4" s="3434" t="s">
        <v>1019</v>
      </c>
      <c r="S4" s="3435"/>
      <c r="T4" s="3434" t="s">
        <v>1020</v>
      </c>
      <c r="U4" s="3435"/>
      <c r="V4" s="3440" t="s">
        <v>1021</v>
      </c>
      <c r="W4" s="3440"/>
      <c r="X4" s="1115"/>
      <c r="Y4" s="3434" t="s">
        <v>1023</v>
      </c>
      <c r="Z4" s="3435"/>
      <c r="AA4" s="3425" t="s">
        <v>1019</v>
      </c>
      <c r="AB4" s="3426" t="s">
        <v>1020</v>
      </c>
      <c r="AC4" s="3425" t="s">
        <v>1021</v>
      </c>
    </row>
    <row r="5" spans="1:30" ht="15">
      <c r="A5" s="926"/>
      <c r="B5" s="927"/>
      <c r="C5" s="3498" t="s">
        <v>1024</v>
      </c>
      <c r="D5" s="3463"/>
      <c r="E5" s="3499" t="s">
        <v>1497</v>
      </c>
      <c r="F5" s="3465"/>
      <c r="G5" s="3498" t="s">
        <v>1498</v>
      </c>
      <c r="H5" s="3463"/>
      <c r="I5" s="3498" t="s">
        <v>1499</v>
      </c>
      <c r="J5" s="3463"/>
      <c r="K5" s="1071"/>
      <c r="L5" s="1072"/>
      <c r="M5" s="1073"/>
      <c r="N5" s="1073"/>
      <c r="O5" s="1073"/>
      <c r="P5" s="3430"/>
      <c r="Q5" s="3431"/>
      <c r="R5" s="3436"/>
      <c r="S5" s="3437"/>
      <c r="T5" s="3436"/>
      <c r="U5" s="3437"/>
      <c r="V5" s="3440"/>
      <c r="W5" s="3440"/>
      <c r="X5" s="1115"/>
      <c r="Y5" s="3436"/>
      <c r="Z5" s="3437"/>
      <c r="AA5" s="3426"/>
      <c r="AB5" s="3426"/>
      <c r="AC5" s="3426"/>
    </row>
    <row r="6" spans="1:30" ht="15">
      <c r="A6" s="928"/>
      <c r="B6" s="929"/>
      <c r="C6" s="3453" t="s">
        <v>1025</v>
      </c>
      <c r="D6" s="3454"/>
      <c r="E6" s="3455" t="s">
        <v>1025</v>
      </c>
      <c r="F6" s="3456"/>
      <c r="G6" s="3453" t="s">
        <v>1025</v>
      </c>
      <c r="H6" s="3454"/>
      <c r="I6" s="3453" t="s">
        <v>1025</v>
      </c>
      <c r="J6" s="3454"/>
      <c r="K6" s="1071" t="s">
        <v>1026</v>
      </c>
      <c r="L6" s="1072"/>
      <c r="M6" s="1073"/>
      <c r="N6" s="1073"/>
      <c r="O6" s="1073"/>
      <c r="P6" s="3432"/>
      <c r="Q6" s="3433"/>
      <c r="R6" s="3436"/>
      <c r="S6" s="3437"/>
      <c r="T6" s="3438"/>
      <c r="U6" s="3439"/>
      <c r="V6" s="3440"/>
      <c r="W6" s="3440"/>
      <c r="X6" s="1115"/>
      <c r="Y6" s="3438"/>
      <c r="Z6" s="3439"/>
      <c r="AA6" s="3427"/>
      <c r="AB6" s="3427"/>
      <c r="AC6" s="3427"/>
    </row>
    <row r="7" spans="1:30" s="905" customFormat="1" ht="15">
      <c r="A7" s="930" t="s">
        <v>1027</v>
      </c>
      <c r="B7" s="931"/>
      <c r="C7" s="932">
        <f>'数据-取费表'!B2</f>
        <v>44725</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46" t="s">
        <v>1028</v>
      </c>
      <c r="Q7" s="3457"/>
      <c r="R7" s="1116" t="s">
        <v>1029</v>
      </c>
      <c r="S7" s="1117">
        <f t="shared" ref="S7:S15" si="0">F7</f>
        <v>0</v>
      </c>
      <c r="T7" s="1116" t="s">
        <v>1029</v>
      </c>
      <c r="U7" s="1117">
        <f t="shared" ref="U7:U15" si="1">H7</f>
        <v>0</v>
      </c>
      <c r="V7" s="1116" t="s">
        <v>1029</v>
      </c>
      <c r="W7" s="1117">
        <f t="shared" ref="W7:W15" si="2">J7</f>
        <v>0</v>
      </c>
      <c r="X7" s="1118"/>
      <c r="Y7" s="3446" t="s">
        <v>1028</v>
      </c>
      <c r="Z7" s="3447"/>
      <c r="AA7" s="1130" t="e">
        <f>D7/F7</f>
        <v>#DIV/0!</v>
      </c>
      <c r="AB7" s="1130" t="e">
        <f>D7/H7</f>
        <v>#DIV/0!</v>
      </c>
      <c r="AC7" s="1130" t="e">
        <f>D7/J7</f>
        <v>#DIV/0!</v>
      </c>
    </row>
    <row r="8" spans="1:30" s="905" customFormat="1" ht="15">
      <c r="A8" s="930" t="s">
        <v>1030</v>
      </c>
      <c r="B8" s="931"/>
      <c r="C8" s="937" t="s">
        <v>1031</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46" t="s">
        <v>1032</v>
      </c>
      <c r="Q8" s="3447"/>
      <c r="R8" s="1116" t="s">
        <v>1029</v>
      </c>
      <c r="S8" s="1117">
        <f t="shared" si="0"/>
        <v>0</v>
      </c>
      <c r="T8" s="1116" t="s">
        <v>1029</v>
      </c>
      <c r="U8" s="1117">
        <f t="shared" si="1"/>
        <v>0</v>
      </c>
      <c r="V8" s="1116" t="s">
        <v>1029</v>
      </c>
      <c r="W8" s="1117">
        <f t="shared" si="2"/>
        <v>0</v>
      </c>
      <c r="X8" s="1118"/>
      <c r="Y8" s="3446" t="s">
        <v>1032</v>
      </c>
      <c r="Z8" s="3447"/>
      <c r="AA8" s="1130" t="e">
        <f t="shared" ref="AA8:AA45" si="3">D8/F8</f>
        <v>#DIV/0!</v>
      </c>
      <c r="AB8" s="1130" t="e">
        <f t="shared" ref="AB8:AB45" si="4">D8/H8</f>
        <v>#DIV/0!</v>
      </c>
      <c r="AC8" s="1130" t="e">
        <f t="shared" ref="AC8:AC45" si="5">D8/J8</f>
        <v>#DIV/0!</v>
      </c>
    </row>
    <row r="9" spans="1:30" s="905" customFormat="1">
      <c r="A9" s="938" t="s">
        <v>1033</v>
      </c>
      <c r="B9" s="939" t="s">
        <v>1034</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41" t="s">
        <v>1035</v>
      </c>
      <c r="Q9" s="1120" t="str">
        <f t="shared" ref="Q9:Q15" si="6">B9</f>
        <v>用途</v>
      </c>
      <c r="R9" s="1116" t="s">
        <v>1029</v>
      </c>
      <c r="S9" s="1117">
        <f t="shared" si="0"/>
        <v>100</v>
      </c>
      <c r="T9" s="1116" t="s">
        <v>1029</v>
      </c>
      <c r="U9" s="1117">
        <f t="shared" si="1"/>
        <v>100</v>
      </c>
      <c r="V9" s="1116" t="s">
        <v>1029</v>
      </c>
      <c r="W9" s="1117">
        <f t="shared" si="2"/>
        <v>100</v>
      </c>
      <c r="X9" s="1118"/>
      <c r="Y9" s="3334" t="s">
        <v>1036</v>
      </c>
      <c r="Z9" s="1131" t="str">
        <f t="shared" ref="Z9:Z15" si="7">Q9</f>
        <v>用途</v>
      </c>
      <c r="AA9" s="1130">
        <f t="shared" si="3"/>
        <v>1</v>
      </c>
      <c r="AB9" s="1130">
        <f t="shared" si="4"/>
        <v>1</v>
      </c>
      <c r="AC9" s="1130">
        <f t="shared" si="5"/>
        <v>1</v>
      </c>
    </row>
    <row r="10" spans="1:30" s="906" customFormat="1" ht="27">
      <c r="A10" s="942"/>
      <c r="B10" s="943" t="s">
        <v>1037</v>
      </c>
      <c r="C10" s="944"/>
      <c r="D10" s="945">
        <v>100</v>
      </c>
      <c r="E10" s="1251"/>
      <c r="F10" s="945">
        <f>ROUND(100/'数据-取费表'!G16,0)</f>
        <v>115</v>
      </c>
      <c r="G10" s="1252"/>
      <c r="H10" s="945">
        <f>ROUND(100/'数据-取费表'!G16,0)</f>
        <v>115</v>
      </c>
      <c r="I10" s="1252"/>
      <c r="J10" s="945">
        <f>ROUND(100/'数据-取费表'!G16,0)</f>
        <v>115</v>
      </c>
      <c r="K10" s="1078"/>
      <c r="L10" s="1079"/>
      <c r="M10" s="1080"/>
      <c r="N10" s="1080"/>
      <c r="O10" s="1081"/>
      <c r="P10" s="3441"/>
      <c r="Q10" s="1120" t="str">
        <f t="shared" si="6"/>
        <v>土地使用年限（年）</v>
      </c>
      <c r="R10" s="1116" t="s">
        <v>1029</v>
      </c>
      <c r="S10" s="1117">
        <f t="shared" si="0"/>
        <v>115</v>
      </c>
      <c r="T10" s="1116" t="s">
        <v>1029</v>
      </c>
      <c r="U10" s="1117">
        <f t="shared" si="1"/>
        <v>115</v>
      </c>
      <c r="V10" s="1116" t="s">
        <v>1029</v>
      </c>
      <c r="W10" s="1117">
        <f t="shared" si="2"/>
        <v>115</v>
      </c>
      <c r="X10" s="1118"/>
      <c r="Y10" s="3334"/>
      <c r="Z10" s="1131" t="str">
        <f t="shared" si="7"/>
        <v>土地使用年限（年）</v>
      </c>
      <c r="AA10" s="1130">
        <f t="shared" si="3"/>
        <v>0.86956521739130432</v>
      </c>
      <c r="AB10" s="1130">
        <f t="shared" si="4"/>
        <v>0.86956521739130432</v>
      </c>
      <c r="AC10" s="1130">
        <f t="shared" si="5"/>
        <v>0.86956521739130432</v>
      </c>
    </row>
    <row r="11" spans="1:30" ht="15">
      <c r="A11" s="946"/>
      <c r="B11" s="943" t="s">
        <v>1038</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41"/>
      <c r="Q11" s="1120" t="str">
        <f t="shared" si="6"/>
        <v>容积率</v>
      </c>
      <c r="R11" s="1116" t="s">
        <v>1029</v>
      </c>
      <c r="S11" s="1117" t="e">
        <f t="shared" si="0"/>
        <v>#N/A</v>
      </c>
      <c r="T11" s="1116" t="s">
        <v>1029</v>
      </c>
      <c r="U11" s="1117" t="e">
        <f t="shared" si="1"/>
        <v>#N/A</v>
      </c>
      <c r="V11" s="1116" t="s">
        <v>1029</v>
      </c>
      <c r="W11" s="1117" t="e">
        <f t="shared" si="2"/>
        <v>#N/A</v>
      </c>
      <c r="X11" s="1118"/>
      <c r="Y11" s="3334"/>
      <c r="Z11" s="1131" t="str">
        <f t="shared" si="7"/>
        <v>容积率</v>
      </c>
      <c r="AA11" s="1130" t="e">
        <f t="shared" si="3"/>
        <v>#N/A</v>
      </c>
      <c r="AB11" s="1130" t="e">
        <f t="shared" si="4"/>
        <v>#N/A</v>
      </c>
      <c r="AC11" s="1130" t="e">
        <f t="shared" si="5"/>
        <v>#N/A</v>
      </c>
    </row>
    <row r="12" spans="1:30" s="905" customFormat="1" ht="15">
      <c r="A12" s="949"/>
      <c r="B12" s="950" t="s">
        <v>1564</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41"/>
      <c r="Q12" s="1120" t="str">
        <f t="shared" si="6"/>
        <v>配建</v>
      </c>
      <c r="R12" s="1116" t="s">
        <v>1029</v>
      </c>
      <c r="S12" s="1117">
        <f t="shared" si="0"/>
        <v>100</v>
      </c>
      <c r="T12" s="1116" t="s">
        <v>1029</v>
      </c>
      <c r="U12" s="1117">
        <f t="shared" si="1"/>
        <v>100</v>
      </c>
      <c r="V12" s="1116" t="s">
        <v>1029</v>
      </c>
      <c r="W12" s="1117">
        <f t="shared" si="2"/>
        <v>100</v>
      </c>
      <c r="X12" s="1118"/>
      <c r="Y12" s="3334"/>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41"/>
      <c r="Q13" s="1120">
        <f t="shared" si="6"/>
        <v>111</v>
      </c>
      <c r="R13" s="1116" t="s">
        <v>1029</v>
      </c>
      <c r="S13" s="1117">
        <f t="shared" si="0"/>
        <v>100</v>
      </c>
      <c r="T13" s="1116" t="s">
        <v>1029</v>
      </c>
      <c r="U13" s="1117">
        <f t="shared" si="1"/>
        <v>100</v>
      </c>
      <c r="V13" s="1116" t="s">
        <v>1029</v>
      </c>
      <c r="W13" s="1117">
        <f t="shared" si="2"/>
        <v>100</v>
      </c>
      <c r="X13" s="1118"/>
      <c r="Y13" s="3334"/>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41"/>
      <c r="Q14" s="1120">
        <f t="shared" si="6"/>
        <v>111</v>
      </c>
      <c r="R14" s="1116" t="s">
        <v>1029</v>
      </c>
      <c r="S14" s="1117">
        <f t="shared" si="0"/>
        <v>100</v>
      </c>
      <c r="T14" s="1116" t="s">
        <v>1029</v>
      </c>
      <c r="U14" s="1117">
        <f t="shared" si="1"/>
        <v>100</v>
      </c>
      <c r="V14" s="1116" t="s">
        <v>1029</v>
      </c>
      <c r="W14" s="1117">
        <f t="shared" si="2"/>
        <v>100</v>
      </c>
      <c r="X14" s="1118"/>
      <c r="Y14" s="3334"/>
      <c r="Z14" s="1131">
        <f t="shared" si="7"/>
        <v>111</v>
      </c>
      <c r="AA14" s="1130">
        <f t="shared" si="3"/>
        <v>1</v>
      </c>
      <c r="AB14" s="1130">
        <f t="shared" si="4"/>
        <v>1</v>
      </c>
      <c r="AC14" s="1130">
        <f t="shared" si="5"/>
        <v>1</v>
      </c>
    </row>
    <row r="15" spans="1:30" ht="15">
      <c r="A15" s="960" t="s">
        <v>1039</v>
      </c>
      <c r="B15" s="1253" t="s">
        <v>1500</v>
      </c>
      <c r="C15" s="1254">
        <f>估价对象房地状况!C15</f>
        <v>0</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48" t="s">
        <v>1041</v>
      </c>
      <c r="Q15" s="681" t="str">
        <f t="shared" si="6"/>
        <v>居住社区成熟度</v>
      </c>
      <c r="R15" s="1121" t="s">
        <v>1029</v>
      </c>
      <c r="S15" s="1122">
        <f t="shared" si="0"/>
        <v>100</v>
      </c>
      <c r="T15" s="1121" t="s">
        <v>1029</v>
      </c>
      <c r="U15" s="1122">
        <f t="shared" si="1"/>
        <v>100</v>
      </c>
      <c r="V15" s="1121" t="s">
        <v>1029</v>
      </c>
      <c r="W15" s="1122">
        <f t="shared" si="2"/>
        <v>100</v>
      </c>
      <c r="X15" s="1115"/>
      <c r="Y15" s="3448" t="s">
        <v>1041</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49"/>
      <c r="Q16" s="681"/>
      <c r="R16" s="1121"/>
      <c r="S16" s="1122"/>
      <c r="T16" s="1121"/>
      <c r="U16" s="1122"/>
      <c r="V16" s="1121"/>
      <c r="W16" s="1122"/>
      <c r="X16" s="1115"/>
      <c r="Y16" s="3449"/>
      <c r="Z16" s="1105"/>
      <c r="AA16" s="1132">
        <v>1</v>
      </c>
      <c r="AB16" s="1132">
        <v>1</v>
      </c>
      <c r="AC16" s="1132">
        <v>1</v>
      </c>
    </row>
    <row r="17" spans="1:29" ht="15">
      <c r="A17" s="946"/>
      <c r="B17" s="1256" t="s">
        <v>1529</v>
      </c>
      <c r="C17" s="679">
        <f>估价对象房地状况!C16</f>
        <v>0</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49"/>
      <c r="Q17" s="681" t="str">
        <f>B17</f>
        <v>商业繁华度</v>
      </c>
      <c r="R17" s="1121" t="s">
        <v>1029</v>
      </c>
      <c r="S17" s="1122">
        <f>F17</f>
        <v>100</v>
      </c>
      <c r="T17" s="1121" t="s">
        <v>1029</v>
      </c>
      <c r="U17" s="1122">
        <f>H17</f>
        <v>100</v>
      </c>
      <c r="V17" s="1121" t="s">
        <v>1029</v>
      </c>
      <c r="W17" s="1122">
        <f>J17</f>
        <v>100</v>
      </c>
      <c r="X17" s="1115"/>
      <c r="Y17" s="3449"/>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49"/>
      <c r="Q18" s="681"/>
      <c r="R18" s="1121"/>
      <c r="S18" s="1122"/>
      <c r="T18" s="1121"/>
      <c r="U18" s="1122"/>
      <c r="V18" s="1121"/>
      <c r="W18" s="1122"/>
      <c r="X18" s="1115"/>
      <c r="Y18" s="3449"/>
      <c r="Z18" s="1105"/>
      <c r="AA18" s="1132">
        <v>1</v>
      </c>
      <c r="AB18" s="1132">
        <v>1</v>
      </c>
      <c r="AC18" s="1132">
        <v>1</v>
      </c>
    </row>
    <row r="19" spans="1:29" ht="15">
      <c r="A19" s="946"/>
      <c r="B19" s="1256" t="s">
        <v>1541</v>
      </c>
      <c r="C19" s="679">
        <f>估价对象房地状况!C17</f>
        <v>0</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49"/>
      <c r="Q19" s="681" t="str">
        <f>B19</f>
        <v>办公集聚程度</v>
      </c>
      <c r="R19" s="1121" t="s">
        <v>1029</v>
      </c>
      <c r="S19" s="1122">
        <f>F19</f>
        <v>100</v>
      </c>
      <c r="T19" s="1121" t="s">
        <v>1029</v>
      </c>
      <c r="U19" s="1122">
        <f>H19</f>
        <v>100</v>
      </c>
      <c r="V19" s="1121" t="s">
        <v>1029</v>
      </c>
      <c r="W19" s="1122">
        <f>J19</f>
        <v>100</v>
      </c>
      <c r="X19" s="1115"/>
      <c r="Y19" s="3449"/>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49"/>
      <c r="Q20" s="681"/>
      <c r="R20" s="1121"/>
      <c r="S20" s="1122"/>
      <c r="T20" s="1121"/>
      <c r="U20" s="1122"/>
      <c r="V20" s="1121"/>
      <c r="W20" s="1122"/>
      <c r="X20" s="1115"/>
      <c r="Y20" s="3449"/>
      <c r="Z20" s="1105"/>
      <c r="AA20" s="1132">
        <v>1</v>
      </c>
      <c r="AB20" s="1132">
        <v>1</v>
      </c>
      <c r="AC20" s="1132">
        <v>1</v>
      </c>
    </row>
    <row r="21" spans="1:29" ht="15">
      <c r="A21" s="946"/>
      <c r="B21" s="1256" t="s">
        <v>1042</v>
      </c>
      <c r="C21" s="971">
        <f>估价对象房地状况!C18</f>
        <v>0</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49"/>
      <c r="Q21" s="681" t="str">
        <f>B21</f>
        <v>交通便捷度</v>
      </c>
      <c r="R21" s="1121" t="s">
        <v>1029</v>
      </c>
      <c r="S21" s="1122">
        <f>F21</f>
        <v>100</v>
      </c>
      <c r="T21" s="1121" t="s">
        <v>1029</v>
      </c>
      <c r="U21" s="1122">
        <f>H21</f>
        <v>100</v>
      </c>
      <c r="V21" s="1121" t="s">
        <v>1029</v>
      </c>
      <c r="W21" s="1122">
        <f>J21</f>
        <v>100</v>
      </c>
      <c r="X21" s="1115"/>
      <c r="Y21" s="3449"/>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49"/>
      <c r="Q22" s="681"/>
      <c r="R22" s="1121"/>
      <c r="S22" s="1122"/>
      <c r="T22" s="1121"/>
      <c r="U22" s="1122"/>
      <c r="V22" s="1121"/>
      <c r="W22" s="1122"/>
      <c r="X22" s="1115"/>
      <c r="Y22" s="3449"/>
      <c r="Z22" s="1105"/>
      <c r="AA22" s="1132">
        <v>1</v>
      </c>
      <c r="AB22" s="1132">
        <v>1</v>
      </c>
      <c r="AC22" s="1132">
        <v>1</v>
      </c>
    </row>
    <row r="23" spans="1:29" ht="15">
      <c r="A23" s="926"/>
      <c r="B23" s="1256" t="s">
        <v>1565</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49"/>
      <c r="Q23" s="681" t="str">
        <f t="shared" ref="Q23:Q38" si="8">B23</f>
        <v>区域土地利用方向</v>
      </c>
      <c r="R23" s="1121" t="s">
        <v>1029</v>
      </c>
      <c r="S23" s="1122">
        <f>F23</f>
        <v>100</v>
      </c>
      <c r="T23" s="1121" t="s">
        <v>1029</v>
      </c>
      <c r="U23" s="1122">
        <f>H23</f>
        <v>100</v>
      </c>
      <c r="V23" s="1121" t="s">
        <v>1029</v>
      </c>
      <c r="W23" s="1122">
        <f>J23</f>
        <v>100</v>
      </c>
      <c r="X23" s="1115"/>
      <c r="Y23" s="3449"/>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49"/>
      <c r="Q24" s="681"/>
      <c r="R24" s="1121"/>
      <c r="S24" s="1122"/>
      <c r="T24" s="1121"/>
      <c r="U24" s="1122"/>
      <c r="V24" s="1121"/>
      <c r="W24" s="1122"/>
      <c r="X24" s="1115"/>
      <c r="Y24" s="3449"/>
      <c r="Z24" s="1105"/>
      <c r="AA24" s="1132"/>
      <c r="AB24" s="1132"/>
      <c r="AC24" s="1132"/>
    </row>
    <row r="25" spans="1:29" ht="27">
      <c r="A25" s="926"/>
      <c r="B25" s="1260" t="s">
        <v>1566</v>
      </c>
      <c r="C25" s="679">
        <f>估价对象房地状况!C20</f>
        <v>0</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49"/>
      <c r="Q25" s="681" t="str">
        <f t="shared" si="8"/>
        <v>自然及人文环境状况</v>
      </c>
      <c r="R25" s="1121" t="s">
        <v>1029</v>
      </c>
      <c r="S25" s="1122">
        <f>F25</f>
        <v>100</v>
      </c>
      <c r="T25" s="1121" t="s">
        <v>1029</v>
      </c>
      <c r="U25" s="1122">
        <f>H25</f>
        <v>100</v>
      </c>
      <c r="V25" s="1121" t="s">
        <v>1029</v>
      </c>
      <c r="W25" s="1122">
        <f>J25</f>
        <v>100</v>
      </c>
      <c r="X25" s="1115"/>
      <c r="Y25" s="3449"/>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49"/>
      <c r="Q26" s="681"/>
      <c r="R26" s="1121"/>
      <c r="S26" s="1122"/>
      <c r="T26" s="1121"/>
      <c r="U26" s="1122"/>
      <c r="V26" s="1121"/>
      <c r="W26" s="1122"/>
      <c r="X26" s="1115"/>
      <c r="Y26" s="3449"/>
      <c r="Z26" s="1105"/>
      <c r="AA26" s="1132">
        <v>1</v>
      </c>
      <c r="AB26" s="1132">
        <v>1</v>
      </c>
      <c r="AC26" s="1132">
        <v>1</v>
      </c>
    </row>
    <row r="27" spans="1:29" s="905" customFormat="1" ht="15">
      <c r="A27" s="976"/>
      <c r="B27" s="1260" t="s">
        <v>1043</v>
      </c>
      <c r="C27" s="971">
        <f>估价对象房地状况!C21</f>
        <v>0</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49"/>
      <c r="Q27" s="1120" t="str">
        <f t="shared" si="8"/>
        <v>公共配套设施</v>
      </c>
      <c r="R27" s="1116" t="s">
        <v>1029</v>
      </c>
      <c r="S27" s="1117">
        <f>F27</f>
        <v>100</v>
      </c>
      <c r="T27" s="1116" t="s">
        <v>1029</v>
      </c>
      <c r="U27" s="1117">
        <f>H27</f>
        <v>100</v>
      </c>
      <c r="V27" s="1116" t="s">
        <v>1029</v>
      </c>
      <c r="W27" s="1117">
        <f>J27</f>
        <v>100</v>
      </c>
      <c r="X27" s="1118"/>
      <c r="Y27" s="3449"/>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49"/>
      <c r="Q28" s="1120"/>
      <c r="R28" s="1116"/>
      <c r="S28" s="1117"/>
      <c r="T28" s="1116"/>
      <c r="U28" s="1117"/>
      <c r="V28" s="1116"/>
      <c r="W28" s="1117"/>
      <c r="X28" s="1118"/>
      <c r="Y28" s="3449"/>
      <c r="Z28" s="1131"/>
      <c r="AA28" s="1132">
        <v>1</v>
      </c>
      <c r="AB28" s="1132">
        <v>1</v>
      </c>
      <c r="AC28" s="1132">
        <v>1</v>
      </c>
    </row>
    <row r="29" spans="1:29" s="905" customFormat="1" ht="15">
      <c r="A29" s="976"/>
      <c r="B29" s="1260" t="s">
        <v>1044</v>
      </c>
      <c r="C29" s="971">
        <f>估价对象房地状况!C22</f>
        <v>0</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49"/>
      <c r="Q29" s="1120" t="str">
        <f t="shared" ref="Q29" si="9">B29</f>
        <v>基础设施水平</v>
      </c>
      <c r="R29" s="1116" t="s">
        <v>1029</v>
      </c>
      <c r="S29" s="1117">
        <f>F29</f>
        <v>100</v>
      </c>
      <c r="T29" s="1116" t="s">
        <v>1029</v>
      </c>
      <c r="U29" s="1117">
        <f>H29</f>
        <v>100</v>
      </c>
      <c r="V29" s="1116" t="s">
        <v>1029</v>
      </c>
      <c r="W29" s="1117">
        <f>J29</f>
        <v>100</v>
      </c>
      <c r="X29" s="1118"/>
      <c r="Y29" s="3449"/>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49"/>
      <c r="Q30" s="1120"/>
      <c r="R30" s="1116"/>
      <c r="S30" s="1117"/>
      <c r="T30" s="1116"/>
      <c r="U30" s="1117"/>
      <c r="V30" s="1116"/>
      <c r="W30" s="1117"/>
      <c r="X30" s="1118"/>
      <c r="Y30" s="3449"/>
      <c r="Z30" s="1131"/>
      <c r="AA30" s="1132">
        <v>1</v>
      </c>
      <c r="AB30" s="1132">
        <v>1</v>
      </c>
      <c r="AC30" s="1132">
        <v>1</v>
      </c>
    </row>
    <row r="31" spans="1:29" ht="15">
      <c r="A31" s="946"/>
      <c r="B31" s="994" t="s">
        <v>1530</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49"/>
      <c r="Q31" s="681" t="str">
        <f t="shared" si="8"/>
        <v>临街状况</v>
      </c>
      <c r="R31" s="1121" t="s">
        <v>1029</v>
      </c>
      <c r="S31" s="1122">
        <f t="shared" ref="S31:S45" si="10">F31</f>
        <v>100</v>
      </c>
      <c r="T31" s="1121" t="s">
        <v>1029</v>
      </c>
      <c r="U31" s="1122">
        <f t="shared" ref="U31:U45" si="11">H31</f>
        <v>100</v>
      </c>
      <c r="V31" s="1121" t="s">
        <v>1029</v>
      </c>
      <c r="W31" s="1122">
        <f t="shared" ref="W31:W45" si="12">J31</f>
        <v>100</v>
      </c>
      <c r="X31" s="1115"/>
      <c r="Y31" s="3449"/>
      <c r="Z31" s="1105" t="str">
        <f t="shared" ref="Z31:Z45" si="13">Q31</f>
        <v>临街状况</v>
      </c>
      <c r="AA31" s="1132">
        <f t="shared" si="3"/>
        <v>1</v>
      </c>
      <c r="AB31" s="1132">
        <f t="shared" si="4"/>
        <v>1</v>
      </c>
      <c r="AC31" s="1132">
        <f t="shared" si="5"/>
        <v>1</v>
      </c>
    </row>
    <row r="32" spans="1:29" ht="27">
      <c r="A32" s="946"/>
      <c r="B32" s="1260" t="s">
        <v>1542</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49"/>
      <c r="Q32" s="681" t="str">
        <f t="shared" si="8"/>
        <v>毗邻道路的类型与等级</v>
      </c>
      <c r="R32" s="1121" t="s">
        <v>1029</v>
      </c>
      <c r="S32" s="1122">
        <f t="shared" si="10"/>
        <v>100</v>
      </c>
      <c r="T32" s="1121" t="s">
        <v>1029</v>
      </c>
      <c r="U32" s="1122">
        <f t="shared" si="11"/>
        <v>100</v>
      </c>
      <c r="V32" s="1121" t="s">
        <v>1029</v>
      </c>
      <c r="W32" s="1122">
        <f t="shared" si="12"/>
        <v>100</v>
      </c>
      <c r="X32" s="1115"/>
      <c r="Y32" s="3449"/>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49"/>
      <c r="Q33" s="681"/>
      <c r="R33" s="1121"/>
      <c r="S33" s="1122"/>
      <c r="T33" s="1121"/>
      <c r="U33" s="1122"/>
      <c r="V33" s="1121"/>
      <c r="W33" s="1122"/>
      <c r="X33" s="1115"/>
      <c r="Y33" s="3449"/>
      <c r="Z33" s="1105"/>
      <c r="AA33" s="1132">
        <v>1</v>
      </c>
      <c r="AB33" s="1132">
        <v>1</v>
      </c>
      <c r="AC33" s="1132">
        <v>1</v>
      </c>
    </row>
    <row r="34" spans="1:29" ht="15">
      <c r="A34" s="946"/>
      <c r="B34" s="943" t="s">
        <v>1567</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49"/>
      <c r="Q34" s="681" t="str">
        <f t="shared" si="8"/>
        <v>土地级别</v>
      </c>
      <c r="R34" s="1121" t="s">
        <v>1029</v>
      </c>
      <c r="S34" s="1122">
        <f t="shared" si="10"/>
        <v>100</v>
      </c>
      <c r="T34" s="1121" t="s">
        <v>1029</v>
      </c>
      <c r="U34" s="1122">
        <f t="shared" si="11"/>
        <v>100</v>
      </c>
      <c r="V34" s="1121" t="s">
        <v>1029</v>
      </c>
      <c r="W34" s="1122">
        <f t="shared" si="12"/>
        <v>100</v>
      </c>
      <c r="X34" s="1115"/>
      <c r="Y34" s="3449"/>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49"/>
      <c r="Q35" s="681">
        <f t="shared" si="8"/>
        <v>111</v>
      </c>
      <c r="R35" s="1121" t="s">
        <v>1029</v>
      </c>
      <c r="S35" s="1122">
        <f t="shared" si="10"/>
        <v>100</v>
      </c>
      <c r="T35" s="1121" t="s">
        <v>1029</v>
      </c>
      <c r="U35" s="1122">
        <f t="shared" si="11"/>
        <v>100</v>
      </c>
      <c r="V35" s="1121" t="s">
        <v>1029</v>
      </c>
      <c r="W35" s="1122">
        <f t="shared" si="12"/>
        <v>100</v>
      </c>
      <c r="X35" s="1115"/>
      <c r="Y35" s="3449"/>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50" t="s">
        <v>1051</v>
      </c>
      <c r="Q36" s="681">
        <f t="shared" si="8"/>
        <v>111</v>
      </c>
      <c r="R36" s="1121" t="s">
        <v>1029</v>
      </c>
      <c r="S36" s="1122">
        <f t="shared" si="10"/>
        <v>100</v>
      </c>
      <c r="T36" s="1121" t="s">
        <v>1029</v>
      </c>
      <c r="U36" s="1122">
        <f t="shared" si="11"/>
        <v>100</v>
      </c>
      <c r="V36" s="1121" t="s">
        <v>1029</v>
      </c>
      <c r="W36" s="1122">
        <f t="shared" si="12"/>
        <v>100</v>
      </c>
      <c r="X36" s="1115"/>
      <c r="Y36" s="3451" t="s">
        <v>1051</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51"/>
      <c r="Q37" s="681">
        <f t="shared" si="8"/>
        <v>111</v>
      </c>
      <c r="R37" s="1123" t="s">
        <v>1029</v>
      </c>
      <c r="S37" s="1124">
        <f t="shared" si="10"/>
        <v>100</v>
      </c>
      <c r="T37" s="1123" t="s">
        <v>1029</v>
      </c>
      <c r="U37" s="1124">
        <f t="shared" si="11"/>
        <v>100</v>
      </c>
      <c r="V37" s="1123" t="s">
        <v>1029</v>
      </c>
      <c r="W37" s="1124">
        <f t="shared" si="12"/>
        <v>100</v>
      </c>
      <c r="X37" s="1125"/>
      <c r="Y37" s="3451"/>
      <c r="Z37" s="1133">
        <f t="shared" si="13"/>
        <v>111</v>
      </c>
      <c r="AA37" s="1132">
        <f t="shared" si="3"/>
        <v>1</v>
      </c>
      <c r="AB37" s="1132">
        <f t="shared" si="4"/>
        <v>1</v>
      </c>
      <c r="AC37" s="1132">
        <f t="shared" si="5"/>
        <v>1</v>
      </c>
    </row>
    <row r="38" spans="1:29" ht="15">
      <c r="A38" s="997" t="s">
        <v>1048</v>
      </c>
      <c r="B38" s="994" t="s">
        <v>1568</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51"/>
      <c r="Q38" s="681" t="str">
        <f t="shared" si="8"/>
        <v>宗地面积</v>
      </c>
      <c r="R38" s="1121" t="s">
        <v>1029</v>
      </c>
      <c r="S38" s="1122" t="e">
        <f t="shared" si="10"/>
        <v>#N/A</v>
      </c>
      <c r="T38" s="1121" t="s">
        <v>1029</v>
      </c>
      <c r="U38" s="1122" t="e">
        <f t="shared" si="11"/>
        <v>#N/A</v>
      </c>
      <c r="V38" s="1121" t="s">
        <v>1029</v>
      </c>
      <c r="W38" s="1122" t="e">
        <f t="shared" si="12"/>
        <v>#N/A</v>
      </c>
      <c r="X38" s="1115"/>
      <c r="Y38" s="3451"/>
      <c r="Z38" s="1105" t="str">
        <f t="shared" si="13"/>
        <v>宗地面积</v>
      </c>
      <c r="AA38" s="1132" t="e">
        <f t="shared" si="3"/>
        <v>#N/A</v>
      </c>
      <c r="AB38" s="1132" t="e">
        <f t="shared" si="4"/>
        <v>#N/A</v>
      </c>
      <c r="AC38" s="1132" t="e">
        <f t="shared" si="5"/>
        <v>#N/A</v>
      </c>
    </row>
    <row r="39" spans="1:29" ht="15">
      <c r="A39" s="997"/>
      <c r="B39" s="943" t="s">
        <v>1569</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51"/>
      <c r="Q39" s="681" t="str">
        <f t="shared" ref="Q39:Q45" si="14">B39</f>
        <v>宗地形状</v>
      </c>
      <c r="R39" s="1121" t="s">
        <v>1029</v>
      </c>
      <c r="S39" s="1122">
        <f t="shared" si="10"/>
        <v>100</v>
      </c>
      <c r="T39" s="1121" t="s">
        <v>1029</v>
      </c>
      <c r="U39" s="1122">
        <f t="shared" si="11"/>
        <v>100</v>
      </c>
      <c r="V39" s="1121" t="s">
        <v>1029</v>
      </c>
      <c r="W39" s="1122">
        <f t="shared" si="12"/>
        <v>100</v>
      </c>
      <c r="X39" s="1115"/>
      <c r="Y39" s="3451"/>
      <c r="Z39" s="1105" t="str">
        <f t="shared" si="13"/>
        <v>宗地形状</v>
      </c>
      <c r="AA39" s="1132">
        <f t="shared" si="3"/>
        <v>1</v>
      </c>
      <c r="AB39" s="1132">
        <f t="shared" si="4"/>
        <v>1</v>
      </c>
      <c r="AC39" s="1132">
        <f t="shared" si="5"/>
        <v>1</v>
      </c>
    </row>
    <row r="40" spans="1:29" ht="15">
      <c r="A40" s="997"/>
      <c r="B40" s="943" t="s">
        <v>1570</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51"/>
      <c r="Q40" s="681" t="str">
        <f t="shared" si="14"/>
        <v>临街宽度及深度</v>
      </c>
      <c r="R40" s="1121" t="s">
        <v>1029</v>
      </c>
      <c r="S40" s="1122">
        <f t="shared" si="10"/>
        <v>100</v>
      </c>
      <c r="T40" s="1121" t="s">
        <v>1029</v>
      </c>
      <c r="U40" s="1122">
        <f t="shared" si="11"/>
        <v>100</v>
      </c>
      <c r="V40" s="1121" t="s">
        <v>1029</v>
      </c>
      <c r="W40" s="1122">
        <f t="shared" si="12"/>
        <v>100</v>
      </c>
      <c r="X40" s="1115"/>
      <c r="Y40" s="3451"/>
      <c r="Z40" s="1105" t="str">
        <f t="shared" si="13"/>
        <v>临街宽度及深度</v>
      </c>
      <c r="AA40" s="1132">
        <f t="shared" si="3"/>
        <v>1</v>
      </c>
      <c r="AB40" s="1132">
        <f t="shared" si="4"/>
        <v>1</v>
      </c>
      <c r="AC40" s="1132">
        <f t="shared" si="5"/>
        <v>1</v>
      </c>
    </row>
    <row r="41" spans="1:29" s="905" customFormat="1" ht="15">
      <c r="A41" s="999"/>
      <c r="B41" s="943" t="s">
        <v>1571</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51"/>
      <c r="Q41" s="681" t="str">
        <f t="shared" si="14"/>
        <v>宗地开发程度</v>
      </c>
      <c r="R41" s="1116" t="s">
        <v>1029</v>
      </c>
      <c r="S41" s="1117">
        <f t="shared" si="10"/>
        <v>100</v>
      </c>
      <c r="T41" s="1116" t="s">
        <v>1029</v>
      </c>
      <c r="U41" s="1117">
        <f t="shared" si="11"/>
        <v>100</v>
      </c>
      <c r="V41" s="1116" t="s">
        <v>1029</v>
      </c>
      <c r="W41" s="1117">
        <f t="shared" si="12"/>
        <v>100</v>
      </c>
      <c r="X41" s="1118"/>
      <c r="Y41" s="3451"/>
      <c r="Z41" s="1131" t="str">
        <f t="shared" si="13"/>
        <v>宗地开发程度</v>
      </c>
      <c r="AA41" s="1130">
        <f t="shared" si="3"/>
        <v>1</v>
      </c>
      <c r="AB41" s="1130">
        <f t="shared" si="4"/>
        <v>1</v>
      </c>
      <c r="AC41" s="1130">
        <f t="shared" si="5"/>
        <v>1</v>
      </c>
    </row>
    <row r="42" spans="1:29" ht="15">
      <c r="A42" s="997"/>
      <c r="B42" s="943" t="s">
        <v>1572</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51" t="s">
        <v>1051</v>
      </c>
      <c r="Q42" s="681" t="str">
        <f t="shared" si="14"/>
        <v>工程地质条件</v>
      </c>
      <c r="R42" s="1121" t="s">
        <v>1029</v>
      </c>
      <c r="S42" s="1122">
        <f t="shared" si="10"/>
        <v>100</v>
      </c>
      <c r="T42" s="1121" t="s">
        <v>1029</v>
      </c>
      <c r="U42" s="1122">
        <f t="shared" si="11"/>
        <v>100</v>
      </c>
      <c r="V42" s="1121" t="s">
        <v>1029</v>
      </c>
      <c r="W42" s="1122">
        <f t="shared" si="12"/>
        <v>100</v>
      </c>
      <c r="X42" s="1115"/>
      <c r="Y42" s="3451" t="s">
        <v>1051</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51"/>
      <c r="Q43" s="681">
        <f t="shared" si="14"/>
        <v>111</v>
      </c>
      <c r="R43" s="1121" t="s">
        <v>1029</v>
      </c>
      <c r="S43" s="1122">
        <f t="shared" si="10"/>
        <v>100</v>
      </c>
      <c r="T43" s="1121" t="s">
        <v>1029</v>
      </c>
      <c r="U43" s="1122">
        <f t="shared" si="11"/>
        <v>100</v>
      </c>
      <c r="V43" s="1121" t="s">
        <v>1029</v>
      </c>
      <c r="W43" s="1122">
        <f t="shared" si="12"/>
        <v>100</v>
      </c>
      <c r="X43" s="1115"/>
      <c r="Y43" s="3451"/>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51"/>
      <c r="Q44" s="681">
        <f t="shared" si="14"/>
        <v>111</v>
      </c>
      <c r="R44" s="1121" t="s">
        <v>1029</v>
      </c>
      <c r="S44" s="1122">
        <f t="shared" si="10"/>
        <v>100</v>
      </c>
      <c r="T44" s="1121" t="s">
        <v>1029</v>
      </c>
      <c r="U44" s="1122">
        <f t="shared" si="11"/>
        <v>100</v>
      </c>
      <c r="V44" s="1121" t="s">
        <v>1029</v>
      </c>
      <c r="W44" s="1122">
        <f t="shared" si="12"/>
        <v>100</v>
      </c>
      <c r="X44" s="1115"/>
      <c r="Y44" s="3451"/>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51"/>
      <c r="Q45" s="681">
        <f t="shared" si="14"/>
        <v>111</v>
      </c>
      <c r="R45" s="1123" t="s">
        <v>1029</v>
      </c>
      <c r="S45" s="1124">
        <f t="shared" si="10"/>
        <v>100</v>
      </c>
      <c r="T45" s="1123" t="s">
        <v>1029</v>
      </c>
      <c r="U45" s="1124">
        <f t="shared" si="11"/>
        <v>100</v>
      </c>
      <c r="V45" s="1123" t="s">
        <v>1029</v>
      </c>
      <c r="W45" s="1124">
        <f t="shared" si="12"/>
        <v>100</v>
      </c>
      <c r="X45" s="1125"/>
      <c r="Y45" s="3451"/>
      <c r="Z45" s="1133">
        <f t="shared" si="13"/>
        <v>111</v>
      </c>
      <c r="AA45" s="1132">
        <f t="shared" si="3"/>
        <v>1</v>
      </c>
      <c r="AB45" s="1132">
        <f t="shared" si="4"/>
        <v>1</v>
      </c>
      <c r="AC45" s="1132">
        <f t="shared" si="5"/>
        <v>1</v>
      </c>
    </row>
    <row r="46" spans="1:29" ht="15">
      <c r="A46" s="1004" t="s">
        <v>1555</v>
      </c>
      <c r="B46" s="1005" t="s">
        <v>1573</v>
      </c>
      <c r="C46" s="1006" t="s">
        <v>124</v>
      </c>
      <c r="D46" s="1007"/>
      <c r="E46" s="1008"/>
      <c r="F46" s="1009"/>
      <c r="G46" s="1010"/>
      <c r="H46" s="1011"/>
      <c r="I46" s="1008"/>
      <c r="J46" s="1011"/>
      <c r="K46" s="1096"/>
      <c r="L46" s="1097"/>
      <c r="M46" s="1021"/>
      <c r="N46" s="1073"/>
      <c r="O46" s="1021"/>
      <c r="P46" s="3441" t="str">
        <f>A46</f>
        <v>成交单价</v>
      </c>
      <c r="Q46" s="3441"/>
      <c r="R46" s="3440">
        <f>E46</f>
        <v>0</v>
      </c>
      <c r="S46" s="3440"/>
      <c r="T46" s="3440">
        <f>G46</f>
        <v>0</v>
      </c>
      <c r="U46" s="3440"/>
      <c r="V46" s="3440">
        <f>I46</f>
        <v>0</v>
      </c>
      <c r="W46" s="3440"/>
      <c r="X46" s="1061"/>
      <c r="Y46" s="1134"/>
      <c r="Z46" s="1061"/>
      <c r="AA46" s="1061"/>
      <c r="AB46" s="1061"/>
      <c r="AC46" s="1061"/>
    </row>
    <row r="47" spans="1:29" ht="15">
      <c r="A47" s="1012" t="s">
        <v>1065</v>
      </c>
      <c r="B47" s="1013"/>
      <c r="C47" s="1014" t="e">
        <f>R48</f>
        <v>#DIV/0!</v>
      </c>
      <c r="D47" s="1015" t="s">
        <v>1066</v>
      </c>
      <c r="E47" s="1014" t="e">
        <f>R47</f>
        <v>#DIV/0!</v>
      </c>
      <c r="F47" s="1016"/>
      <c r="G47" s="1017" t="e">
        <f>T47</f>
        <v>#DIV/0!</v>
      </c>
      <c r="H47" s="1016"/>
      <c r="I47" s="1014" t="e">
        <f>V47</f>
        <v>#DIV/0!</v>
      </c>
      <c r="J47" s="1016"/>
      <c r="K47" s="1098">
        <f>F47+H47+J47</f>
        <v>0</v>
      </c>
      <c r="L47" s="1097"/>
      <c r="M47" s="1021"/>
      <c r="N47" s="1021"/>
      <c r="O47" s="1021"/>
      <c r="P47" s="3441" t="str">
        <f>A47</f>
        <v>比较价值（元/平方米）</v>
      </c>
      <c r="Q47" s="3441"/>
      <c r="R47" s="3517" t="e">
        <f>ROUND(PRODUCT(R46,AA7:AA45),0)</f>
        <v>#DIV/0!</v>
      </c>
      <c r="S47" s="3517"/>
      <c r="T47" s="3517" t="e">
        <f>ROUND(PRODUCT(T46,AB7:AB45),0)</f>
        <v>#DIV/0!</v>
      </c>
      <c r="U47" s="3517"/>
      <c r="V47" s="3517" t="e">
        <f>ROUND(PRODUCT(V46,AC7:AC45),0)</f>
        <v>#DIV/0!</v>
      </c>
      <c r="W47" s="3517"/>
      <c r="X47" s="1061"/>
      <c r="Y47" s="1061"/>
      <c r="Z47" s="1061"/>
      <c r="AA47" s="1061"/>
      <c r="AB47" s="1061"/>
      <c r="AC47" s="1061"/>
    </row>
    <row r="48" spans="1:29" ht="15">
      <c r="A48" s="1018" t="s">
        <v>1574</v>
      </c>
      <c r="B48" s="1019"/>
      <c r="C48" s="1020" t="e">
        <f>R48</f>
        <v>#DIV/0!</v>
      </c>
      <c r="D48" s="1020"/>
      <c r="E48" s="1020"/>
      <c r="F48" s="1020"/>
      <c r="G48" s="1020"/>
      <c r="H48" s="1020"/>
      <c r="I48" s="1020"/>
      <c r="J48" s="1020"/>
      <c r="K48" s="1099"/>
      <c r="L48" s="1097"/>
      <c r="M48" s="1021"/>
      <c r="N48" s="1021"/>
      <c r="O48" s="1021"/>
      <c r="P48" s="3443" t="str">
        <f>A48</f>
        <v>估价对象XX用房的比较价值（楼面单价，元/平方米）</v>
      </c>
      <c r="Q48" s="3444"/>
      <c r="R48" s="3518" t="e">
        <f>ROUND(IF(D47="简单平均",AVERAGE(R47:W47),R47*F47+T47*H47+V47*J47),0)</f>
        <v>#DIV/0!</v>
      </c>
      <c r="S48" s="3518"/>
      <c r="T48" s="3518"/>
      <c r="U48" s="3518"/>
      <c r="V48" s="3518"/>
      <c r="W48" s="3518"/>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1068</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1069</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1070</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1575</v>
      </c>
      <c r="B55" s="1031" t="s">
        <v>1576</v>
      </c>
      <c r="C55" s="1032" t="s">
        <v>1577</v>
      </c>
      <c r="D55" s="1033" t="s">
        <v>1578</v>
      </c>
      <c r="E55" s="1034" t="s">
        <v>1579</v>
      </c>
      <c r="F55" s="1264" t="s">
        <v>1580</v>
      </c>
      <c r="G55" s="3458" t="s">
        <v>1581</v>
      </c>
      <c r="H55" s="3516"/>
      <c r="I55" s="1268" t="s">
        <v>1582</v>
      </c>
      <c r="J55" s="1269">
        <f>项目基本情况!F35</f>
        <v>0</v>
      </c>
      <c r="K55" s="1106" t="s">
        <v>1583</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1584</v>
      </c>
      <c r="B56" s="1037" t="e">
        <f>C48</f>
        <v>#DIV/0!</v>
      </c>
      <c r="C56" s="1038">
        <v>1</v>
      </c>
      <c r="D56" s="1039">
        <v>1</v>
      </c>
      <c r="E56" s="1038">
        <f>'数据-汇总表'!E8+'数据-汇总表'!E9</f>
        <v>632.1099999999999</v>
      </c>
      <c r="F56" s="1265" t="e">
        <f t="shared" ref="F56:F64" si="15">ROUND(B56*E56/10000,0)</f>
        <v>#DIV/0!</v>
      </c>
      <c r="G56" s="3492"/>
      <c r="H56" s="344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1585</v>
      </c>
      <c r="B57" s="167" t="e">
        <f>ROUND($C$48*C57*D57,0)</f>
        <v>#DIV/0!</v>
      </c>
      <c r="C57" s="626">
        <f t="shared" ref="C57:C64" si="16">IF($C$55="北京市系数",I57,J57)</f>
        <v>0</v>
      </c>
      <c r="D57" s="1042">
        <v>0.25</v>
      </c>
      <c r="E57" s="1043"/>
      <c r="F57" s="1265" t="e">
        <f t="shared" si="15"/>
        <v>#DIV/0!</v>
      </c>
      <c r="G57" s="1044" t="s">
        <v>1586</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1587</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1588</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1589</v>
      </c>
      <c r="B60" s="167" t="e">
        <f t="shared" si="17"/>
        <v>#DIV/0!</v>
      </c>
      <c r="C60" s="626">
        <f t="shared" si="16"/>
        <v>0</v>
      </c>
      <c r="D60" s="1042">
        <v>0.25</v>
      </c>
      <c r="E60" s="166">
        <f>'数据-汇总表'!E11</f>
        <v>0</v>
      </c>
      <c r="F60" s="1265" t="e">
        <f t="shared" si="15"/>
        <v>#DIV/0!</v>
      </c>
      <c r="G60" s="1048" t="s">
        <v>1590</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1591</v>
      </c>
      <c r="B61" s="167" t="e">
        <f t="shared" si="17"/>
        <v>#DIV/0!</v>
      </c>
      <c r="C61" s="626">
        <f t="shared" si="16"/>
        <v>0</v>
      </c>
      <c r="D61" s="1042">
        <v>0.25</v>
      </c>
      <c r="E61" s="166">
        <f>'数据-汇总表'!E12</f>
        <v>0</v>
      </c>
      <c r="F61" s="1265" t="e">
        <f t="shared" si="15"/>
        <v>#DIV/0!</v>
      </c>
      <c r="G61" s="1049" t="s">
        <v>1592</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1593</v>
      </c>
      <c r="B62" s="167" t="e">
        <f t="shared" si="17"/>
        <v>#DIV/0!</v>
      </c>
      <c r="C62" s="626">
        <f t="shared" si="16"/>
        <v>0</v>
      </c>
      <c r="D62" s="1042">
        <v>0.25</v>
      </c>
      <c r="E62" s="166">
        <f>'数据-汇总表'!E13</f>
        <v>0</v>
      </c>
      <c r="F62" s="1265" t="e">
        <f t="shared" si="15"/>
        <v>#DIV/0!</v>
      </c>
      <c r="G62" s="1049" t="s">
        <v>1594</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1595</v>
      </c>
      <c r="B63" s="167" t="e">
        <f t="shared" si="17"/>
        <v>#DIV/0!</v>
      </c>
      <c r="C63" s="626">
        <f t="shared" si="16"/>
        <v>0</v>
      </c>
      <c r="D63" s="1042">
        <v>0.25</v>
      </c>
      <c r="E63" s="166">
        <f>'数据-汇总表'!E14</f>
        <v>0</v>
      </c>
      <c r="F63" s="1265" t="e">
        <f t="shared" si="15"/>
        <v>#DIV/0!</v>
      </c>
      <c r="G63" s="1048" t="s">
        <v>1586</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1596</v>
      </c>
      <c r="B64" s="167" t="e">
        <f t="shared" si="17"/>
        <v>#DIV/0!</v>
      </c>
      <c r="C64" s="626">
        <f t="shared" si="16"/>
        <v>0</v>
      </c>
      <c r="D64" s="1042">
        <v>0.25</v>
      </c>
      <c r="E64" s="166">
        <f>'数据-汇总表'!E15</f>
        <v>0</v>
      </c>
      <c r="F64" s="1265" t="e">
        <f t="shared" si="15"/>
        <v>#DIV/0!</v>
      </c>
      <c r="G64" s="1050" t="s">
        <v>1590</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1597</v>
      </c>
      <c r="B65" s="1053" t="s">
        <v>1081</v>
      </c>
      <c r="C65" s="1053" t="s">
        <v>1081</v>
      </c>
      <c r="D65" s="1053" t="s">
        <v>1081</v>
      </c>
      <c r="E65" s="1053">
        <f>IF(B46="楼面地价",SUM(E56:E64),'数据-汇总表'!D3)</f>
        <v>632.1099999999999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2022-6-1</v>
      </c>
      <c r="D67" s="1059">
        <f>EDATE(C67,-3)</f>
        <v>44621</v>
      </c>
      <c r="E67" s="1059">
        <f>EDATE(D67,-3)</f>
        <v>44531</v>
      </c>
      <c r="F67" s="1059">
        <f t="shared" ref="F67:O67" si="18">EDATE(E67,-3)</f>
        <v>44440</v>
      </c>
      <c r="G67" s="1059">
        <f t="shared" si="18"/>
        <v>44348</v>
      </c>
      <c r="H67" s="1059">
        <f t="shared" si="18"/>
        <v>44256</v>
      </c>
      <c r="I67" s="1059">
        <f t="shared" si="18"/>
        <v>44166</v>
      </c>
      <c r="J67" s="1059">
        <f t="shared" si="18"/>
        <v>44075</v>
      </c>
      <c r="K67" s="1059">
        <f t="shared" si="18"/>
        <v>43983</v>
      </c>
      <c r="L67" s="1059">
        <f t="shared" si="18"/>
        <v>43891</v>
      </c>
      <c r="M67" s="1059">
        <f t="shared" si="18"/>
        <v>43800</v>
      </c>
      <c r="N67" s="1059">
        <f t="shared" si="18"/>
        <v>43709</v>
      </c>
      <c r="O67" s="1059">
        <f t="shared" si="18"/>
        <v>43617</v>
      </c>
      <c r="P67" s="1021"/>
      <c r="Q67" s="1021"/>
      <c r="R67" s="1021"/>
      <c r="S67" s="1021"/>
      <c r="T67" s="1021"/>
      <c r="U67" s="1021"/>
      <c r="V67" s="1021"/>
      <c r="W67" s="1021"/>
      <c r="X67" s="1021"/>
      <c r="Y67" s="1021"/>
      <c r="Z67" s="1021"/>
      <c r="AA67" s="1021"/>
      <c r="AB67" s="1021"/>
      <c r="AC67" s="1021"/>
    </row>
    <row r="68" spans="1:29" ht="21">
      <c r="A68" s="1060" t="s">
        <v>1071</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1598</v>
      </c>
      <c r="B69" s="1136"/>
      <c r="C69" s="1137" t="str">
        <f>YEAR(C67)&amp;"-"&amp;ROUNDUP(MONTH(C67)/3,0)</f>
        <v>2022-2</v>
      </c>
      <c r="D69" s="1137" t="str">
        <f>YEAR(D67)&amp;"-"&amp;ROUNDUP(MONTH(D67)/3,0)</f>
        <v>2022-1</v>
      </c>
      <c r="E69" s="1137" t="str">
        <f t="shared" ref="E69:O69" si="19">YEAR(E67)&amp;"-"&amp;ROUNDUP(MONTH(E67)/3,0)</f>
        <v>2021-4</v>
      </c>
      <c r="F69" s="1137" t="str">
        <f t="shared" si="19"/>
        <v>2021-3</v>
      </c>
      <c r="G69" s="1137" t="str">
        <f t="shared" si="19"/>
        <v>2021-2</v>
      </c>
      <c r="H69" s="1137" t="str">
        <f t="shared" si="19"/>
        <v>2021-1</v>
      </c>
      <c r="I69" s="1137" t="str">
        <f t="shared" si="19"/>
        <v>2020-4</v>
      </c>
      <c r="J69" s="1137" t="str">
        <f t="shared" si="19"/>
        <v>2020-3</v>
      </c>
      <c r="K69" s="1137" t="str">
        <f t="shared" si="19"/>
        <v>2020-2</v>
      </c>
      <c r="L69" s="1137" t="str">
        <f t="shared" si="19"/>
        <v>2020-1</v>
      </c>
      <c r="M69" s="1137" t="str">
        <f t="shared" si="19"/>
        <v>2019-4</v>
      </c>
      <c r="N69" s="1137" t="str">
        <f t="shared" si="19"/>
        <v>2019-3</v>
      </c>
      <c r="O69" s="1137" t="str">
        <f t="shared" si="19"/>
        <v>2019-2</v>
      </c>
      <c r="P69" s="1189"/>
      <c r="Q69" s="1245"/>
      <c r="R69" s="1245"/>
      <c r="S69" s="1245"/>
      <c r="T69" s="1245"/>
      <c r="U69" s="1245"/>
      <c r="V69" s="1245"/>
      <c r="W69" s="1245"/>
      <c r="X69" s="1245"/>
      <c r="Y69" s="1245"/>
      <c r="Z69" s="1245"/>
      <c r="AA69" s="1245"/>
      <c r="AB69" s="1245"/>
      <c r="AC69" s="1245"/>
    </row>
    <row r="70" spans="1:29" s="905" customFormat="1" ht="30" customHeight="1">
      <c r="A70" s="1277" t="s">
        <v>1599</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1072</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1030</v>
      </c>
      <c r="B72" s="1146"/>
      <c r="C72" s="1147" t="s">
        <v>1031</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1073</v>
      </c>
      <c r="B74" s="1152" t="s">
        <v>1034</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1037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1038</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1039</v>
      </c>
      <c r="B87" s="1152" t="s">
        <v>1500</v>
      </c>
      <c r="C87" s="1173" t="s">
        <v>1082</v>
      </c>
      <c r="D87" s="1173" t="s">
        <v>1083</v>
      </c>
      <c r="E87" s="1173" t="s">
        <v>1084</v>
      </c>
      <c r="F87" s="1173" t="s">
        <v>1085</v>
      </c>
      <c r="G87" s="1173" t="s">
        <v>1086</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1529</v>
      </c>
      <c r="C89" s="1175" t="s">
        <v>1082</v>
      </c>
      <c r="D89" s="1175" t="s">
        <v>1083</v>
      </c>
      <c r="E89" s="1175" t="s">
        <v>1084</v>
      </c>
      <c r="F89" s="1175" t="s">
        <v>1085</v>
      </c>
      <c r="G89" s="1175" t="s">
        <v>1086</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1541</v>
      </c>
      <c r="C91" s="1175" t="s">
        <v>1082</v>
      </c>
      <c r="D91" s="1175" t="s">
        <v>1083</v>
      </c>
      <c r="E91" s="1175" t="s">
        <v>1084</v>
      </c>
      <c r="F91" s="1175" t="s">
        <v>1085</v>
      </c>
      <c r="G91" s="1175" t="s">
        <v>1086</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1042</v>
      </c>
      <c r="C93" s="1175" t="s">
        <v>1082</v>
      </c>
      <c r="D93" s="1175" t="s">
        <v>1083</v>
      </c>
      <c r="E93" s="1175" t="s">
        <v>1084</v>
      </c>
      <c r="F93" s="1175" t="s">
        <v>1085</v>
      </c>
      <c r="G93" s="1175" t="s">
        <v>1086</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1565</v>
      </c>
      <c r="C95" s="1175" t="s">
        <v>1082</v>
      </c>
      <c r="D95" s="1175" t="s">
        <v>1083</v>
      </c>
      <c r="E95" s="1175" t="s">
        <v>1084</v>
      </c>
      <c r="F95" s="1175" t="s">
        <v>1085</v>
      </c>
      <c r="G95" s="1175" t="s">
        <v>1086</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1566</v>
      </c>
      <c r="C97" s="1173" t="s">
        <v>1082</v>
      </c>
      <c r="D97" s="1173" t="s">
        <v>1083</v>
      </c>
      <c r="E97" s="1173" t="s">
        <v>1084</v>
      </c>
      <c r="F97" s="1173" t="s">
        <v>1085</v>
      </c>
      <c r="G97" s="1173" t="s">
        <v>1086</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1043</v>
      </c>
      <c r="C99" s="1173" t="s">
        <v>1082</v>
      </c>
      <c r="D99" s="1173" t="s">
        <v>1083</v>
      </c>
      <c r="E99" s="1173" t="s">
        <v>1084</v>
      </c>
      <c r="F99" s="1173" t="s">
        <v>1085</v>
      </c>
      <c r="G99" s="1173" t="s">
        <v>1086</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1044</v>
      </c>
      <c r="C101" s="1180" t="s">
        <v>1087</v>
      </c>
      <c r="D101" s="1180" t="s">
        <v>1088</v>
      </c>
      <c r="E101" s="1180" t="s">
        <v>1089</v>
      </c>
      <c r="F101" s="1180" t="s">
        <v>1090</v>
      </c>
      <c r="G101" s="1180" t="s">
        <v>1091</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1600</v>
      </c>
      <c r="D103" s="1157" t="s">
        <v>1601</v>
      </c>
      <c r="E103" s="1157" t="s">
        <v>1602</v>
      </c>
      <c r="F103" s="1157" t="s">
        <v>1603</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1542</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1567</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1048</v>
      </c>
      <c r="B115" s="1152" t="s">
        <v>1568</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1569</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1570</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1571</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1572</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1562</v>
      </c>
      <c r="B1" s="915"/>
      <c r="C1" s="916" t="s">
        <v>1012</v>
      </c>
      <c r="D1" s="917"/>
      <c r="E1" s="917"/>
      <c r="F1" s="918" t="s">
        <v>1015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913</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915</v>
      </c>
      <c r="B3" s="922" t="e">
        <f>ROUND(IF(D3="",B2*10000/'数据-汇总表'!E3,B2*10000/D3),0)</f>
        <v>#DIV/0!</v>
      </c>
      <c r="C3" s="153" t="s">
        <v>1016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1017</v>
      </c>
      <c r="B4" s="925"/>
      <c r="C4" s="3458" t="s">
        <v>1018</v>
      </c>
      <c r="D4" s="3459"/>
      <c r="E4" s="3460" t="s">
        <v>1019</v>
      </c>
      <c r="F4" s="3461"/>
      <c r="G4" s="3458" t="s">
        <v>1020</v>
      </c>
      <c r="H4" s="3459"/>
      <c r="I4" s="3458" t="s">
        <v>1021</v>
      </c>
      <c r="J4" s="3459"/>
      <c r="K4" s="1071" t="s">
        <v>1022</v>
      </c>
      <c r="L4" s="1072"/>
      <c r="M4" s="1073"/>
      <c r="N4" s="1073"/>
      <c r="O4" s="1073"/>
      <c r="P4" s="3428" t="s">
        <v>1023</v>
      </c>
      <c r="Q4" s="3429"/>
      <c r="R4" s="3434" t="s">
        <v>1019</v>
      </c>
      <c r="S4" s="3435"/>
      <c r="T4" s="3434" t="s">
        <v>1020</v>
      </c>
      <c r="U4" s="3435"/>
      <c r="V4" s="3440" t="s">
        <v>1021</v>
      </c>
      <c r="W4" s="3440"/>
      <c r="X4" s="1115"/>
      <c r="Y4" s="3434" t="s">
        <v>1023</v>
      </c>
      <c r="Z4" s="3435"/>
      <c r="AA4" s="3425" t="s">
        <v>1019</v>
      </c>
      <c r="AB4" s="3426" t="s">
        <v>1020</v>
      </c>
      <c r="AC4" s="3425" t="s">
        <v>1021</v>
      </c>
    </row>
    <row r="5" spans="1:29" ht="15">
      <c r="A5" s="926"/>
      <c r="B5" s="927"/>
      <c r="C5" s="3498" t="s">
        <v>1024</v>
      </c>
      <c r="D5" s="3463"/>
      <c r="E5" s="3499" t="s">
        <v>1497</v>
      </c>
      <c r="F5" s="3465"/>
      <c r="G5" s="3498" t="s">
        <v>1498</v>
      </c>
      <c r="H5" s="3463"/>
      <c r="I5" s="3498" t="s">
        <v>1499</v>
      </c>
      <c r="J5" s="3463"/>
      <c r="K5" s="1071"/>
      <c r="L5" s="1072"/>
      <c r="M5" s="1073"/>
      <c r="N5" s="1073"/>
      <c r="O5" s="1073"/>
      <c r="P5" s="3430"/>
      <c r="Q5" s="3431"/>
      <c r="R5" s="3436"/>
      <c r="S5" s="3437"/>
      <c r="T5" s="3436"/>
      <c r="U5" s="3437"/>
      <c r="V5" s="3440"/>
      <c r="W5" s="3440"/>
      <c r="X5" s="1115"/>
      <c r="Y5" s="3436"/>
      <c r="Z5" s="3437"/>
      <c r="AA5" s="3426"/>
      <c r="AB5" s="3426"/>
      <c r="AC5" s="3426"/>
    </row>
    <row r="6" spans="1:29" ht="15">
      <c r="A6" s="928"/>
      <c r="B6" s="929"/>
      <c r="C6" s="3519" t="s">
        <v>1604</v>
      </c>
      <c r="D6" s="3520"/>
      <c r="E6" s="3521" t="s">
        <v>1604</v>
      </c>
      <c r="F6" s="3522"/>
      <c r="G6" s="3519" t="s">
        <v>1604</v>
      </c>
      <c r="H6" s="3520"/>
      <c r="I6" s="3519" t="s">
        <v>1604</v>
      </c>
      <c r="J6" s="3520"/>
      <c r="K6" s="1071" t="s">
        <v>1026</v>
      </c>
      <c r="L6" s="1072"/>
      <c r="M6" s="1073"/>
      <c r="N6" s="1073"/>
      <c r="O6" s="1073"/>
      <c r="P6" s="3432"/>
      <c r="Q6" s="3433"/>
      <c r="R6" s="3436"/>
      <c r="S6" s="3437"/>
      <c r="T6" s="3438"/>
      <c r="U6" s="3439"/>
      <c r="V6" s="3440"/>
      <c r="W6" s="3440"/>
      <c r="X6" s="1115"/>
      <c r="Y6" s="3438"/>
      <c r="Z6" s="3439"/>
      <c r="AA6" s="3427"/>
      <c r="AB6" s="3427"/>
      <c r="AC6" s="3427"/>
    </row>
    <row r="7" spans="1:29" s="905" customFormat="1" ht="15">
      <c r="A7" s="930" t="s">
        <v>1027</v>
      </c>
      <c r="B7" s="931"/>
      <c r="C7" s="932">
        <f>'数据-取费表'!B2</f>
        <v>44725</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46" t="s">
        <v>1028</v>
      </c>
      <c r="Q7" s="3457"/>
      <c r="R7" s="1116" t="s">
        <v>1029</v>
      </c>
      <c r="S7" s="1117">
        <f t="shared" ref="S7:S15" si="0">F7</f>
        <v>0</v>
      </c>
      <c r="T7" s="1116" t="s">
        <v>1029</v>
      </c>
      <c r="U7" s="1117">
        <f t="shared" ref="U7:U15" si="1">H7</f>
        <v>0</v>
      </c>
      <c r="V7" s="1116" t="s">
        <v>1029</v>
      </c>
      <c r="W7" s="1117">
        <f t="shared" ref="W7:W15" si="2">J7</f>
        <v>0</v>
      </c>
      <c r="X7" s="1118"/>
      <c r="Y7" s="3446" t="s">
        <v>1028</v>
      </c>
      <c r="Z7" s="3447"/>
      <c r="AA7" s="1130" t="e">
        <f>D7/F7</f>
        <v>#DIV/0!</v>
      </c>
      <c r="AB7" s="1130" t="e">
        <f>D7/H7</f>
        <v>#DIV/0!</v>
      </c>
      <c r="AC7" s="1130" t="e">
        <f>D7/J7</f>
        <v>#DIV/0!</v>
      </c>
    </row>
    <row r="8" spans="1:29" s="905" customFormat="1" ht="15">
      <c r="A8" s="930" t="s">
        <v>1030</v>
      </c>
      <c r="B8" s="931"/>
      <c r="C8" s="937" t="s">
        <v>1031</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46" t="s">
        <v>1032</v>
      </c>
      <c r="Q8" s="3447"/>
      <c r="R8" s="1116" t="s">
        <v>1029</v>
      </c>
      <c r="S8" s="1117">
        <f t="shared" si="0"/>
        <v>0</v>
      </c>
      <c r="T8" s="1116" t="s">
        <v>1029</v>
      </c>
      <c r="U8" s="1117">
        <f t="shared" si="1"/>
        <v>0</v>
      </c>
      <c r="V8" s="1116" t="s">
        <v>1029</v>
      </c>
      <c r="W8" s="1117">
        <f t="shared" si="2"/>
        <v>0</v>
      </c>
      <c r="X8" s="1118"/>
      <c r="Y8" s="3446" t="s">
        <v>1032</v>
      </c>
      <c r="Z8" s="3447"/>
      <c r="AA8" s="1130" t="e">
        <f t="shared" ref="AA8:AA40" si="3">D8/F8</f>
        <v>#DIV/0!</v>
      </c>
      <c r="AB8" s="1130" t="e">
        <f t="shared" ref="AB8:AB40" si="4">D8/H8</f>
        <v>#DIV/0!</v>
      </c>
      <c r="AC8" s="1130" t="e">
        <f t="shared" ref="AC8:AC40" si="5">D8/J8</f>
        <v>#DIV/0!</v>
      </c>
    </row>
    <row r="9" spans="1:29" s="905" customFormat="1">
      <c r="A9" s="938" t="s">
        <v>1033</v>
      </c>
      <c r="B9" s="939" t="s">
        <v>1034</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41" t="s">
        <v>1035</v>
      </c>
      <c r="Q9" s="1120" t="str">
        <f t="shared" ref="Q9:Q15" si="6">B9</f>
        <v>用途</v>
      </c>
      <c r="R9" s="1116" t="s">
        <v>1029</v>
      </c>
      <c r="S9" s="1117">
        <f t="shared" si="0"/>
        <v>100</v>
      </c>
      <c r="T9" s="1116" t="s">
        <v>1029</v>
      </c>
      <c r="U9" s="1117">
        <f t="shared" si="1"/>
        <v>100</v>
      </c>
      <c r="V9" s="1116" t="s">
        <v>1029</v>
      </c>
      <c r="W9" s="1117">
        <f t="shared" si="2"/>
        <v>100</v>
      </c>
      <c r="X9" s="1118"/>
      <c r="Y9" s="3334" t="s">
        <v>1036</v>
      </c>
      <c r="Z9" s="1131" t="str">
        <f t="shared" ref="Z9:Z15" si="7">Q9</f>
        <v>用途</v>
      </c>
      <c r="AA9" s="1130">
        <f t="shared" si="3"/>
        <v>1</v>
      </c>
      <c r="AB9" s="1130">
        <f t="shared" si="4"/>
        <v>1</v>
      </c>
      <c r="AC9" s="1130">
        <f t="shared" si="5"/>
        <v>1</v>
      </c>
    </row>
    <row r="10" spans="1:29" s="906" customFormat="1" ht="27">
      <c r="A10" s="942"/>
      <c r="B10" s="943" t="s">
        <v>1037</v>
      </c>
      <c r="C10" s="944"/>
      <c r="D10" s="945">
        <v>100</v>
      </c>
      <c r="E10" s="944"/>
      <c r="F10" s="945">
        <f>ROUND(100/'数据-取费表'!G16,0)</f>
        <v>115</v>
      </c>
      <c r="G10" s="944"/>
      <c r="H10" s="945">
        <f>ROUND(100/'数据-取费表'!G16,0)</f>
        <v>115</v>
      </c>
      <c r="I10" s="944"/>
      <c r="J10" s="945">
        <f>ROUND(100/'数据-取费表'!G16,0)</f>
        <v>115</v>
      </c>
      <c r="K10" s="1078"/>
      <c r="L10" s="1079"/>
      <c r="M10" s="1080"/>
      <c r="N10" s="1080"/>
      <c r="O10" s="1081"/>
      <c r="P10" s="3441"/>
      <c r="Q10" s="1120" t="str">
        <f t="shared" si="6"/>
        <v>土地使用年限（年）</v>
      </c>
      <c r="R10" s="1116" t="s">
        <v>1029</v>
      </c>
      <c r="S10" s="1117">
        <f t="shared" si="0"/>
        <v>115</v>
      </c>
      <c r="T10" s="1116" t="s">
        <v>1029</v>
      </c>
      <c r="U10" s="1117">
        <f t="shared" si="1"/>
        <v>115</v>
      </c>
      <c r="V10" s="1116" t="s">
        <v>1029</v>
      </c>
      <c r="W10" s="1117">
        <f t="shared" si="2"/>
        <v>115</v>
      </c>
      <c r="X10" s="1118"/>
      <c r="Y10" s="3334"/>
      <c r="Z10" s="1131" t="str">
        <f t="shared" si="7"/>
        <v>土地使用年限（年）</v>
      </c>
      <c r="AA10" s="1130">
        <f t="shared" si="3"/>
        <v>0.86956521739130432</v>
      </c>
      <c r="AB10" s="1130">
        <f t="shared" si="4"/>
        <v>0.86956521739130432</v>
      </c>
      <c r="AC10" s="1130">
        <f t="shared" si="5"/>
        <v>0.86956521739130432</v>
      </c>
    </row>
    <row r="11" spans="1:29" ht="15">
      <c r="A11" s="946"/>
      <c r="B11" s="943" t="s">
        <v>1038</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41"/>
      <c r="Q11" s="1120" t="str">
        <f t="shared" si="6"/>
        <v>容积率</v>
      </c>
      <c r="R11" s="1116" t="s">
        <v>1029</v>
      </c>
      <c r="S11" s="1117" t="e">
        <f t="shared" si="0"/>
        <v>#N/A</v>
      </c>
      <c r="T11" s="1116" t="s">
        <v>1029</v>
      </c>
      <c r="U11" s="1117" t="e">
        <f t="shared" si="1"/>
        <v>#N/A</v>
      </c>
      <c r="V11" s="1116" t="s">
        <v>1029</v>
      </c>
      <c r="W11" s="1117" t="e">
        <f t="shared" si="2"/>
        <v>#N/A</v>
      </c>
      <c r="X11" s="1118"/>
      <c r="Y11" s="333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41"/>
      <c r="Q12" s="1120">
        <f t="shared" si="6"/>
        <v>111</v>
      </c>
      <c r="R12" s="1116" t="s">
        <v>1029</v>
      </c>
      <c r="S12" s="1117">
        <f t="shared" si="0"/>
        <v>100</v>
      </c>
      <c r="T12" s="1116" t="s">
        <v>1029</v>
      </c>
      <c r="U12" s="1117">
        <f t="shared" si="1"/>
        <v>100</v>
      </c>
      <c r="V12" s="1116" t="s">
        <v>1029</v>
      </c>
      <c r="W12" s="1117">
        <f t="shared" si="2"/>
        <v>100</v>
      </c>
      <c r="X12" s="1118"/>
      <c r="Y12" s="3334"/>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41"/>
      <c r="Q13" s="1120">
        <f t="shared" si="6"/>
        <v>111</v>
      </c>
      <c r="R13" s="1116" t="s">
        <v>1029</v>
      </c>
      <c r="S13" s="1117">
        <f t="shared" si="0"/>
        <v>100</v>
      </c>
      <c r="T13" s="1116" t="s">
        <v>1029</v>
      </c>
      <c r="U13" s="1117">
        <f t="shared" si="1"/>
        <v>100</v>
      </c>
      <c r="V13" s="1116" t="s">
        <v>1029</v>
      </c>
      <c r="W13" s="1117">
        <f t="shared" si="2"/>
        <v>100</v>
      </c>
      <c r="X13" s="1118"/>
      <c r="Y13" s="3334"/>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41"/>
      <c r="Q14" s="1120">
        <f t="shared" si="6"/>
        <v>111</v>
      </c>
      <c r="R14" s="1116" t="s">
        <v>1029</v>
      </c>
      <c r="S14" s="1117">
        <f t="shared" si="0"/>
        <v>100</v>
      </c>
      <c r="T14" s="1116" t="s">
        <v>1029</v>
      </c>
      <c r="U14" s="1117">
        <f t="shared" si="1"/>
        <v>100</v>
      </c>
      <c r="V14" s="1116" t="s">
        <v>1029</v>
      </c>
      <c r="W14" s="1117">
        <f t="shared" si="2"/>
        <v>100</v>
      </c>
      <c r="X14" s="1118"/>
      <c r="Y14" s="3334"/>
      <c r="Z14" s="1131">
        <f t="shared" si="7"/>
        <v>111</v>
      </c>
      <c r="AA14" s="1130">
        <f t="shared" si="3"/>
        <v>1</v>
      </c>
      <c r="AB14" s="1130">
        <f t="shared" si="4"/>
        <v>1</v>
      </c>
      <c r="AC14" s="1130">
        <f t="shared" si="5"/>
        <v>1</v>
      </c>
    </row>
    <row r="15" spans="1:29" ht="114">
      <c r="A15" s="960" t="s">
        <v>1039</v>
      </c>
      <c r="B15" s="961" t="s">
        <v>1040</v>
      </c>
      <c r="C15" s="962" t="str">
        <f>估价对象房地状况!G15</f>
        <v>位于通州区台湖镇星湖科技园，该园区建设成熟，周边有新华联工业园、台铭企业花园等项目，产业集聚程度较好</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48" t="s">
        <v>1041</v>
      </c>
      <c r="Q15" s="681" t="str">
        <f t="shared" si="6"/>
        <v>产业集聚程度</v>
      </c>
      <c r="R15" s="1121" t="s">
        <v>1029</v>
      </c>
      <c r="S15" s="1122">
        <f t="shared" si="0"/>
        <v>100</v>
      </c>
      <c r="T15" s="1121" t="s">
        <v>1029</v>
      </c>
      <c r="U15" s="1122">
        <f t="shared" si="1"/>
        <v>100</v>
      </c>
      <c r="V15" s="1121" t="s">
        <v>1029</v>
      </c>
      <c r="W15" s="1122">
        <f t="shared" si="2"/>
        <v>100</v>
      </c>
      <c r="X15" s="1115"/>
      <c r="Y15" s="3448" t="s">
        <v>1041</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49"/>
      <c r="Q16" s="681"/>
      <c r="R16" s="1121"/>
      <c r="S16" s="1122"/>
      <c r="T16" s="1121"/>
      <c r="U16" s="1122"/>
      <c r="V16" s="1121"/>
      <c r="W16" s="1122"/>
      <c r="X16" s="1115"/>
      <c r="Y16" s="3449"/>
      <c r="Z16" s="1105"/>
      <c r="AA16" s="1132">
        <v>1</v>
      </c>
      <c r="AB16" s="1132">
        <v>1</v>
      </c>
      <c r="AC16" s="1132">
        <v>1</v>
      </c>
    </row>
    <row r="17" spans="1:29" ht="99.75">
      <c r="A17" s="946"/>
      <c r="B17" s="970" t="s">
        <v>1042</v>
      </c>
      <c r="C17" s="971" t="str">
        <f>估价对象房地状况!G16</f>
        <v>周边路网密集，行车出入便捷，周边有通11、通12、通68路等公共线路及地铁7号线经过，交通状况较好；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49"/>
      <c r="Q17" s="681" t="str">
        <f>B17</f>
        <v>交通便捷度</v>
      </c>
      <c r="R17" s="1121" t="s">
        <v>1029</v>
      </c>
      <c r="S17" s="1122">
        <f>F17</f>
        <v>100</v>
      </c>
      <c r="T17" s="1121" t="s">
        <v>1029</v>
      </c>
      <c r="U17" s="1122">
        <f>H17</f>
        <v>100</v>
      </c>
      <c r="V17" s="1121" t="s">
        <v>1029</v>
      </c>
      <c r="W17" s="1122">
        <f>J17</f>
        <v>100</v>
      </c>
      <c r="X17" s="1115"/>
      <c r="Y17" s="3449"/>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49"/>
      <c r="Q18" s="681"/>
      <c r="R18" s="1121"/>
      <c r="S18" s="1122"/>
      <c r="T18" s="1121"/>
      <c r="U18" s="1122"/>
      <c r="V18" s="1121"/>
      <c r="W18" s="1122"/>
      <c r="X18" s="1115"/>
      <c r="Y18" s="3449"/>
      <c r="Z18" s="1105"/>
      <c r="AA18" s="1132">
        <v>1</v>
      </c>
      <c r="AB18" s="1132">
        <v>1</v>
      </c>
      <c r="AC18" s="1132">
        <v>1</v>
      </c>
    </row>
    <row r="19" spans="1:29" ht="15">
      <c r="A19" s="946"/>
      <c r="B19" s="970" t="s">
        <v>1565</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49"/>
      <c r="Q19" s="681" t="str">
        <f t="shared" ref="Q19:Q34" si="8">B19</f>
        <v>区域土地利用方向</v>
      </c>
      <c r="R19" s="1121" t="s">
        <v>1029</v>
      </c>
      <c r="S19" s="1122">
        <f>F19</f>
        <v>100</v>
      </c>
      <c r="T19" s="1121" t="s">
        <v>1029</v>
      </c>
      <c r="U19" s="1122">
        <f>H19</f>
        <v>100</v>
      </c>
      <c r="V19" s="1121" t="s">
        <v>1029</v>
      </c>
      <c r="W19" s="1122">
        <f>J19</f>
        <v>100</v>
      </c>
      <c r="X19" s="1115"/>
      <c r="Y19" s="3449"/>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49"/>
      <c r="Q20" s="681"/>
      <c r="R20" s="1121"/>
      <c r="S20" s="1122"/>
      <c r="T20" s="1121"/>
      <c r="U20" s="1122"/>
      <c r="V20" s="1121"/>
      <c r="W20" s="1122"/>
      <c r="X20" s="1115"/>
      <c r="Y20" s="3449"/>
      <c r="Z20" s="1105"/>
      <c r="AA20" s="1132"/>
      <c r="AB20" s="1132"/>
      <c r="AC20" s="1132"/>
    </row>
    <row r="21" spans="1:29" ht="71.25">
      <c r="A21" s="926"/>
      <c r="B21" s="970" t="s">
        <v>1605</v>
      </c>
      <c r="C21" s="971" t="str">
        <f>估价对象房地状况!G18</f>
        <v>区域内污染物排放及治理状况较好，周边无危险设施及污染源，环境状况较好</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49"/>
      <c r="Q21" s="681" t="str">
        <f t="shared" si="8"/>
        <v>环境状况</v>
      </c>
      <c r="R21" s="1121" t="s">
        <v>1029</v>
      </c>
      <c r="S21" s="1122">
        <f>F21</f>
        <v>100</v>
      </c>
      <c r="T21" s="1121" t="s">
        <v>1029</v>
      </c>
      <c r="U21" s="1122">
        <f>H21</f>
        <v>100</v>
      </c>
      <c r="V21" s="1121" t="s">
        <v>1029</v>
      </c>
      <c r="W21" s="1122">
        <f>J21</f>
        <v>100</v>
      </c>
      <c r="X21" s="1115"/>
      <c r="Y21" s="3449"/>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49"/>
      <c r="Q22" s="681"/>
      <c r="R22" s="1121"/>
      <c r="S22" s="1122"/>
      <c r="T22" s="1121"/>
      <c r="U22" s="1122"/>
      <c r="V22" s="1121"/>
      <c r="W22" s="1122"/>
      <c r="X22" s="1115"/>
      <c r="Y22" s="3449"/>
      <c r="Z22" s="1105"/>
      <c r="AA22" s="1132">
        <v>1</v>
      </c>
      <c r="AB22" s="1132">
        <v>1</v>
      </c>
      <c r="AC22" s="1132">
        <v>1</v>
      </c>
    </row>
    <row r="23" spans="1:29" s="905" customFormat="1" ht="171">
      <c r="A23" s="976"/>
      <c r="B23" s="977" t="s">
        <v>1043</v>
      </c>
      <c r="C23" s="971" t="str">
        <f>估价对象房地状况!G19</f>
        <v>周边2公里内的公共服务配套设施较齐备，有购物场所（华联超市）、医院（台湖镇口子社区卫生服务站）、银行（工商银行）、学校（台湖镇中心幼儿园）、餐饮等公共服务配套设施</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49"/>
      <c r="Q23" s="1120" t="str">
        <f t="shared" si="8"/>
        <v>公共配套设施</v>
      </c>
      <c r="R23" s="1116" t="s">
        <v>1029</v>
      </c>
      <c r="S23" s="1117">
        <f>F23</f>
        <v>100</v>
      </c>
      <c r="T23" s="1116" t="s">
        <v>1029</v>
      </c>
      <c r="U23" s="1117">
        <f>H23</f>
        <v>100</v>
      </c>
      <c r="V23" s="1116" t="s">
        <v>1029</v>
      </c>
      <c r="W23" s="1117">
        <f>J23</f>
        <v>100</v>
      </c>
      <c r="X23" s="1118"/>
      <c r="Y23" s="3449"/>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49"/>
      <c r="Q24" s="1120"/>
      <c r="R24" s="1116"/>
      <c r="S24" s="1117"/>
      <c r="T24" s="1116"/>
      <c r="U24" s="1117"/>
      <c r="V24" s="1116"/>
      <c r="W24" s="1117"/>
      <c r="X24" s="1118"/>
      <c r="Y24" s="3449"/>
      <c r="Z24" s="1131"/>
      <c r="AA24" s="1130">
        <v>1</v>
      </c>
      <c r="AB24" s="1130">
        <v>1</v>
      </c>
      <c r="AC24" s="1130">
        <v>1</v>
      </c>
    </row>
    <row r="25" spans="1:29" s="905" customFormat="1" ht="15">
      <c r="A25" s="976"/>
      <c r="B25" s="977" t="s">
        <v>1044</v>
      </c>
      <c r="C25" s="971" t="str">
        <f>估价对象房地状况!G20</f>
        <v>七通</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49"/>
      <c r="Q25" s="1120" t="str">
        <f t="shared" ref="Q25" si="9">B25</f>
        <v>基础设施水平</v>
      </c>
      <c r="R25" s="1116" t="s">
        <v>1029</v>
      </c>
      <c r="S25" s="1117">
        <f>F25</f>
        <v>100</v>
      </c>
      <c r="T25" s="1116" t="s">
        <v>1029</v>
      </c>
      <c r="U25" s="1117">
        <f>H25</f>
        <v>100</v>
      </c>
      <c r="V25" s="1116" t="s">
        <v>1029</v>
      </c>
      <c r="W25" s="1117">
        <f>J25</f>
        <v>100</v>
      </c>
      <c r="X25" s="1118"/>
      <c r="Y25" s="3449"/>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49"/>
      <c r="Q26" s="1120"/>
      <c r="R26" s="1116"/>
      <c r="S26" s="1117"/>
      <c r="T26" s="1116"/>
      <c r="U26" s="1117"/>
      <c r="V26" s="1116"/>
      <c r="W26" s="1117"/>
      <c r="X26" s="1118"/>
      <c r="Y26" s="3449"/>
      <c r="Z26" s="1131"/>
      <c r="AA26" s="1130">
        <v>1</v>
      </c>
      <c r="AB26" s="1130">
        <v>1</v>
      </c>
      <c r="AC26" s="1130">
        <v>1</v>
      </c>
    </row>
    <row r="27" spans="1:29" ht="15">
      <c r="A27" s="946"/>
      <c r="B27" s="974" t="s">
        <v>1530</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49"/>
      <c r="Q27" s="681" t="str">
        <f t="shared" si="8"/>
        <v>临街状况</v>
      </c>
      <c r="R27" s="1121" t="s">
        <v>1029</v>
      </c>
      <c r="S27" s="1122">
        <f t="shared" ref="S27:S40" si="10">F27</f>
        <v>100</v>
      </c>
      <c r="T27" s="1121" t="s">
        <v>1029</v>
      </c>
      <c r="U27" s="1122">
        <f t="shared" ref="U27:U40" si="11">H27</f>
        <v>100</v>
      </c>
      <c r="V27" s="1121" t="s">
        <v>1029</v>
      </c>
      <c r="W27" s="1122">
        <f t="shared" ref="W27:W40" si="12">J27</f>
        <v>100</v>
      </c>
      <c r="X27" s="1115"/>
      <c r="Y27" s="3449"/>
      <c r="Z27" s="1105" t="str">
        <f t="shared" ref="Z27:Z40" si="13">Q27</f>
        <v>临街状况</v>
      </c>
      <c r="AA27" s="1132">
        <f t="shared" si="3"/>
        <v>1</v>
      </c>
      <c r="AB27" s="1132">
        <f t="shared" si="4"/>
        <v>1</v>
      </c>
      <c r="AC27" s="1132">
        <f t="shared" si="5"/>
        <v>1</v>
      </c>
    </row>
    <row r="28" spans="1:29" ht="27">
      <c r="A28" s="946"/>
      <c r="B28" s="977" t="s">
        <v>1542</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49"/>
      <c r="Q28" s="681" t="str">
        <f t="shared" si="8"/>
        <v>毗邻道路的类型与等级</v>
      </c>
      <c r="R28" s="1121" t="s">
        <v>1029</v>
      </c>
      <c r="S28" s="1122">
        <f t="shared" si="10"/>
        <v>100</v>
      </c>
      <c r="T28" s="1121" t="s">
        <v>1029</v>
      </c>
      <c r="U28" s="1122">
        <f t="shared" si="11"/>
        <v>100</v>
      </c>
      <c r="V28" s="1121" t="s">
        <v>1029</v>
      </c>
      <c r="W28" s="1122">
        <f t="shared" si="12"/>
        <v>100</v>
      </c>
      <c r="X28" s="1115"/>
      <c r="Y28" s="3449"/>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49"/>
      <c r="Q29" s="681"/>
      <c r="R29" s="1121"/>
      <c r="S29" s="1122"/>
      <c r="T29" s="1121"/>
      <c r="U29" s="1122"/>
      <c r="V29" s="1121"/>
      <c r="W29" s="1122"/>
      <c r="X29" s="1115"/>
      <c r="Y29" s="3449"/>
      <c r="Z29" s="1105"/>
      <c r="AA29" s="1132">
        <v>1</v>
      </c>
      <c r="AB29" s="1132">
        <v>1</v>
      </c>
      <c r="AC29" s="1132">
        <v>1</v>
      </c>
    </row>
    <row r="30" spans="1:29" ht="15">
      <c r="A30" s="946"/>
      <c r="B30" s="983" t="s">
        <v>1567</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49"/>
      <c r="Q30" s="681" t="str">
        <f t="shared" si="8"/>
        <v>土地级别</v>
      </c>
      <c r="R30" s="1121" t="s">
        <v>1029</v>
      </c>
      <c r="S30" s="1122">
        <f t="shared" si="10"/>
        <v>100</v>
      </c>
      <c r="T30" s="1121" t="s">
        <v>1029</v>
      </c>
      <c r="U30" s="1122">
        <f t="shared" si="11"/>
        <v>100</v>
      </c>
      <c r="V30" s="1121" t="s">
        <v>1029</v>
      </c>
      <c r="W30" s="1122">
        <f t="shared" si="12"/>
        <v>100</v>
      </c>
      <c r="X30" s="1115"/>
      <c r="Y30" s="3449"/>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49"/>
      <c r="Q31" s="681">
        <f t="shared" si="8"/>
        <v>111</v>
      </c>
      <c r="R31" s="1121" t="s">
        <v>1029</v>
      </c>
      <c r="S31" s="1122">
        <f t="shared" si="10"/>
        <v>100</v>
      </c>
      <c r="T31" s="1121" t="s">
        <v>1029</v>
      </c>
      <c r="U31" s="1122">
        <f t="shared" si="11"/>
        <v>100</v>
      </c>
      <c r="V31" s="1121" t="s">
        <v>1029</v>
      </c>
      <c r="W31" s="1122">
        <f t="shared" si="12"/>
        <v>100</v>
      </c>
      <c r="X31" s="1115"/>
      <c r="Y31" s="3449"/>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50" t="s">
        <v>1051</v>
      </c>
      <c r="Q32" s="681">
        <f t="shared" si="8"/>
        <v>111</v>
      </c>
      <c r="R32" s="1121" t="s">
        <v>1029</v>
      </c>
      <c r="S32" s="1122">
        <f t="shared" si="10"/>
        <v>100</v>
      </c>
      <c r="T32" s="1121" t="s">
        <v>1029</v>
      </c>
      <c r="U32" s="1122">
        <f t="shared" si="11"/>
        <v>100</v>
      </c>
      <c r="V32" s="1121" t="s">
        <v>1029</v>
      </c>
      <c r="W32" s="1122">
        <f t="shared" si="12"/>
        <v>100</v>
      </c>
      <c r="X32" s="1115"/>
      <c r="Y32" s="3451" t="s">
        <v>1051</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51"/>
      <c r="Q33" s="681">
        <f t="shared" si="8"/>
        <v>111</v>
      </c>
      <c r="R33" s="1123" t="s">
        <v>1029</v>
      </c>
      <c r="S33" s="1124">
        <f t="shared" si="10"/>
        <v>100</v>
      </c>
      <c r="T33" s="1123" t="s">
        <v>1029</v>
      </c>
      <c r="U33" s="1124">
        <f t="shared" si="11"/>
        <v>100</v>
      </c>
      <c r="V33" s="1123" t="s">
        <v>1029</v>
      </c>
      <c r="W33" s="1124">
        <f t="shared" si="12"/>
        <v>100</v>
      </c>
      <c r="X33" s="1125"/>
      <c r="Y33" s="3451"/>
      <c r="Z33" s="1133">
        <f t="shared" si="13"/>
        <v>111</v>
      </c>
      <c r="AA33" s="1132">
        <f t="shared" si="3"/>
        <v>1</v>
      </c>
      <c r="AB33" s="1132">
        <f t="shared" si="4"/>
        <v>1</v>
      </c>
      <c r="AC33" s="1132">
        <f t="shared" si="5"/>
        <v>1</v>
      </c>
    </row>
    <row r="34" spans="1:31" ht="15">
      <c r="A34" s="960" t="s">
        <v>1048</v>
      </c>
      <c r="B34" s="994" t="s">
        <v>1568</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51"/>
      <c r="Q34" s="681" t="str">
        <f t="shared" si="8"/>
        <v>宗地面积</v>
      </c>
      <c r="R34" s="1121" t="s">
        <v>1029</v>
      </c>
      <c r="S34" s="1122" t="e">
        <f t="shared" si="10"/>
        <v>#N/A</v>
      </c>
      <c r="T34" s="1121" t="s">
        <v>1029</v>
      </c>
      <c r="U34" s="1122" t="e">
        <f t="shared" si="11"/>
        <v>#N/A</v>
      </c>
      <c r="V34" s="1121" t="s">
        <v>1029</v>
      </c>
      <c r="W34" s="1122" t="e">
        <f t="shared" si="12"/>
        <v>#N/A</v>
      </c>
      <c r="X34" s="1115"/>
      <c r="Y34" s="3451"/>
      <c r="Z34" s="1105" t="str">
        <f t="shared" si="13"/>
        <v>宗地面积</v>
      </c>
      <c r="AA34" s="1132" t="e">
        <f t="shared" si="3"/>
        <v>#N/A</v>
      </c>
      <c r="AB34" s="1132" t="e">
        <f t="shared" si="4"/>
        <v>#N/A</v>
      </c>
      <c r="AC34" s="1132" t="e">
        <f t="shared" si="5"/>
        <v>#N/A</v>
      </c>
    </row>
    <row r="35" spans="1:31" ht="15">
      <c r="A35" s="997"/>
      <c r="B35" s="943" t="s">
        <v>1569</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51"/>
      <c r="Q35" s="681" t="str">
        <f t="shared" ref="Q35:Q40" si="14">B35</f>
        <v>宗地形状</v>
      </c>
      <c r="R35" s="1121" t="s">
        <v>1029</v>
      </c>
      <c r="S35" s="1122">
        <f t="shared" si="10"/>
        <v>100</v>
      </c>
      <c r="T35" s="1121" t="s">
        <v>1029</v>
      </c>
      <c r="U35" s="1122">
        <f t="shared" si="11"/>
        <v>100</v>
      </c>
      <c r="V35" s="1121" t="s">
        <v>1029</v>
      </c>
      <c r="W35" s="1122">
        <f t="shared" si="12"/>
        <v>100</v>
      </c>
      <c r="X35" s="1115"/>
      <c r="Y35" s="3451"/>
      <c r="Z35" s="1105" t="str">
        <f t="shared" si="13"/>
        <v>宗地形状</v>
      </c>
      <c r="AA35" s="1132">
        <f t="shared" si="3"/>
        <v>1</v>
      </c>
      <c r="AB35" s="1132">
        <f t="shared" si="4"/>
        <v>1</v>
      </c>
      <c r="AC35" s="1132">
        <f t="shared" si="5"/>
        <v>1</v>
      </c>
    </row>
    <row r="36" spans="1:31" s="905" customFormat="1" ht="15">
      <c r="A36" s="999"/>
      <c r="B36" s="943" t="s">
        <v>1571</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51"/>
      <c r="Q36" s="681" t="str">
        <f t="shared" si="14"/>
        <v>宗地开发程度</v>
      </c>
      <c r="R36" s="1116" t="s">
        <v>1029</v>
      </c>
      <c r="S36" s="1117">
        <f t="shared" si="10"/>
        <v>100</v>
      </c>
      <c r="T36" s="1116" t="s">
        <v>1029</v>
      </c>
      <c r="U36" s="1117">
        <f t="shared" si="11"/>
        <v>100</v>
      </c>
      <c r="V36" s="1116" t="s">
        <v>1029</v>
      </c>
      <c r="W36" s="1117">
        <f t="shared" si="12"/>
        <v>100</v>
      </c>
      <c r="X36" s="1118"/>
      <c r="Y36" s="3451"/>
      <c r="Z36" s="1131" t="str">
        <f t="shared" si="13"/>
        <v>宗地开发程度</v>
      </c>
      <c r="AA36" s="1130">
        <f t="shared" si="3"/>
        <v>1</v>
      </c>
      <c r="AB36" s="1130">
        <f t="shared" si="4"/>
        <v>1</v>
      </c>
      <c r="AC36" s="1130">
        <f t="shared" si="5"/>
        <v>1</v>
      </c>
    </row>
    <row r="37" spans="1:31" ht="15">
      <c r="A37" s="997"/>
      <c r="B37" s="943" t="s">
        <v>1572</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51" t="s">
        <v>1051</v>
      </c>
      <c r="Q37" s="681" t="str">
        <f t="shared" si="14"/>
        <v>工程地质条件</v>
      </c>
      <c r="R37" s="1121" t="s">
        <v>1029</v>
      </c>
      <c r="S37" s="1122">
        <f t="shared" si="10"/>
        <v>100</v>
      </c>
      <c r="T37" s="1121" t="s">
        <v>1029</v>
      </c>
      <c r="U37" s="1122">
        <f t="shared" si="11"/>
        <v>100</v>
      </c>
      <c r="V37" s="1121" t="s">
        <v>1029</v>
      </c>
      <c r="W37" s="1122">
        <f t="shared" si="12"/>
        <v>100</v>
      </c>
      <c r="X37" s="1115"/>
      <c r="Y37" s="3451" t="s">
        <v>1051</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51"/>
      <c r="Q38" s="681">
        <f t="shared" si="14"/>
        <v>111</v>
      </c>
      <c r="R38" s="1121" t="s">
        <v>1029</v>
      </c>
      <c r="S38" s="1122">
        <f t="shared" si="10"/>
        <v>100</v>
      </c>
      <c r="T38" s="1121" t="s">
        <v>1029</v>
      </c>
      <c r="U38" s="1122">
        <f t="shared" si="11"/>
        <v>100</v>
      </c>
      <c r="V38" s="1121" t="s">
        <v>1029</v>
      </c>
      <c r="W38" s="1122">
        <f t="shared" si="12"/>
        <v>100</v>
      </c>
      <c r="X38" s="1115"/>
      <c r="Y38" s="3451"/>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51"/>
      <c r="Q39" s="681">
        <f t="shared" si="14"/>
        <v>111</v>
      </c>
      <c r="R39" s="1121" t="s">
        <v>1029</v>
      </c>
      <c r="S39" s="1122">
        <f t="shared" si="10"/>
        <v>100</v>
      </c>
      <c r="T39" s="1121" t="s">
        <v>1029</v>
      </c>
      <c r="U39" s="1122">
        <f t="shared" si="11"/>
        <v>100</v>
      </c>
      <c r="V39" s="1121" t="s">
        <v>1029</v>
      </c>
      <c r="W39" s="1122">
        <f t="shared" si="12"/>
        <v>100</v>
      </c>
      <c r="X39" s="1115"/>
      <c r="Y39" s="3451"/>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51"/>
      <c r="Q40" s="681">
        <f t="shared" si="14"/>
        <v>111</v>
      </c>
      <c r="R40" s="1123" t="s">
        <v>1029</v>
      </c>
      <c r="S40" s="1124">
        <f t="shared" si="10"/>
        <v>100</v>
      </c>
      <c r="T40" s="1123" t="s">
        <v>1029</v>
      </c>
      <c r="U40" s="1124">
        <f t="shared" si="11"/>
        <v>100</v>
      </c>
      <c r="V40" s="1123" t="s">
        <v>1029</v>
      </c>
      <c r="W40" s="1124">
        <f t="shared" si="12"/>
        <v>100</v>
      </c>
      <c r="X40" s="1125"/>
      <c r="Y40" s="3451"/>
      <c r="Z40" s="1133">
        <f t="shared" si="13"/>
        <v>111</v>
      </c>
      <c r="AA40" s="1132">
        <f t="shared" si="3"/>
        <v>1</v>
      </c>
      <c r="AB40" s="1132">
        <f t="shared" si="4"/>
        <v>1</v>
      </c>
      <c r="AC40" s="1132">
        <f t="shared" si="5"/>
        <v>1</v>
      </c>
    </row>
    <row r="41" spans="1:31" ht="15">
      <c r="A41" s="1004" t="s">
        <v>1555</v>
      </c>
      <c r="B41" s="1005" t="s">
        <v>1606</v>
      </c>
      <c r="C41" s="1006" t="s">
        <v>124</v>
      </c>
      <c r="D41" s="1007"/>
      <c r="E41" s="1008"/>
      <c r="F41" s="1009"/>
      <c r="G41" s="1010"/>
      <c r="H41" s="1011"/>
      <c r="I41" s="1008"/>
      <c r="J41" s="1011"/>
      <c r="K41" s="1096"/>
      <c r="L41" s="1097"/>
      <c r="M41" s="1073"/>
      <c r="N41" s="1073"/>
      <c r="O41" s="1021"/>
      <c r="P41" s="3441" t="str">
        <f>A41</f>
        <v>成交单价</v>
      </c>
      <c r="Q41" s="3441"/>
      <c r="R41" s="3440">
        <f>E41</f>
        <v>0</v>
      </c>
      <c r="S41" s="3440"/>
      <c r="T41" s="3440">
        <f>G41</f>
        <v>0</v>
      </c>
      <c r="U41" s="3440"/>
      <c r="V41" s="3440">
        <f>I41</f>
        <v>0</v>
      </c>
      <c r="W41" s="3440"/>
      <c r="X41" s="1061"/>
      <c r="Y41" s="1134"/>
      <c r="Z41" s="1061"/>
      <c r="AA41" s="1061"/>
      <c r="AB41" s="1061"/>
      <c r="AC41" s="1061"/>
    </row>
    <row r="42" spans="1:31" ht="15">
      <c r="A42" s="1012" t="s">
        <v>1065</v>
      </c>
      <c r="B42" s="1013"/>
      <c r="C42" s="1014" t="e">
        <f>R43</f>
        <v>#DIV/0!</v>
      </c>
      <c r="D42" s="1015" t="s">
        <v>1066</v>
      </c>
      <c r="E42" s="1014" t="e">
        <f>R42</f>
        <v>#DIV/0!</v>
      </c>
      <c r="F42" s="1016"/>
      <c r="G42" s="1017" t="e">
        <f>T42</f>
        <v>#DIV/0!</v>
      </c>
      <c r="H42" s="1016"/>
      <c r="I42" s="1014" t="e">
        <f>V42</f>
        <v>#DIV/0!</v>
      </c>
      <c r="J42" s="1016"/>
      <c r="K42" s="1098">
        <f>F42+H42+J42</f>
        <v>0</v>
      </c>
      <c r="L42" s="1097"/>
      <c r="M42" s="1073"/>
      <c r="N42" s="1073"/>
      <c r="O42" s="1021"/>
      <c r="P42" s="3441" t="str">
        <f>A42</f>
        <v>比较价值（元/平方米）</v>
      </c>
      <c r="Q42" s="3441"/>
      <c r="R42" s="3517" t="e">
        <f>ROUND(PRODUCT(R41,AA7:AA40),0)</f>
        <v>#DIV/0!</v>
      </c>
      <c r="S42" s="3517"/>
      <c r="T42" s="3517" t="e">
        <f>ROUND(PRODUCT(T41,AB7:AB40),0)</f>
        <v>#DIV/0!</v>
      </c>
      <c r="U42" s="3517"/>
      <c r="V42" s="3517" t="e">
        <f>ROUND(PRODUCT(V41,AC7:AC40),0)</f>
        <v>#DIV/0!</v>
      </c>
      <c r="W42" s="3517"/>
      <c r="X42" s="1061"/>
      <c r="Y42" s="1061"/>
      <c r="Z42" s="1061"/>
      <c r="AA42" s="1061"/>
      <c r="AB42" s="1061"/>
      <c r="AC42" s="1061"/>
    </row>
    <row r="43" spans="1:31" ht="15">
      <c r="A43" s="1018" t="s">
        <v>1067</v>
      </c>
      <c r="B43" s="1019"/>
      <c r="C43" s="1020" t="e">
        <f>R43</f>
        <v>#DIV/0!</v>
      </c>
      <c r="D43" s="1020"/>
      <c r="E43" s="1020"/>
      <c r="F43" s="1020"/>
      <c r="G43" s="1020"/>
      <c r="H43" s="1020"/>
      <c r="I43" s="1020"/>
      <c r="J43" s="1020"/>
      <c r="K43" s="1099"/>
      <c r="L43" s="1097"/>
      <c r="M43" s="1073"/>
      <c r="N43" s="1073"/>
      <c r="O43" s="1021"/>
      <c r="P43" s="3443" t="str">
        <f>A43</f>
        <v>估价对象XX用房的比较价值（楼面单价，元/平方米）</v>
      </c>
      <c r="Q43" s="3444"/>
      <c r="R43" s="3518" t="e">
        <f>ROUND(IF(D42="简单平均",AVERAGE(R42:W42),R42*F42+T42*H42+V42*J42),0)</f>
        <v>#DIV/0!</v>
      </c>
      <c r="S43" s="3518"/>
      <c r="T43" s="3518"/>
      <c r="U43" s="3518"/>
      <c r="V43" s="3518"/>
      <c r="W43" s="3518"/>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1068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1069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1070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1575</v>
      </c>
      <c r="B50" s="1031" t="s">
        <v>1576</v>
      </c>
      <c r="C50" s="1032" t="s">
        <v>1577</v>
      </c>
      <c r="D50" s="1033" t="s">
        <v>1578</v>
      </c>
      <c r="E50" s="1034" t="s">
        <v>1579</v>
      </c>
      <c r="F50" s="1035" t="s">
        <v>1580</v>
      </c>
      <c r="G50" s="3458" t="s">
        <v>1581</v>
      </c>
      <c r="H50" s="3516"/>
      <c r="I50" s="1105" t="s">
        <v>1607</v>
      </c>
      <c r="J50" s="1105">
        <f>项目基本情况!F35</f>
        <v>0</v>
      </c>
      <c r="K50" s="1106" t="s">
        <v>1583</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1584</v>
      </c>
      <c r="B51" s="1037" t="e">
        <f>C43</f>
        <v>#DIV/0!</v>
      </c>
      <c r="C51" s="1038">
        <v>1</v>
      </c>
      <c r="D51" s="1039">
        <v>1</v>
      </c>
      <c r="E51" s="1038">
        <f>'数据-汇总表'!E8+'数据-汇总表'!E9</f>
        <v>632.1099999999999</v>
      </c>
      <c r="F51" s="1040" t="e">
        <f t="shared" ref="F51:F60" si="15">ROUND(B51*E51/10000,0)</f>
        <v>#DIV/0!</v>
      </c>
      <c r="G51" s="3492"/>
      <c r="H51" s="344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1585</v>
      </c>
      <c r="B52" s="167" t="e">
        <f>ROUND($C$43*C52*D52,0)</f>
        <v>#DIV/0!</v>
      </c>
      <c r="C52" s="626">
        <f t="shared" ref="C52:C60" si="16">IF($C$50="北京市系数",I52,J52)</f>
        <v>0</v>
      </c>
      <c r="D52" s="1042">
        <v>0.25</v>
      </c>
      <c r="E52" s="1043"/>
      <c r="F52" s="1040" t="e">
        <f t="shared" si="15"/>
        <v>#DIV/0!</v>
      </c>
      <c r="G52" s="1044" t="s">
        <v>1586</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1587</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1588</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1589</v>
      </c>
      <c r="B56" s="167" t="e">
        <f t="shared" si="17"/>
        <v>#DIV/0!</v>
      </c>
      <c r="C56" s="626">
        <f t="shared" si="16"/>
        <v>0</v>
      </c>
      <c r="D56" s="1042">
        <v>0.25</v>
      </c>
      <c r="E56" s="166">
        <f>'数据-汇总表'!E11</f>
        <v>0</v>
      </c>
      <c r="F56" s="1040" t="e">
        <f t="shared" si="15"/>
        <v>#DIV/0!</v>
      </c>
      <c r="G56" s="1048" t="s">
        <v>1590</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1591</v>
      </c>
      <c r="B57" s="167" t="e">
        <f t="shared" si="17"/>
        <v>#DIV/0!</v>
      </c>
      <c r="C57" s="626">
        <f t="shared" si="16"/>
        <v>0</v>
      </c>
      <c r="D57" s="1042">
        <v>0.25</v>
      </c>
      <c r="E57" s="166">
        <f>'数据-汇总表'!E12</f>
        <v>0</v>
      </c>
      <c r="F57" s="1040" t="e">
        <f t="shared" si="15"/>
        <v>#DIV/0!</v>
      </c>
      <c r="G57" s="1049" t="s">
        <v>1592</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1593</v>
      </c>
      <c r="B58" s="167" t="e">
        <f t="shared" si="17"/>
        <v>#DIV/0!</v>
      </c>
      <c r="C58" s="626">
        <f t="shared" si="16"/>
        <v>0</v>
      </c>
      <c r="D58" s="1042">
        <v>0.25</v>
      </c>
      <c r="E58" s="166">
        <f>'数据-汇总表'!E13</f>
        <v>0</v>
      </c>
      <c r="F58" s="1040" t="e">
        <f t="shared" si="15"/>
        <v>#DIV/0!</v>
      </c>
      <c r="G58" s="1049" t="s">
        <v>1594</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1595</v>
      </c>
      <c r="B59" s="167" t="e">
        <f t="shared" si="17"/>
        <v>#DIV/0!</v>
      </c>
      <c r="C59" s="626">
        <f t="shared" si="16"/>
        <v>0</v>
      </c>
      <c r="D59" s="1042">
        <v>0.25</v>
      </c>
      <c r="E59" s="166">
        <f>'数据-汇总表'!E14</f>
        <v>0</v>
      </c>
      <c r="F59" s="1040" t="e">
        <f t="shared" si="15"/>
        <v>#DIV/0!</v>
      </c>
      <c r="G59" s="1048" t="s">
        <v>1586</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1596</v>
      </c>
      <c r="B60" s="167" t="e">
        <f t="shared" si="17"/>
        <v>#DIV/0!</v>
      </c>
      <c r="C60" s="626">
        <f t="shared" si="16"/>
        <v>0</v>
      </c>
      <c r="D60" s="1042">
        <v>0.25</v>
      </c>
      <c r="E60" s="166">
        <f>'数据-汇总表'!E15</f>
        <v>0</v>
      </c>
      <c r="F60" s="1040" t="e">
        <f t="shared" si="15"/>
        <v>#DIV/0!</v>
      </c>
      <c r="G60" s="1050" t="s">
        <v>1590</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1597</v>
      </c>
      <c r="B61" s="1053" t="s">
        <v>1081</v>
      </c>
      <c r="C61" s="1053" t="s">
        <v>1081</v>
      </c>
      <c r="D61" s="1053" t="s">
        <v>1081</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2022-6-1</v>
      </c>
      <c r="D63" s="1059">
        <f>EDATE(C63,-3)</f>
        <v>44621</v>
      </c>
      <c r="E63" s="1059">
        <f>EDATE(D63,-3)</f>
        <v>44531</v>
      </c>
      <c r="F63" s="1059">
        <f t="shared" ref="F63:O63" si="18">EDATE(E63,-3)</f>
        <v>44440</v>
      </c>
      <c r="G63" s="1059">
        <f t="shared" si="18"/>
        <v>44348</v>
      </c>
      <c r="H63" s="1059">
        <f t="shared" si="18"/>
        <v>44256</v>
      </c>
      <c r="I63" s="1059">
        <f t="shared" si="18"/>
        <v>44166</v>
      </c>
      <c r="J63" s="1059">
        <f t="shared" si="18"/>
        <v>44075</v>
      </c>
      <c r="K63" s="1059">
        <f t="shared" si="18"/>
        <v>43983</v>
      </c>
      <c r="L63" s="1059">
        <f t="shared" si="18"/>
        <v>43891</v>
      </c>
      <c r="M63" s="1059">
        <f t="shared" si="18"/>
        <v>43800</v>
      </c>
      <c r="N63" s="1059">
        <f t="shared" si="18"/>
        <v>43709</v>
      </c>
      <c r="O63" s="1059">
        <f t="shared" si="18"/>
        <v>43617</v>
      </c>
      <c r="P63" s="1021"/>
      <c r="Q63" s="1021"/>
      <c r="R63" s="1021"/>
      <c r="S63" s="1021"/>
      <c r="T63" s="1021"/>
      <c r="U63" s="1021"/>
      <c r="V63" s="1021"/>
      <c r="W63" s="1021"/>
      <c r="X63" s="1021"/>
      <c r="Y63" s="1021"/>
      <c r="Z63" s="1021"/>
      <c r="AA63" s="1021"/>
      <c r="AB63" s="1021"/>
      <c r="AC63" s="1021"/>
      <c r="AD63" s="1021"/>
      <c r="AE63" s="1021"/>
    </row>
    <row r="64" spans="1:31" ht="21">
      <c r="A64" s="1060" t="s">
        <v>1071</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1598</v>
      </c>
      <c r="B65" s="1136"/>
      <c r="C65" s="1137" t="str">
        <f>YEAR(C63)&amp;"-"&amp;ROUNDUP(MONTH(C63)/3,0)</f>
        <v>2022-2</v>
      </c>
      <c r="D65" s="1137" t="str">
        <f t="shared" ref="D65:O65" si="19">YEAR(D63)&amp;"-"&amp;ROUNDUP(MONTH(D63)/3,0)</f>
        <v>2022-1</v>
      </c>
      <c r="E65" s="1137" t="str">
        <f t="shared" si="19"/>
        <v>2021-4</v>
      </c>
      <c r="F65" s="1137" t="str">
        <f t="shared" si="19"/>
        <v>2021-3</v>
      </c>
      <c r="G65" s="1137" t="str">
        <f t="shared" si="19"/>
        <v>2021-2</v>
      </c>
      <c r="H65" s="1137" t="str">
        <f t="shared" si="19"/>
        <v>2021-1</v>
      </c>
      <c r="I65" s="1137" t="str">
        <f t="shared" si="19"/>
        <v>2020-4</v>
      </c>
      <c r="J65" s="1137" t="str">
        <f t="shared" si="19"/>
        <v>2020-3</v>
      </c>
      <c r="K65" s="1137" t="str">
        <f t="shared" si="19"/>
        <v>2020-2</v>
      </c>
      <c r="L65" s="1137" t="str">
        <f t="shared" si="19"/>
        <v>2020-1</v>
      </c>
      <c r="M65" s="1137" t="str">
        <f t="shared" si="19"/>
        <v>2019-4</v>
      </c>
      <c r="N65" s="1137" t="str">
        <f t="shared" si="19"/>
        <v>2019-3</v>
      </c>
      <c r="O65" s="1137" t="str">
        <f t="shared" si="19"/>
        <v>2019-2</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1608</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1072</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1030</v>
      </c>
      <c r="B68" s="1146"/>
      <c r="C68" s="1147" t="s">
        <v>1031</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1073</v>
      </c>
      <c r="B70" s="1152" t="s">
        <v>1034</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1037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1038</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1039</v>
      </c>
      <c r="B83" s="1152" t="s">
        <v>1040</v>
      </c>
      <c r="C83" s="1173" t="s">
        <v>1082</v>
      </c>
      <c r="D83" s="1173" t="s">
        <v>1083</v>
      </c>
      <c r="E83" s="1173" t="s">
        <v>1084</v>
      </c>
      <c r="F83" s="1173" t="s">
        <v>1085</v>
      </c>
      <c r="G83" s="1173" t="s">
        <v>1086</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1042</v>
      </c>
      <c r="C85" s="1175" t="s">
        <v>1082</v>
      </c>
      <c r="D85" s="1175" t="s">
        <v>1083</v>
      </c>
      <c r="E85" s="1175" t="s">
        <v>1084</v>
      </c>
      <c r="F85" s="1175" t="s">
        <v>1085</v>
      </c>
      <c r="G85" s="1175" t="s">
        <v>1086</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1565</v>
      </c>
      <c r="C87" s="1173" t="s">
        <v>1082</v>
      </c>
      <c r="D87" s="1173" t="s">
        <v>1083</v>
      </c>
      <c r="E87" s="1173" t="s">
        <v>1084</v>
      </c>
      <c r="F87" s="1173" t="s">
        <v>1085</v>
      </c>
      <c r="G87" s="1173" t="s">
        <v>1086</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1566</v>
      </c>
      <c r="C89" s="1173" t="s">
        <v>1082</v>
      </c>
      <c r="D89" s="1173" t="s">
        <v>1083</v>
      </c>
      <c r="E89" s="1173" t="s">
        <v>1084</v>
      </c>
      <c r="F89" s="1173" t="s">
        <v>1085</v>
      </c>
      <c r="G89" s="1173" t="s">
        <v>1086</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1043</v>
      </c>
      <c r="C91" s="1173" t="s">
        <v>1082</v>
      </c>
      <c r="D91" s="1173" t="s">
        <v>1083</v>
      </c>
      <c r="E91" s="1173" t="s">
        <v>1084</v>
      </c>
      <c r="F91" s="1173" t="s">
        <v>1085</v>
      </c>
      <c r="G91" s="1173" t="s">
        <v>1086</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1044</v>
      </c>
      <c r="C93" s="1180" t="s">
        <v>1087</v>
      </c>
      <c r="D93" s="1180" t="s">
        <v>1088</v>
      </c>
      <c r="E93" s="1180" t="s">
        <v>1089</v>
      </c>
      <c r="F93" s="1180" t="s">
        <v>1090</v>
      </c>
      <c r="G93" s="1180" t="s">
        <v>1091</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1600</v>
      </c>
      <c r="D95" s="1157" t="s">
        <v>1601</v>
      </c>
      <c r="E95" s="1157" t="s">
        <v>1602</v>
      </c>
      <c r="F95" s="1157" t="s">
        <v>1603</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1542</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1567</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1048</v>
      </c>
      <c r="B107" s="1152" t="s">
        <v>1568</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1569</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1571</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1572</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1609</v>
      </c>
      <c r="B1" s="147"/>
      <c r="C1" s="150" t="s">
        <v>1016</v>
      </c>
      <c r="D1" s="592">
        <f>SUM(D29:D30,D33:D39)</f>
        <v>0</v>
      </c>
      <c r="E1" s="593"/>
      <c r="F1" s="593"/>
      <c r="G1" s="593"/>
      <c r="H1" s="593"/>
      <c r="I1" s="593"/>
      <c r="J1" s="593"/>
      <c r="K1" s="585"/>
      <c r="L1" s="763" t="s">
        <v>1610</v>
      </c>
      <c r="M1" s="764">
        <f>SUMPRODUCT((区片价!B5:B9=I2)*(区片价!C3:F3=E2)*(区片价!C5:F9))</f>
        <v>0</v>
      </c>
      <c r="N1" s="765">
        <f>SUMPRODUCT((因素修正幅度!B5:B9=I2)*(因素修正幅度!C3:F3=E2)*(因素修正幅度!C5:F9))</f>
        <v>0</v>
      </c>
      <c r="O1" s="586"/>
      <c r="P1" s="586"/>
      <c r="Q1" s="585"/>
      <c r="R1" s="844" t="s">
        <v>1611</v>
      </c>
      <c r="S1" s="844" t="s">
        <v>1612</v>
      </c>
      <c r="T1" s="844" t="s">
        <v>1613</v>
      </c>
      <c r="U1" s="844" t="s">
        <v>1614</v>
      </c>
      <c r="V1" s="844" t="s">
        <v>1615</v>
      </c>
      <c r="W1" s="845"/>
      <c r="X1" s="845"/>
      <c r="Y1" s="845"/>
      <c r="Z1" s="845"/>
      <c r="AA1" s="845"/>
      <c r="AB1" s="845"/>
      <c r="AC1" s="853"/>
      <c r="AD1" s="854"/>
      <c r="AE1" s="854"/>
      <c r="AF1" s="854"/>
      <c r="AG1" s="854"/>
      <c r="AH1" s="854"/>
      <c r="AI1" s="854"/>
      <c r="AJ1" s="864"/>
    </row>
    <row r="2" spans="1:36" ht="15.75">
      <c r="A2" s="150" t="s">
        <v>913</v>
      </c>
      <c r="B2" s="154" t="e">
        <f>C26</f>
        <v>#DIV/0!</v>
      </c>
      <c r="C2" s="594" t="s">
        <v>914</v>
      </c>
      <c r="D2" s="595" t="s">
        <v>1616</v>
      </c>
      <c r="E2" s="596"/>
      <c r="F2" s="595" t="s">
        <v>1617</v>
      </c>
      <c r="G2" s="597" t="str">
        <f>IF(E2="商业",项目基本情况!B37,IF(E2="办公",项目基本情况!C37,IF(E2="住宅",项目基本情况!D37,项目基本情况!E37)))</f>
        <v>八级</v>
      </c>
      <c r="H2" s="595" t="s">
        <v>1618</v>
      </c>
      <c r="I2" s="597" t="str">
        <f>IF(E2="商业",项目基本情况!B38,IF(E2="办公",项目基本情况!C38,IF(E2="住宅",项目基本情况!D38,项目基本情况!E38)))</f>
        <v>Ⅷ-通2</v>
      </c>
      <c r="J2" s="766"/>
      <c r="K2" s="585"/>
      <c r="L2" s="767" t="s">
        <v>1619</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915</v>
      </c>
      <c r="B3" s="154" t="e">
        <f>ROUND(B2*10000/D1,0)</f>
        <v>#DIV/0!</v>
      </c>
      <c r="C3" s="594" t="s">
        <v>916</v>
      </c>
      <c r="D3" s="595" t="s">
        <v>1620</v>
      </c>
      <c r="E3" s="598"/>
      <c r="F3" s="599" t="s">
        <v>1621</v>
      </c>
      <c r="G3" s="600" t="e">
        <f>IF(F3="宗地容积率",'数据-汇总表'!I4,IF(F3="估价对象容积率",'数据-汇总表'!I6,'数据-汇总表'!I7))</f>
        <v>#DIV/0!</v>
      </c>
      <c r="H3" s="601" t="s">
        <v>1622</v>
      </c>
      <c r="I3" s="769"/>
      <c r="J3" s="766" t="s">
        <v>1623</v>
      </c>
      <c r="K3" s="585"/>
      <c r="L3" s="767" t="s">
        <v>1624</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9"/>
      <c r="B4" s="3540"/>
      <c r="C4" s="3540"/>
      <c r="D4" s="3541"/>
      <c r="E4" s="3541"/>
      <c r="F4" s="3541"/>
      <c r="G4" s="3541"/>
      <c r="H4" s="3541"/>
      <c r="I4" s="3541"/>
      <c r="J4" s="3542"/>
      <c r="K4" s="585"/>
      <c r="L4" s="767" t="s">
        <v>1625</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818</v>
      </c>
      <c r="B5" s="603" t="s">
        <v>1626</v>
      </c>
      <c r="C5" s="604" t="e">
        <f>ROUND(IF(E2="商业",C6*C7+C16,(IF(E2="住宅",C6*C12+C16,C6+C16))),0)</f>
        <v>#DIV/0!</v>
      </c>
      <c r="D5" s="605" t="e">
        <f>ROUND(C6+C16,0)</f>
        <v>#DIV/0!</v>
      </c>
      <c r="E5" s="605"/>
      <c r="F5" s="606"/>
      <c r="G5" s="607"/>
      <c r="H5" s="607"/>
      <c r="I5" s="607"/>
      <c r="J5" s="770"/>
      <c r="K5" s="771"/>
      <c r="L5" s="767" t="s">
        <v>1627</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918</v>
      </c>
      <c r="B6" s="609" t="s">
        <v>1628</v>
      </c>
      <c r="C6" s="610">
        <f>SUMIF(L1:L12,G2,M1:M12)</f>
        <v>0</v>
      </c>
      <c r="D6" s="611" t="s">
        <v>1629</v>
      </c>
      <c r="E6" s="612"/>
      <c r="F6" s="612"/>
      <c r="G6" s="613"/>
      <c r="H6" s="613"/>
      <c r="I6" s="613"/>
      <c r="J6" s="772"/>
      <c r="K6" s="773"/>
      <c r="L6" s="767" t="s">
        <v>1630</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4" t="str">
        <f>IF(E2="商业",IF(C8="不临58条商业街","",2),"")</f>
        <v/>
      </c>
      <c r="B7" s="614" t="s">
        <v>1631</v>
      </c>
      <c r="C7" s="615" t="e">
        <f>IF(C8="不临58条商业街",1,ROUND(1+(1.6*E8+1.2*E9+0.8*E10+0.4*E11)*C9,4))</f>
        <v>#DIV/0!</v>
      </c>
      <c r="D7" s="616" t="s">
        <v>1632</v>
      </c>
      <c r="E7" s="617"/>
      <c r="F7" s="618"/>
      <c r="G7" s="619"/>
      <c r="H7" s="619"/>
      <c r="I7" s="619"/>
      <c r="J7" s="774"/>
      <c r="K7" s="773"/>
      <c r="L7" s="767" t="s">
        <v>1633</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1634</v>
      </c>
      <c r="X7" s="848" t="str">
        <f>G2</f>
        <v>八级</v>
      </c>
      <c r="Y7" s="848" t="s">
        <v>1635</v>
      </c>
      <c r="Z7" s="857" t="e">
        <f>G3</f>
        <v>#DIV/0!</v>
      </c>
      <c r="AA7" s="845"/>
      <c r="AB7" s="845"/>
      <c r="AC7" s="853"/>
      <c r="AD7" s="854"/>
      <c r="AE7" s="854"/>
      <c r="AF7" s="854"/>
      <c r="AG7" s="854"/>
      <c r="AH7" s="854"/>
      <c r="AI7" s="854"/>
      <c r="AJ7" s="864"/>
    </row>
    <row r="8" spans="1:36" ht="15">
      <c r="A8" s="3525"/>
      <c r="B8" s="601" t="s">
        <v>1636</v>
      </c>
      <c r="C8" s="620"/>
      <c r="D8" s="621" t="s">
        <v>1637</v>
      </c>
      <c r="E8" s="622" t="e">
        <f>ROUND(C11/E7,4)</f>
        <v>#DIV/0!</v>
      </c>
      <c r="F8" s="623" t="s">
        <v>1638</v>
      </c>
      <c r="G8" s="624"/>
      <c r="H8" s="624"/>
      <c r="I8" s="624"/>
      <c r="J8" s="775"/>
      <c r="K8" s="585"/>
      <c r="L8" s="767" t="s">
        <v>1639</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43" t="s">
        <v>1640</v>
      </c>
      <c r="X8" s="3544"/>
      <c r="Y8" s="858" t="s">
        <v>1641</v>
      </c>
      <c r="Z8" s="858" t="s">
        <v>1642</v>
      </c>
      <c r="AA8" s="858" t="s">
        <v>1643</v>
      </c>
      <c r="AB8" s="858" t="s">
        <v>1644</v>
      </c>
      <c r="AC8" s="858" t="s">
        <v>1645</v>
      </c>
      <c r="AD8" s="858" t="s">
        <v>1646</v>
      </c>
      <c r="AE8" s="858" t="s">
        <v>1647</v>
      </c>
      <c r="AF8" s="858" t="s">
        <v>1648</v>
      </c>
      <c r="AG8" s="858" t="s">
        <v>1649</v>
      </c>
      <c r="AH8" s="858" t="s">
        <v>1650</v>
      </c>
      <c r="AI8" s="858" t="s">
        <v>1651</v>
      </c>
      <c r="AJ8" s="858" t="s">
        <v>1652</v>
      </c>
    </row>
    <row r="9" spans="1:36" ht="15">
      <c r="A9" s="3525"/>
      <c r="B9" s="601" t="s">
        <v>1653</v>
      </c>
      <c r="C9" s="625">
        <f>SUMIF(修正!C71:C138,C8,修正!E71:E138)</f>
        <v>0</v>
      </c>
      <c r="D9" s="626" t="s">
        <v>1654</v>
      </c>
      <c r="E9" s="626" t="e">
        <f>ROUND(C11/E7,4)</f>
        <v>#DIV/0!</v>
      </c>
      <c r="F9" s="623" t="s">
        <v>1655</v>
      </c>
      <c r="G9" s="624"/>
      <c r="H9" s="624"/>
      <c r="I9" s="624"/>
      <c r="J9" s="775"/>
      <c r="K9" s="585"/>
      <c r="L9" s="767" t="s">
        <v>1656</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8" t="s">
        <v>1657</v>
      </c>
      <c r="X9" s="849" t="s">
        <v>1658</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5"/>
      <c r="B10" s="601" t="s">
        <v>1659</v>
      </c>
      <c r="C10" s="626">
        <f>SUMIF(修正!C71:C138,C8,修正!F71:F138)</f>
        <v>0</v>
      </c>
      <c r="D10" s="626" t="s">
        <v>1660</v>
      </c>
      <c r="E10" s="626" t="e">
        <f>ROUND(C11/E7,4)</f>
        <v>#DIV/0!</v>
      </c>
      <c r="F10" s="623" t="s">
        <v>1661</v>
      </c>
      <c r="G10" s="624"/>
      <c r="H10" s="624"/>
      <c r="I10" s="624"/>
      <c r="J10" s="775"/>
      <c r="K10" s="585"/>
      <c r="L10" s="767" t="s">
        <v>1662</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8"/>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5"/>
      <c r="B11" s="627" t="s">
        <v>1663</v>
      </c>
      <c r="C11" s="628">
        <f>C10/4</f>
        <v>0</v>
      </c>
      <c r="D11" s="628" t="s">
        <v>1664</v>
      </c>
      <c r="E11" s="628" t="e">
        <f>ROUND(C11/E7,4)</f>
        <v>#DIV/0!</v>
      </c>
      <c r="F11" s="629" t="s">
        <v>1665</v>
      </c>
      <c r="G11" s="630"/>
      <c r="H11" s="630"/>
      <c r="I11" s="630"/>
      <c r="J11" s="776"/>
      <c r="K11" s="585"/>
      <c r="L11" s="767" t="s">
        <v>1666</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8" t="s">
        <v>1667</v>
      </c>
      <c r="X11" s="850" t="s">
        <v>1635</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24" t="s">
        <v>1424</v>
      </c>
      <c r="B12" s="631" t="s">
        <v>1668</v>
      </c>
      <c r="C12" s="615">
        <f>ROUND(C15*D15*E15*F15*G15*H15*I15*J15,4)</f>
        <v>1</v>
      </c>
      <c r="D12" s="632" t="s">
        <v>1669</v>
      </c>
      <c r="E12" s="633"/>
      <c r="F12" s="633"/>
      <c r="G12" s="634"/>
      <c r="H12" s="634"/>
      <c r="I12" s="634"/>
      <c r="J12" s="777"/>
      <c r="K12" s="585"/>
      <c r="L12" s="778" t="s">
        <v>1670</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8"/>
      <c r="X12" s="851" t="s">
        <v>1671</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6"/>
      <c r="B13" s="635" t="s">
        <v>1672</v>
      </c>
      <c r="C13" s="636" t="s">
        <v>1673</v>
      </c>
      <c r="D13" s="637" t="s">
        <v>1674</v>
      </c>
      <c r="E13" s="637" t="s">
        <v>1675</v>
      </c>
      <c r="F13" s="638" t="s">
        <v>1676</v>
      </c>
      <c r="G13" s="639" t="s">
        <v>1677</v>
      </c>
      <c r="H13" s="639" t="s">
        <v>1677</v>
      </c>
      <c r="I13" s="639" t="s">
        <v>1677</v>
      </c>
      <c r="J13" s="780" t="s">
        <v>1677</v>
      </c>
      <c r="K13" s="585"/>
      <c r="L13" s="585"/>
      <c r="M13" s="585"/>
      <c r="N13" s="585"/>
      <c r="O13" s="585"/>
      <c r="P13" s="585"/>
      <c r="Q13" s="585"/>
      <c r="R13" s="844">
        <v>12</v>
      </c>
      <c r="S13" s="846"/>
      <c r="T13" s="844" t="e">
        <f t="shared" si="0"/>
        <v>#DIV/0!</v>
      </c>
      <c r="U13" s="846"/>
      <c r="V13" s="844" t="e">
        <f t="shared" si="1"/>
        <v>#DIV/0!</v>
      </c>
      <c r="W13" s="3548"/>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26"/>
      <c r="B14" s="640"/>
      <c r="C14" s="641"/>
      <c r="D14" s="642"/>
      <c r="E14" s="642"/>
      <c r="F14" s="643"/>
      <c r="G14" s="644" t="s">
        <v>1678</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7"/>
      <c r="B15" s="646" t="s">
        <v>1679</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4" t="s">
        <v>1428</v>
      </c>
      <c r="B16" s="614" t="s">
        <v>1680</v>
      </c>
      <c r="C16" s="649" t="e">
        <f>ROUND(IF(F17="与级别开发程度一致",0,(G17-E17)/C17),0)</f>
        <v>#DIV/0!</v>
      </c>
      <c r="D16" s="3545" t="s">
        <v>1681</v>
      </c>
      <c r="E16" s="3546"/>
      <c r="F16" s="3545" t="s">
        <v>1682</v>
      </c>
      <c r="G16" s="3546"/>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8"/>
      <c r="B17" s="652" t="s">
        <v>1683</v>
      </c>
      <c r="C17" s="653">
        <f>SUMPRODUCT((修正!A2:A7=E2)*(修正!B1:M1=G2)*(修正!B2:M7))</f>
        <v>0</v>
      </c>
      <c r="D17" s="647" t="str">
        <f>IF(OR(G2="八级",G2="九级",G2="十级",G2="十一级",G2="十二级"),"五通一平","七通一平")</f>
        <v>五通一平</v>
      </c>
      <c r="E17" s="654">
        <f>SUMPRODUCT((修正!B1:M1=G2)*(修正!B17:M17))</f>
        <v>185</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829</v>
      </c>
      <c r="B18" s="658" t="s">
        <v>1684</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834</v>
      </c>
      <c r="B19" s="663" t="s">
        <v>1685</v>
      </c>
      <c r="C19" s="664" t="e">
        <f>ROUND(IF(H19="按公示增长率计算",SUMPRODUCT((地价!A3:A37=YEAR(G19)&amp;"-"&amp;ROUNDUP(MONTH(G19)/3,0))*(地价!X2:AB2=E2)*(地价!X3:AB37)),IF(H19="地价指数",M20/M19,(1+I19)^O19)),4)</f>
        <v>#VALUE!</v>
      </c>
      <c r="D19" s="665" t="s">
        <v>1686</v>
      </c>
      <c r="E19" s="666">
        <v>41640</v>
      </c>
      <c r="F19" s="665" t="s">
        <v>1687</v>
      </c>
      <c r="G19" s="667">
        <f>'数据-取费表'!B2</f>
        <v>44725</v>
      </c>
      <c r="H19" s="668"/>
      <c r="I19" s="792" t="str">
        <f>IF(H19="季度增幅（自定义）",SUMIF(N21:N24,E2,O21:O24),"")</f>
        <v/>
      </c>
      <c r="J19" s="793"/>
      <c r="K19" s="789"/>
      <c r="L19" s="794" t="s">
        <v>1688</v>
      </c>
      <c r="M19" s="795">
        <f>ROUND(SUMIF(地价!B2:F2,E2,地价!B37:F37),0)</f>
        <v>0</v>
      </c>
      <c r="N19" s="796" t="s">
        <v>1689</v>
      </c>
      <c r="O19" s="797">
        <f>ROUNDDOWN(DATEDIF(E19,G19,"M")/3,0)</f>
        <v>33</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837</v>
      </c>
      <c r="B20" s="670" t="s">
        <v>1690</v>
      </c>
      <c r="C20" s="671" t="e">
        <f>ROUND(POWER(1+G20,J20-I20)*(POWER(1+G20,I20)-1)/(POWER(1+G20,J20)-1),4)</f>
        <v>#DIV/0!</v>
      </c>
      <c r="D20" s="672" t="s">
        <v>1691</v>
      </c>
      <c r="E20" s="673">
        <f>存贷款利率!E21/100</f>
        <v>4.3499999999999997E-2</v>
      </c>
      <c r="F20" s="672" t="s">
        <v>1692</v>
      </c>
      <c r="G20" s="674">
        <f>SUMIF(M26:P26,E2,M28:P28)</f>
        <v>0</v>
      </c>
      <c r="H20" s="672" t="s">
        <v>1693</v>
      </c>
      <c r="I20" s="650" t="e">
        <f>SUMIF('数据-取费表'!C6:C15,E2,'数据-取费表'!F6:F15)/COUNTIF('数据-取费表'!C6:C15,E2)</f>
        <v>#DIV/0!</v>
      </c>
      <c r="J20" s="799">
        <f>IF(E2="住宅",70,IF(E2="商业",40,50))</f>
        <v>50</v>
      </c>
      <c r="K20" s="789"/>
      <c r="L20" s="800" t="s">
        <v>1694</v>
      </c>
      <c r="M20" s="801">
        <f>ROUND(SUMPRODUCT((地价!A4:A37=YEAR(G19)&amp;"-"&amp;ROUNDUP(MONTH(G19)/3,0))*(地价!B2:F2=E2)*(地价!B4:F37)),0)</f>
        <v>0</v>
      </c>
      <c r="N20" s="802" t="s">
        <v>1695</v>
      </c>
      <c r="O20" s="803" t="s">
        <v>1696</v>
      </c>
      <c r="P20" s="804" t="s">
        <v>1697</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859</v>
      </c>
      <c r="B21" s="676" t="s">
        <v>1698</v>
      </c>
      <c r="C21" s="677" t="e">
        <f>IF(B21="容积率修正",IF(G3&lt;=10,D22,J22),C23)</f>
        <v>#DIV/0!</v>
      </c>
      <c r="D21" s="678"/>
      <c r="E21" s="678"/>
      <c r="F21" s="678"/>
      <c r="G21" s="678"/>
      <c r="H21" s="678"/>
      <c r="I21" s="678"/>
      <c r="J21" s="805"/>
      <c r="K21" s="789"/>
      <c r="L21" s="790"/>
      <c r="M21" s="790"/>
      <c r="N21" s="806" t="s">
        <v>1699</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1700</v>
      </c>
      <c r="B22" s="680" t="s">
        <v>1701</v>
      </c>
      <c r="C22" s="681" t="s">
        <v>1702</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1703</v>
      </c>
      <c r="J22" s="809" t="e">
        <f>IF(G3&gt;10,D113,"——")</f>
        <v>#DIV/0!</v>
      </c>
      <c r="K22" s="789"/>
      <c r="L22" s="790"/>
      <c r="M22" s="790"/>
      <c r="N22" s="806" t="s">
        <v>1704</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1705</v>
      </c>
      <c r="B23" s="682" t="s">
        <v>1706</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1707</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1708</v>
      </c>
      <c r="B24" s="663" t="s">
        <v>1709</v>
      </c>
      <c r="C24" s="664">
        <f>SUMIF(A45:A88,E2,B45:B88)</f>
        <v>0</v>
      </c>
      <c r="D24" s="687"/>
      <c r="E24" s="688"/>
      <c r="F24" s="688"/>
      <c r="G24" s="688"/>
      <c r="H24" s="688"/>
      <c r="I24" s="688"/>
      <c r="J24" s="812"/>
      <c r="K24" s="789"/>
      <c r="L24" s="790"/>
      <c r="M24" s="790"/>
      <c r="N24" s="813" t="s">
        <v>1710</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1711</v>
      </c>
      <c r="B25" s="689" t="s">
        <v>1712</v>
      </c>
      <c r="C25" s="690"/>
      <c r="D25" s="619"/>
      <c r="E25" s="619"/>
      <c r="F25" s="691"/>
      <c r="G25" s="619"/>
      <c r="H25" s="619"/>
      <c r="I25" s="619"/>
      <c r="J25" s="774"/>
      <c r="K25" s="585"/>
      <c r="L25" s="586"/>
      <c r="M25" s="586"/>
      <c r="N25" s="816" t="s">
        <v>1713</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1714</v>
      </c>
      <c r="C26" s="693" t="e">
        <f>IF(B21="容积率修正",E29+SUM(E33:E39),SUM(V2:V16)+SUM(E33:E39))</f>
        <v>#DIV/0!</v>
      </c>
      <c r="D26" s="694"/>
      <c r="E26" s="645"/>
      <c r="F26" s="695"/>
      <c r="G26" s="645"/>
      <c r="H26" s="645"/>
      <c r="I26" s="645"/>
      <c r="J26" s="819"/>
      <c r="K26" s="585"/>
      <c r="L26" s="820" t="s">
        <v>1616</v>
      </c>
      <c r="M26" s="616" t="s">
        <v>1715</v>
      </c>
      <c r="N26" s="616" t="s">
        <v>1716</v>
      </c>
      <c r="O26" s="616" t="s">
        <v>1717</v>
      </c>
      <c r="P26" s="821" t="s">
        <v>1718</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1719</v>
      </c>
      <c r="C27" s="697" t="e">
        <f>E30+SUM(I33:I39)</f>
        <v>#DIV/0!</v>
      </c>
      <c r="D27" s="698"/>
      <c r="E27" s="699"/>
      <c r="F27" s="700"/>
      <c r="G27" s="699"/>
      <c r="H27" s="699"/>
      <c r="I27" s="699"/>
      <c r="J27" s="822"/>
      <c r="K27" s="585"/>
      <c r="L27" s="823" t="s">
        <v>1720</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1721</v>
      </c>
      <c r="C28" s="703" t="s">
        <v>1722</v>
      </c>
      <c r="D28" s="703" t="s">
        <v>493</v>
      </c>
      <c r="E28" s="704" t="s">
        <v>1723</v>
      </c>
      <c r="F28" s="705"/>
      <c r="G28" s="634"/>
      <c r="H28" s="634"/>
      <c r="I28" s="634"/>
      <c r="J28" s="777"/>
      <c r="K28" s="585"/>
      <c r="L28" s="825" t="s">
        <v>1692</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1724</v>
      </c>
      <c r="C29" s="708" t="e">
        <f>ROUND(C5*C18*C19*C20*C21*C24,0)</f>
        <v>#DIV/0!</v>
      </c>
      <c r="D29" s="709"/>
      <c r="E29" s="710" t="e">
        <f>ROUND(C29*D29/10000,0)</f>
        <v>#DIV/0!</v>
      </c>
      <c r="F29" s="711" t="s">
        <v>1725</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1726</v>
      </c>
      <c r="C30" s="647" t="e">
        <f>ROUND(IF(E2="工业",C29*M39,C29*M38),0)</f>
        <v>#DIV/0!</v>
      </c>
      <c r="D30" s="715"/>
      <c r="E30" s="710" t="e">
        <f>ROUND(C30*D30/10000,0)</f>
        <v>#DIV/0!</v>
      </c>
      <c r="F30" s="716" t="s">
        <v>1727</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1728</v>
      </c>
      <c r="C31" s="720" t="s">
        <v>1729</v>
      </c>
      <c r="D31" s="634"/>
      <c r="E31" s="720"/>
      <c r="F31" s="720"/>
      <c r="G31" s="632" t="s">
        <v>1727</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1722</v>
      </c>
      <c r="D32" s="723" t="s">
        <v>493</v>
      </c>
      <c r="E32" s="723" t="s">
        <v>1723</v>
      </c>
      <c r="F32" s="592" t="s">
        <v>1730</v>
      </c>
      <c r="G32" s="724" t="s">
        <v>1722</v>
      </c>
      <c r="H32" s="724" t="s">
        <v>493</v>
      </c>
      <c r="I32" s="724" t="s">
        <v>1723</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9"/>
      <c r="B33" s="725" t="s">
        <v>1731</v>
      </c>
      <c r="C33" s="708" t="e">
        <f>ROUND(D5*C19*C20*C24*F33,0)</f>
        <v>#DIV/0!</v>
      </c>
      <c r="D33" s="709"/>
      <c r="E33" s="626" t="e">
        <f>ROUND(C33*D33/10000,0)</f>
        <v>#DIV/0!</v>
      </c>
      <c r="F33" s="626">
        <f>SUMIF(修正!A57:A68,G2,修正!B57:B68)</f>
        <v>0.5</v>
      </c>
      <c r="G33" s="626" t="e">
        <f t="shared" ref="G33" si="6">ROUND(IF(E2="工业",C33*$M$39,C33*$M$38),0)</f>
        <v>#DIV/0!</v>
      </c>
      <c r="H33" s="626">
        <f>D33</f>
        <v>0</v>
      </c>
      <c r="I33" s="626" t="e">
        <f>ROUND(G33*H33/10000,0)</f>
        <v>#DIV/0!</v>
      </c>
      <c r="J33" s="3538" t="s">
        <v>1732</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0"/>
      <c r="B34" s="636" t="s">
        <v>1733</v>
      </c>
      <c r="C34" s="708" t="e">
        <f>ROUND(D5*C19*C20*C24*F34,0)</f>
        <v>#DIV/0!</v>
      </c>
      <c r="D34" s="709"/>
      <c r="E34" s="626" t="e">
        <f t="shared" ref="E34:E39" si="7">ROUND(C34*D34/10000,0)</f>
        <v>#DIV/0!</v>
      </c>
      <c r="F34" s="626">
        <f>SUMIF(修正!A57:A68,G2,修正!C57:C68)</f>
        <v>0.2</v>
      </c>
      <c r="G34" s="626" t="e">
        <f>ROUND(IF(E2="工业",C34*$M$39,C34*$M$38),0)</f>
        <v>#DIV/0!</v>
      </c>
      <c r="H34" s="626">
        <f t="shared" ref="H34:H39" si="8">D34</f>
        <v>0</v>
      </c>
      <c r="I34" s="626" t="e">
        <f t="shared" ref="I34:I39" si="9">ROUND(G34*H34/10000,0)</f>
        <v>#DIV/0!</v>
      </c>
      <c r="J34" s="3530"/>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0"/>
      <c r="B35" s="636" t="s">
        <v>1734</v>
      </c>
      <c r="C35" s="708" t="e">
        <f>ROUND(D5*C19*C20*C24*F35,0)</f>
        <v>#DIV/0!</v>
      </c>
      <c r="D35" s="709"/>
      <c r="E35" s="626" t="e">
        <f t="shared" si="7"/>
        <v>#DIV/0!</v>
      </c>
      <c r="F35" s="626">
        <f>SUMIF(修正!A57:A68,G2,修正!D57:D68)</f>
        <v>0.2</v>
      </c>
      <c r="G35" s="626" t="e">
        <f>ROUND(IF(E2="工业",C35*$M$39,C35*$M$38),0)</f>
        <v>#DIV/0!</v>
      </c>
      <c r="H35" s="626">
        <f t="shared" si="8"/>
        <v>0</v>
      </c>
      <c r="I35" s="626" t="e">
        <f t="shared" si="9"/>
        <v>#DIV/0!</v>
      </c>
      <c r="J35" s="3530"/>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1"/>
      <c r="B36" s="636" t="s">
        <v>1735</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1"/>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1736</v>
      </c>
      <c r="C37" s="626" t="e">
        <f>ROUND(D5*C19*C20*C24*F37,0)</f>
        <v>#DIV/0!</v>
      </c>
      <c r="D37" s="709"/>
      <c r="E37" s="626" t="e">
        <f t="shared" si="7"/>
        <v>#DIV/0!</v>
      </c>
      <c r="F37" s="708">
        <f>SUMIF(修正!A57:A68,G2,修正!E57:E68)</f>
        <v>0.2</v>
      </c>
      <c r="G37" s="626" t="e">
        <f>ROUND(IF(E2="工业",C37*$M$39,C37*$M$38),0)</f>
        <v>#DIV/0!</v>
      </c>
      <c r="H37" s="626">
        <f t="shared" si="8"/>
        <v>0</v>
      </c>
      <c r="I37" s="626" t="e">
        <f t="shared" si="9"/>
        <v>#DIV/0!</v>
      </c>
      <c r="J37" s="831"/>
      <c r="K37" s="585"/>
      <c r="L37" s="832" t="s">
        <v>1737</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1738</v>
      </c>
      <c r="C38" s="626" t="e">
        <f>ROUND(D5*C19*C41*C24*F38,0)</f>
        <v>#DIV/0!</v>
      </c>
      <c r="D38" s="709"/>
      <c r="E38" s="626" t="e">
        <f t="shared" si="7"/>
        <v>#DIV/0!</v>
      </c>
      <c r="F38" s="708">
        <f>SUMIF(修正!A57:A68,G2,修正!F57:F68)</f>
        <v>0.2</v>
      </c>
      <c r="G38" s="626" t="e">
        <f>ROUND(IF(E2="工业",C38*$M$39,C38*$M$38),0)</f>
        <v>#DIV/0!</v>
      </c>
      <c r="H38" s="626">
        <f t="shared" si="8"/>
        <v>0</v>
      </c>
      <c r="I38" s="626" t="e">
        <f t="shared" si="9"/>
        <v>#DIV/0!</v>
      </c>
      <c r="J38" s="831"/>
      <c r="K38" s="585"/>
      <c r="L38" s="834" t="s">
        <v>1739</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1740</v>
      </c>
      <c r="C39" s="647" t="e">
        <f>ROUND(D5*C19*C41*C24*F39,0)</f>
        <v>#DIV/0!</v>
      </c>
      <c r="D39" s="715"/>
      <c r="E39" s="647" t="e">
        <f t="shared" si="7"/>
        <v>#DIV/0!</v>
      </c>
      <c r="F39" s="728">
        <f>SUMIF(修正!A57:A68,G2,修正!G57:G68)</f>
        <v>0.1</v>
      </c>
      <c r="G39" s="647" t="e">
        <f>ROUND(IF(E2="工业",C39*$M$39,C39*$M$38),0)</f>
        <v>#DIV/0!</v>
      </c>
      <c r="H39" s="647">
        <f t="shared" si="8"/>
        <v>0</v>
      </c>
      <c r="I39" s="647" t="e">
        <f t="shared" si="9"/>
        <v>#DIV/0!</v>
      </c>
      <c r="J39" s="836"/>
      <c r="K39" s="585"/>
      <c r="L39" s="837" t="s">
        <v>1718</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1741</v>
      </c>
      <c r="C41" s="592" t="e">
        <f>ROUND(POWER(1+E41,H41-G41)*(POWER(1+E41,G41)-1)/(POWER(1+E41,H41)-1),4)</f>
        <v>#DIV/0!</v>
      </c>
      <c r="D41" s="626" t="s">
        <v>1692</v>
      </c>
      <c r="E41" s="731">
        <f>G20</f>
        <v>0</v>
      </c>
      <c r="F41" s="626" t="s">
        <v>1693</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1742</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1743</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1744</v>
      </c>
      <c r="B47" s="745" t="s">
        <v>1745</v>
      </c>
      <c r="C47" s="745" t="s">
        <v>1746</v>
      </c>
      <c r="D47" s="745" t="s">
        <v>1747</v>
      </c>
      <c r="E47" s="746" t="s">
        <v>1748</v>
      </c>
      <c r="F47" s="747" t="s">
        <v>1749</v>
      </c>
      <c r="G47" s="745" t="s">
        <v>1679</v>
      </c>
      <c r="H47" s="748" t="s">
        <v>1750</v>
      </c>
      <c r="I47" s="745" t="s">
        <v>1751</v>
      </c>
      <c r="J47" s="840" t="s">
        <v>1082</v>
      </c>
      <c r="K47" s="840" t="s">
        <v>1083</v>
      </c>
      <c r="L47" s="840" t="s">
        <v>1084</v>
      </c>
      <c r="M47" s="840" t="s">
        <v>1085</v>
      </c>
      <c r="N47" s="840" t="s">
        <v>1086</v>
      </c>
      <c r="AA47" s="729"/>
      <c r="AB47" s="729"/>
      <c r="AC47" s="729"/>
      <c r="AD47" s="729"/>
      <c r="AE47" s="729"/>
      <c r="AF47" s="729"/>
      <c r="AG47" s="729"/>
      <c r="AH47" s="729"/>
      <c r="AI47" s="729"/>
      <c r="AJ47" s="729"/>
      <c r="AK47" s="729"/>
    </row>
    <row r="48" spans="1:37" s="585" customFormat="1" ht="24.75">
      <c r="A48" s="744" t="s">
        <v>1752</v>
      </c>
      <c r="B48" s="749">
        <f>估价对象房地状况!C4</f>
        <v>0</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14.25">
      <c r="A49" s="744" t="s">
        <v>1753</v>
      </c>
      <c r="B49" s="755">
        <f>估价对象房地状况!C18</f>
        <v>0</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1754</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1755</v>
      </c>
      <c r="B51" s="757" t="s">
        <v>1756</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1757</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1758</v>
      </c>
      <c r="B53" s="758" t="s">
        <v>1759</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4">
      <c r="A54" s="759" t="s">
        <v>1760</v>
      </c>
      <c r="B54" s="271">
        <f>估价对象房地状况!C21</f>
        <v>0</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4">
      <c r="A55" s="759" t="s">
        <v>1761</v>
      </c>
      <c r="B55" s="755">
        <f>估价对象房地状况!C22</f>
        <v>0</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24">
      <c r="A56" s="760" t="s">
        <v>1762</v>
      </c>
      <c r="B56" s="761">
        <f>估价对象房地状况!C20</f>
        <v>0</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1763</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1744</v>
      </c>
      <c r="B58" s="745"/>
      <c r="C58" s="745" t="s">
        <v>1746</v>
      </c>
      <c r="D58" s="745" t="s">
        <v>1747</v>
      </c>
      <c r="E58" s="746" t="s">
        <v>1748</v>
      </c>
      <c r="F58" s="747" t="s">
        <v>1764</v>
      </c>
      <c r="G58" s="745" t="s">
        <v>1679</v>
      </c>
      <c r="H58" s="748" t="s">
        <v>1750</v>
      </c>
      <c r="I58" s="745" t="s">
        <v>1751</v>
      </c>
      <c r="J58" s="840" t="s">
        <v>1082</v>
      </c>
      <c r="K58" s="840" t="s">
        <v>1083</v>
      </c>
      <c r="L58" s="840" t="s">
        <v>1084</v>
      </c>
      <c r="M58" s="840" t="s">
        <v>1085</v>
      </c>
      <c r="N58" s="840" t="s">
        <v>1086</v>
      </c>
      <c r="AA58" s="729"/>
      <c r="AB58" s="729"/>
      <c r="AC58" s="729"/>
      <c r="AD58" s="729"/>
      <c r="AE58" s="729"/>
      <c r="AF58" s="729"/>
      <c r="AG58" s="729"/>
      <c r="AH58" s="729"/>
      <c r="AI58" s="729"/>
      <c r="AJ58" s="729"/>
      <c r="AK58" s="729"/>
    </row>
    <row r="59" spans="1:37" s="585" customFormat="1" ht="24">
      <c r="A59" s="744" t="s">
        <v>1765</v>
      </c>
      <c r="B59" s="749">
        <f>估价对象房地状况!C17</f>
        <v>0</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14.25">
      <c r="A60" s="744" t="s">
        <v>1753</v>
      </c>
      <c r="B60" s="755">
        <f>估价对象房地状况!C18</f>
        <v>0</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1754</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1755</v>
      </c>
      <c r="B62" s="757" t="s">
        <v>1756</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1757</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1758</v>
      </c>
      <c r="B64" s="758" t="s">
        <v>1759</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4">
      <c r="A65" s="744" t="s">
        <v>1760</v>
      </c>
      <c r="B65" s="271">
        <f>估价对象房地状况!C21</f>
        <v>0</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4">
      <c r="A66" s="744" t="s">
        <v>1761</v>
      </c>
      <c r="B66" s="271">
        <f>估价对象房地状况!C22</f>
        <v>0</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24">
      <c r="A67" s="760" t="s">
        <v>1762</v>
      </c>
      <c r="B67" s="871">
        <f>估价对象房地状况!C20</f>
        <v>0</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1766</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1744</v>
      </c>
      <c r="B69" s="745"/>
      <c r="C69" s="745" t="s">
        <v>1746</v>
      </c>
      <c r="D69" s="745" t="s">
        <v>1747</v>
      </c>
      <c r="E69" s="746" t="s">
        <v>1748</v>
      </c>
      <c r="F69" s="747" t="s">
        <v>1764</v>
      </c>
      <c r="G69" s="745" t="s">
        <v>1679</v>
      </c>
      <c r="H69" s="748" t="s">
        <v>1750</v>
      </c>
      <c r="I69" s="745" t="s">
        <v>1751</v>
      </c>
      <c r="J69" s="840" t="s">
        <v>1082</v>
      </c>
      <c r="K69" s="840" t="s">
        <v>1083</v>
      </c>
      <c r="L69" s="840" t="s">
        <v>1084</v>
      </c>
      <c r="M69" s="840" t="s">
        <v>1085</v>
      </c>
      <c r="N69" s="840" t="s">
        <v>1086</v>
      </c>
      <c r="AA69" s="729"/>
      <c r="AB69" s="729"/>
      <c r="AC69" s="729"/>
      <c r="AD69" s="729"/>
      <c r="AE69" s="729"/>
      <c r="AF69" s="729"/>
      <c r="AG69" s="729"/>
      <c r="AH69" s="729"/>
      <c r="AI69" s="729"/>
      <c r="AJ69" s="729"/>
      <c r="AK69" s="729"/>
    </row>
    <row r="70" spans="1:37" s="585" customFormat="1" ht="24">
      <c r="A70" s="744" t="s">
        <v>1767</v>
      </c>
      <c r="B70" s="749">
        <f>估价对象房地状况!C15</f>
        <v>0</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14.25">
      <c r="A71" s="744" t="s">
        <v>1753</v>
      </c>
      <c r="B71" s="755">
        <f>估价对象房地状况!C18</f>
        <v>0</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1754</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1768</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4">
      <c r="A74" s="744" t="s">
        <v>1760</v>
      </c>
      <c r="B74" s="271">
        <f>估价对象房地状况!C21</f>
        <v>0</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4">
      <c r="A75" s="744" t="s">
        <v>1761</v>
      </c>
      <c r="B75" s="271">
        <f>估价对象房地状况!C22</f>
        <v>0</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1758</v>
      </c>
      <c r="B76" s="758" t="s">
        <v>1759</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24">
      <c r="A77" s="744" t="s">
        <v>1762</v>
      </c>
      <c r="B77" s="749">
        <f>估价对象房地状况!C20</f>
        <v>0</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1769</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1770</v>
      </c>
      <c r="B79" s="739">
        <f>1+E81</f>
        <v>1</v>
      </c>
      <c r="C79" s="741"/>
      <c r="D79" s="741"/>
      <c r="E79" s="742"/>
      <c r="F79" s="743"/>
      <c r="G79" s="737"/>
      <c r="H79" s="737"/>
      <c r="I79" s="737"/>
      <c r="J79" s="736"/>
      <c r="K79" s="736"/>
      <c r="L79" s="736"/>
      <c r="M79" s="736"/>
      <c r="N79" s="736"/>
      <c r="Z79" s="589"/>
      <c r="AA79" s="587"/>
      <c r="AG79" s="591"/>
      <c r="AK79" s="587"/>
    </row>
    <row r="80" spans="1:37" ht="24.75">
      <c r="A80" s="744" t="s">
        <v>1744</v>
      </c>
      <c r="B80" s="745"/>
      <c r="C80" s="745" t="s">
        <v>1746</v>
      </c>
      <c r="D80" s="745" t="s">
        <v>1747</v>
      </c>
      <c r="E80" s="746" t="s">
        <v>1748</v>
      </c>
      <c r="F80" s="747" t="s">
        <v>1764</v>
      </c>
      <c r="G80" s="745" t="s">
        <v>1679</v>
      </c>
      <c r="H80" s="748" t="s">
        <v>1750</v>
      </c>
      <c r="I80" s="745" t="s">
        <v>1751</v>
      </c>
      <c r="J80" s="840" t="s">
        <v>1082</v>
      </c>
      <c r="K80" s="840" t="s">
        <v>1083</v>
      </c>
      <c r="L80" s="840" t="s">
        <v>1084</v>
      </c>
      <c r="M80" s="840" t="s">
        <v>1085</v>
      </c>
      <c r="N80" s="840" t="s">
        <v>1086</v>
      </c>
      <c r="Z80" s="589"/>
      <c r="AA80" s="587"/>
      <c r="AG80" s="591"/>
      <c r="AK80" s="587"/>
    </row>
    <row r="81" spans="1:37" ht="63.75">
      <c r="A81" s="744" t="s">
        <v>1771</v>
      </c>
      <c r="B81" s="755" t="str">
        <f>估价对象房地状况!G15</f>
        <v>位于通州区台湖镇星湖科技园，该园区建设成熟，周边有新华联工业园、台铭企业花园等项目，产业集聚程度较好</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3.75">
      <c r="A82" s="744" t="s">
        <v>1753</v>
      </c>
      <c r="B82" s="755" t="str">
        <f>估价对象房地状况!G16</f>
        <v>周边路网密集，行车出入便捷，周边有通11、通12、通68路等公共线路及地铁7号线经过，交通状况较好；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1754</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1768</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102">
      <c r="A85" s="744" t="s">
        <v>1760</v>
      </c>
      <c r="B85" s="271" t="str">
        <f>估价对象房地状况!G19</f>
        <v>周边2公里内的公共服务配套设施较齐备，有购物场所（华联超市）、医院（台湖镇口子社区卫生服务站）、银行（工商银行）、学校（台湖镇中心幼儿园）、餐饮等公共服务配套设施</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4">
      <c r="A86" s="744" t="s">
        <v>1761</v>
      </c>
      <c r="B86" s="271" t="str">
        <f>估价对象房地状况!G20</f>
        <v>七通</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1758</v>
      </c>
      <c r="B87" s="758" t="s">
        <v>1772</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1">
      <c r="A88" s="760" t="s">
        <v>1773</v>
      </c>
      <c r="B88" s="875" t="str">
        <f>估价对象房地状况!G18</f>
        <v>区域内污染物排放及治理状况较好，周边无危险设施及污染源，环境状况较好</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47" t="s">
        <v>1774</v>
      </c>
      <c r="B90" s="3547"/>
      <c r="C90" s="3547"/>
      <c r="D90" s="3547"/>
      <c r="E90" s="3547"/>
      <c r="F90" s="3547"/>
      <c r="G90" s="3547"/>
      <c r="H90" s="3547"/>
      <c r="I90" s="3547"/>
      <c r="J90" s="3547"/>
      <c r="K90" s="876"/>
      <c r="L90" s="876"/>
      <c r="M90" s="876"/>
      <c r="N90" s="876"/>
    </row>
    <row r="91" spans="1:37">
      <c r="A91" s="3532" t="s">
        <v>1775</v>
      </c>
      <c r="B91" s="3532" t="s">
        <v>1776</v>
      </c>
      <c r="C91" s="711" t="s">
        <v>1777</v>
      </c>
      <c r="D91" s="712"/>
      <c r="E91" s="712"/>
      <c r="F91" s="712"/>
      <c r="G91" s="712"/>
      <c r="H91" s="712"/>
      <c r="I91" s="712"/>
      <c r="J91" s="897"/>
      <c r="K91" s="898"/>
      <c r="L91" s="898"/>
      <c r="M91" s="898"/>
      <c r="N91" s="898"/>
    </row>
    <row r="92" spans="1:37">
      <c r="A92" s="3532"/>
      <c r="B92" s="3532"/>
      <c r="C92" s="710" t="s">
        <v>1641</v>
      </c>
      <c r="D92" s="710" t="s">
        <v>1642</v>
      </c>
      <c r="E92" s="710" t="s">
        <v>1643</v>
      </c>
      <c r="F92" s="710" t="s">
        <v>1644</v>
      </c>
      <c r="G92" s="710" t="s">
        <v>1645</v>
      </c>
      <c r="H92" s="710" t="s">
        <v>1646</v>
      </c>
      <c r="I92" s="710" t="s">
        <v>1647</v>
      </c>
      <c r="J92" s="710" t="s">
        <v>1648</v>
      </c>
      <c r="K92" s="710" t="s">
        <v>1649</v>
      </c>
      <c r="L92" s="710" t="s">
        <v>1650</v>
      </c>
      <c r="M92" s="710" t="s">
        <v>1651</v>
      </c>
      <c r="N92" s="710" t="s">
        <v>1652</v>
      </c>
    </row>
    <row r="93" spans="1:37">
      <c r="A93" s="3533" t="s">
        <v>1778</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4"/>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4"/>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4"/>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4"/>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4"/>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4"/>
      <c r="B99" s="877" t="s">
        <v>1658</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5"/>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3" t="s">
        <v>1779</v>
      </c>
      <c r="B101" s="881" t="s">
        <v>1780</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34"/>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34"/>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34"/>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34"/>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34"/>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34"/>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34"/>
      <c r="B108" s="3536" t="s">
        <v>1671</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5"/>
      <c r="B109" s="3537"/>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23" t="s">
        <v>1781</v>
      </c>
      <c r="B110" s="3523"/>
      <c r="C110" s="3523"/>
      <c r="D110" s="3523"/>
      <c r="E110" s="3523"/>
      <c r="F110" s="3523"/>
      <c r="G110" s="3523"/>
      <c r="H110" s="3523"/>
      <c r="I110" s="3523"/>
      <c r="J110" s="3523"/>
      <c r="K110" s="883"/>
      <c r="L110" s="883"/>
      <c r="M110" s="883"/>
      <c r="N110" s="883"/>
    </row>
    <row r="113" spans="1:13" ht="24.75">
      <c r="A113" s="884" t="s">
        <v>1782</v>
      </c>
      <c r="B113" s="885" t="e">
        <f>G3</f>
        <v>#DIV/0!</v>
      </c>
      <c r="C113" s="886" t="s">
        <v>1783</v>
      </c>
      <c r="D113" s="887" t="e">
        <f>SUMPRODUCT((A115:A118=F113)*(B114:M114=H113)*B115:M118)</f>
        <v>#DIV/0!</v>
      </c>
      <c r="E113" s="597" t="s">
        <v>1616</v>
      </c>
      <c r="F113" s="888">
        <f>E2</f>
        <v>0</v>
      </c>
      <c r="G113" s="597" t="s">
        <v>1617</v>
      </c>
      <c r="H113" s="888" t="str">
        <f>G2</f>
        <v>八级</v>
      </c>
      <c r="I113" s="597"/>
      <c r="J113" s="899"/>
      <c r="K113" s="899"/>
      <c r="L113" s="899"/>
      <c r="M113" s="899"/>
    </row>
    <row r="114" spans="1:13">
      <c r="A114" s="889"/>
      <c r="B114" s="890" t="s">
        <v>1784</v>
      </c>
      <c r="C114" s="890" t="s">
        <v>1785</v>
      </c>
      <c r="D114" s="890" t="s">
        <v>1786</v>
      </c>
      <c r="E114" s="891" t="s">
        <v>1787</v>
      </c>
      <c r="F114" s="891" t="s">
        <v>1788</v>
      </c>
      <c r="G114" s="891" t="s">
        <v>1789</v>
      </c>
      <c r="H114" s="892" t="s">
        <v>1790</v>
      </c>
      <c r="I114" s="892" t="s">
        <v>1791</v>
      </c>
      <c r="J114" s="900" t="s">
        <v>1792</v>
      </c>
      <c r="K114" s="900" t="s">
        <v>1793</v>
      </c>
      <c r="L114" s="900" t="s">
        <v>1794</v>
      </c>
      <c r="M114" s="901" t="s">
        <v>1795</v>
      </c>
    </row>
    <row r="115" spans="1:13">
      <c r="A115" s="893" t="s">
        <v>1715</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1716</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1717</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1718</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2" customWidth="1"/>
    <col min="2" max="2" width="37.25" style="3172" customWidth="1"/>
    <col min="3" max="3" width="11.375" style="3172" customWidth="1"/>
    <col min="4" max="4" width="31.75" style="3172" customWidth="1"/>
    <col min="5" max="5" width="0.5" style="3172" customWidth="1"/>
    <col min="6" max="7" width="13" style="3172" customWidth="1"/>
    <col min="8" max="16384" width="9" style="3172"/>
  </cols>
  <sheetData>
    <row r="1" spans="1:5" ht="18.75">
      <c r="A1" s="3173" t="s">
        <v>94</v>
      </c>
      <c r="B1" s="3174"/>
      <c r="C1" s="3174"/>
      <c r="D1" s="3174"/>
      <c r="E1" s="3174"/>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8.75">
      <c r="A4" s="3175"/>
      <c r="B4" s="3243" t="s">
        <v>95</v>
      </c>
      <c r="C4" s="3243"/>
      <c r="D4" s="3243"/>
      <c r="E4" s="3175"/>
    </row>
    <row r="5" spans="1:5" ht="15.75">
      <c r="A5" s="3174"/>
      <c r="B5" s="3235" t="s">
        <v>96</v>
      </c>
      <c r="C5" s="3176" t="s">
        <v>97</v>
      </c>
      <c r="D5" s="3177">
        <f ca="1">结果表!H101</f>
        <v>1684</v>
      </c>
      <c r="E5" s="3174"/>
    </row>
    <row r="6" spans="1:5" ht="15.75">
      <c r="A6" s="3174"/>
      <c r="B6" s="3235"/>
      <c r="C6" s="3176" t="s">
        <v>98</v>
      </c>
      <c r="D6" s="3177" t="str">
        <f ca="1">NUMBERSTRING(INT(D5*10000),2)&amp;"元整"</f>
        <v>壹仟陆佰捌拾肆万元整</v>
      </c>
      <c r="E6" s="3174"/>
    </row>
    <row r="7" spans="1:5" ht="15.75">
      <c r="A7" s="3174"/>
      <c r="B7" s="3236"/>
      <c r="C7" s="3178" t="s">
        <v>99</v>
      </c>
      <c r="D7" s="3179">
        <f ca="1">结果表!H102</f>
        <v>19981</v>
      </c>
      <c r="E7" s="3174"/>
    </row>
    <row r="8" spans="1:5" ht="15.75">
      <c r="A8" s="3174"/>
      <c r="B8" s="3237" t="str">
        <f>结果表!E103</f>
        <v>2.估价师知悉的法定优先受偿款</v>
      </c>
      <c r="C8" s="3180" t="s">
        <v>100</v>
      </c>
      <c r="D8" s="3179">
        <f>结果表!H103</f>
        <v>0</v>
      </c>
      <c r="E8" s="3174"/>
    </row>
    <row r="9" spans="1:5" ht="15.75">
      <c r="A9" s="3174"/>
      <c r="B9" s="3239"/>
      <c r="C9" s="3176" t="s">
        <v>98</v>
      </c>
      <c r="D9" s="3177" t="str">
        <f>NUMBERSTRING(INT(D8*10000),2)&amp;"元整"</f>
        <v>零元整</v>
      </c>
      <c r="E9" s="3174"/>
    </row>
    <row r="10" spans="1:5" ht="15">
      <c r="A10" s="3174"/>
      <c r="B10" s="3181" t="s">
        <v>101</v>
      </c>
      <c r="C10" s="3182" t="s">
        <v>102</v>
      </c>
      <c r="D10" s="3183">
        <f>结果表!H104</f>
        <v>0</v>
      </c>
      <c r="E10" s="3174"/>
    </row>
    <row r="11" spans="1:5" ht="15">
      <c r="A11" s="3174"/>
      <c r="B11" s="3181" t="s">
        <v>103</v>
      </c>
      <c r="C11" s="3182" t="s">
        <v>102</v>
      </c>
      <c r="D11" s="3183">
        <f>结果表!H105</f>
        <v>0</v>
      </c>
      <c r="E11" s="3174"/>
    </row>
    <row r="12" spans="1:5" ht="15">
      <c r="A12" s="3174"/>
      <c r="B12" s="3181" t="s">
        <v>104</v>
      </c>
      <c r="C12" s="3182" t="s">
        <v>102</v>
      </c>
      <c r="D12" s="3183">
        <f>结果表!H106</f>
        <v>0</v>
      </c>
      <c r="E12" s="3174"/>
    </row>
    <row r="13" spans="1:5" ht="15.75">
      <c r="A13" s="3174"/>
      <c r="B13" s="3234" t="str">
        <f>结果表!E107</f>
        <v>3.房地产抵押价值</v>
      </c>
      <c r="C13" s="3184" t="s">
        <v>97</v>
      </c>
      <c r="D13" s="3185">
        <f ca="1">结果表!H107</f>
        <v>1684</v>
      </c>
      <c r="E13" s="3174"/>
    </row>
    <row r="14" spans="1:5" ht="15.75">
      <c r="A14" s="3174"/>
      <c r="B14" s="3235"/>
      <c r="C14" s="3176" t="s">
        <v>98</v>
      </c>
      <c r="D14" s="3177" t="str">
        <f ca="1">NUMBERSTRING(INT(D13*10000),2)&amp;"元整"</f>
        <v>壹仟陆佰捌拾肆万元整</v>
      </c>
      <c r="E14" s="3174"/>
    </row>
    <row r="15" spans="1:5" ht="15">
      <c r="A15" s="3174"/>
      <c r="B15" s="3236"/>
      <c r="C15" s="3178" t="s">
        <v>99</v>
      </c>
      <c r="D15" s="3186">
        <f ca="1">结果表!H108</f>
        <v>19981</v>
      </c>
      <c r="E15" s="3174"/>
    </row>
    <row r="16" spans="1:5" ht="15">
      <c r="A16" s="3174"/>
      <c r="B16" s="3237" t="str">
        <f>结果表!E109</f>
        <v>——</v>
      </c>
      <c r="C16" s="3184" t="s">
        <v>97</v>
      </c>
      <c r="D16" s="3187" t="str">
        <f>结果表!H109</f>
        <v>——</v>
      </c>
      <c r="E16" s="3174"/>
    </row>
    <row r="17" spans="1:5" ht="15.75">
      <c r="A17" s="3174"/>
      <c r="B17" s="3238"/>
      <c r="C17" s="3176" t="s">
        <v>98</v>
      </c>
      <c r="D17" s="3177" t="e">
        <f>NUMBERSTRING(INT(D16*10000),2)&amp;"元整"</f>
        <v>#VALUE!</v>
      </c>
      <c r="E17" s="3174"/>
    </row>
    <row r="18" spans="1:5" ht="15">
      <c r="A18" s="3174"/>
      <c r="B18" s="3239"/>
      <c r="C18" s="3178" t="s">
        <v>99</v>
      </c>
      <c r="D18" s="3186" t="str">
        <f>结果表!H110</f>
        <v>——</v>
      </c>
      <c r="E18" s="3174"/>
    </row>
    <row r="19" spans="1:5" ht="15.75">
      <c r="A19" s="3174"/>
      <c r="B19" s="3234" t="str">
        <f>结果表!E111</f>
        <v>4.抵押净值</v>
      </c>
      <c r="C19" s="3184" t="s">
        <v>97</v>
      </c>
      <c r="D19" s="3179" t="e">
        <f ca="1">结果表!H111</f>
        <v>#N/A</v>
      </c>
      <c r="E19" s="3174"/>
    </row>
    <row r="20" spans="1:5" ht="15.75">
      <c r="A20" s="3174"/>
      <c r="B20" s="3235"/>
      <c r="C20" s="3176" t="s">
        <v>98</v>
      </c>
      <c r="D20" s="3177" t="e">
        <f ca="1">NUMBERSTRING(INT(D19*10000),2)&amp;"元整"</f>
        <v>#N/A</v>
      </c>
      <c r="E20" s="3174"/>
    </row>
    <row r="21" spans="1:5" ht="15">
      <c r="A21" s="3174"/>
      <c r="B21" s="3240"/>
      <c r="C21" s="3188" t="s">
        <v>99</v>
      </c>
      <c r="D21" s="3189" t="e">
        <f ca="1">结果表!H112</f>
        <v>#N/A</v>
      </c>
      <c r="E21" s="3174"/>
    </row>
    <row r="22" spans="1:5">
      <c r="A22" s="3174"/>
      <c r="B22" s="3190" t="s">
        <v>105</v>
      </c>
      <c r="C22" s="3174"/>
      <c r="D22" s="3174"/>
      <c r="E22" s="3174"/>
    </row>
    <row r="23" spans="1:5">
      <c r="A23" s="3174"/>
      <c r="B23" s="3174"/>
      <c r="C23" s="3174"/>
      <c r="D23" s="3174"/>
      <c r="E23" s="3174"/>
    </row>
    <row r="24" spans="1:5" ht="18.75">
      <c r="A24" s="3191"/>
      <c r="B24" s="3192" t="s">
        <v>106</v>
      </c>
      <c r="C24" s="3191"/>
      <c r="D24" s="3191"/>
      <c r="E24" s="3191"/>
    </row>
    <row r="25" spans="1:5">
      <c r="A25" s="3191"/>
      <c r="B25" s="3191"/>
      <c r="C25" s="3191"/>
      <c r="D25" s="3191"/>
      <c r="E25" s="3191"/>
    </row>
    <row r="26" spans="1:5">
      <c r="A26" s="3191"/>
      <c r="B26" s="3191"/>
      <c r="C26" s="3191"/>
      <c r="D26" s="3191"/>
      <c r="E26" s="3191"/>
    </row>
    <row r="27" spans="1:5">
      <c r="A27" s="3191"/>
      <c r="B27" s="3191"/>
      <c r="C27" s="3191"/>
      <c r="D27" s="3191"/>
      <c r="E27" s="3191"/>
    </row>
    <row r="28" spans="1:5">
      <c r="A28" s="3191"/>
      <c r="B28" s="3191"/>
      <c r="C28" s="3191"/>
      <c r="D28" s="3191"/>
      <c r="E28" s="3191"/>
    </row>
    <row r="29" spans="1:5">
      <c r="A29" s="3191"/>
      <c r="B29" s="3191"/>
      <c r="C29" s="3191"/>
      <c r="D29" s="3191"/>
      <c r="E29" s="3191"/>
    </row>
    <row r="30" spans="1:5">
      <c r="A30" s="3191"/>
      <c r="B30" s="3191"/>
      <c r="C30" s="3191"/>
      <c r="D30" s="3191"/>
      <c r="E30" s="3191"/>
    </row>
    <row r="31" spans="1:5">
      <c r="A31" s="3191"/>
      <c r="B31" s="3191"/>
      <c r="C31" s="3191"/>
      <c r="D31" s="3191"/>
      <c r="E31" s="3191"/>
    </row>
    <row r="32" spans="1:5">
      <c r="A32" s="3191"/>
      <c r="B32" s="3191"/>
      <c r="C32" s="3191"/>
      <c r="D32" s="3191"/>
      <c r="E32" s="3191"/>
    </row>
    <row r="33" spans="1:5">
      <c r="A33" s="3191"/>
      <c r="B33" s="3191"/>
      <c r="C33" s="3191"/>
      <c r="D33" s="3191"/>
      <c r="E33" s="3191"/>
    </row>
    <row r="34" spans="1:5">
      <c r="A34" s="3191"/>
      <c r="B34" s="3191"/>
      <c r="C34" s="3191"/>
      <c r="D34" s="3191"/>
      <c r="E34" s="3191"/>
    </row>
    <row r="35" spans="1:5">
      <c r="A35" s="3191"/>
      <c r="B35" s="3191"/>
      <c r="C35" s="3191"/>
      <c r="D35" s="3191"/>
      <c r="E35" s="3191"/>
    </row>
    <row r="36" spans="1:5">
      <c r="A36" s="3191"/>
      <c r="B36" s="3191"/>
      <c r="C36" s="3191"/>
      <c r="D36" s="3191"/>
      <c r="E36" s="3191"/>
    </row>
    <row r="37" spans="1:5">
      <c r="A37" s="3191"/>
      <c r="B37" s="3191"/>
      <c r="C37" s="3191"/>
      <c r="D37" s="3191"/>
      <c r="E37" s="3191"/>
    </row>
    <row r="38" spans="1:5">
      <c r="A38" s="3191"/>
      <c r="B38" s="3191"/>
      <c r="C38" s="3191"/>
      <c r="D38" s="3191"/>
      <c r="E38" s="3191"/>
    </row>
    <row r="39" spans="1:5">
      <c r="A39" s="3191"/>
      <c r="B39" s="3191"/>
      <c r="C39" s="3191"/>
      <c r="D39" s="3191"/>
      <c r="E39" s="3191"/>
    </row>
    <row r="40" spans="1:5">
      <c r="A40" s="3191"/>
      <c r="B40" s="3191"/>
      <c r="C40" s="3191"/>
      <c r="D40" s="3191"/>
      <c r="E40" s="3191"/>
    </row>
    <row r="41" spans="1:5">
      <c r="A41" s="3191"/>
      <c r="B41" s="3191"/>
      <c r="C41" s="3191"/>
      <c r="D41" s="3191"/>
      <c r="E41" s="3191"/>
    </row>
    <row r="42" spans="1:5">
      <c r="A42" s="3191"/>
      <c r="B42" s="3191"/>
      <c r="C42" s="3191"/>
      <c r="D42" s="3191"/>
      <c r="E42" s="319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1796</v>
      </c>
      <c r="B2" s="522">
        <v>3.5</v>
      </c>
      <c r="C2" s="522">
        <v>3.5</v>
      </c>
      <c r="D2" s="523">
        <v>2.5</v>
      </c>
      <c r="E2" s="523">
        <v>2.5</v>
      </c>
      <c r="F2" s="523">
        <v>2.5</v>
      </c>
      <c r="G2" s="523">
        <v>2.5</v>
      </c>
      <c r="H2" s="523">
        <v>2.5</v>
      </c>
      <c r="I2" s="522">
        <v>2</v>
      </c>
      <c r="J2" s="522">
        <v>2</v>
      </c>
      <c r="K2" s="522">
        <v>2</v>
      </c>
      <c r="L2" s="522">
        <v>2</v>
      </c>
      <c r="M2" s="571">
        <v>2</v>
      </c>
    </row>
    <row r="3" spans="1:13" ht="19.5" customHeight="1">
      <c r="A3" s="524" t="s">
        <v>427</v>
      </c>
      <c r="B3" s="525">
        <v>3.5</v>
      </c>
      <c r="C3" s="525">
        <v>3.5</v>
      </c>
      <c r="D3" s="526">
        <v>2.5</v>
      </c>
      <c r="E3" s="526">
        <v>2.5</v>
      </c>
      <c r="F3" s="526">
        <v>2.5</v>
      </c>
      <c r="G3" s="526">
        <v>2.5</v>
      </c>
      <c r="H3" s="526">
        <v>2.5</v>
      </c>
      <c r="I3" s="525">
        <v>2</v>
      </c>
      <c r="J3" s="525">
        <v>2</v>
      </c>
      <c r="K3" s="525">
        <v>2</v>
      </c>
      <c r="L3" s="525">
        <v>2</v>
      </c>
      <c r="M3" s="572">
        <v>2</v>
      </c>
    </row>
    <row r="4" spans="1:13" ht="19.5" customHeight="1">
      <c r="A4" s="524" t="s">
        <v>1797</v>
      </c>
      <c r="B4" s="526">
        <v>2.5</v>
      </c>
      <c r="C4" s="526">
        <v>2.5</v>
      </c>
      <c r="D4" s="526">
        <v>2.5</v>
      </c>
      <c r="E4" s="526">
        <v>2.5</v>
      </c>
      <c r="F4" s="526">
        <v>2.5</v>
      </c>
      <c r="G4" s="526">
        <v>2.5</v>
      </c>
      <c r="H4" s="526">
        <v>2.5</v>
      </c>
      <c r="I4" s="525">
        <v>1.5</v>
      </c>
      <c r="J4" s="525">
        <v>1.5</v>
      </c>
      <c r="K4" s="525">
        <v>1.5</v>
      </c>
      <c r="L4" s="525">
        <v>1.5</v>
      </c>
      <c r="M4" s="572">
        <v>1.5</v>
      </c>
    </row>
    <row r="5" spans="1:13" ht="19.5" customHeight="1">
      <c r="A5" s="527" t="s">
        <v>457</v>
      </c>
      <c r="B5" s="525">
        <v>1.5</v>
      </c>
      <c r="C5" s="525">
        <v>1.5</v>
      </c>
      <c r="D5" s="525">
        <v>1.5</v>
      </c>
      <c r="E5" s="525">
        <v>1.5</v>
      </c>
      <c r="F5" s="525">
        <v>1.5</v>
      </c>
      <c r="G5" s="525">
        <v>1.2</v>
      </c>
      <c r="H5" s="525">
        <v>1.2</v>
      </c>
      <c r="I5" s="525">
        <v>1</v>
      </c>
      <c r="J5" s="525">
        <v>1</v>
      </c>
      <c r="K5" s="525">
        <v>1</v>
      </c>
      <c r="L5" s="525">
        <v>1</v>
      </c>
      <c r="M5" s="572">
        <v>1</v>
      </c>
    </row>
    <row r="6" spans="1:13" ht="19.5" customHeight="1">
      <c r="A6" s="528" t="s">
        <v>1798</v>
      </c>
      <c r="B6" s="529">
        <v>2.5</v>
      </c>
      <c r="C6" s="529">
        <v>2.5</v>
      </c>
      <c r="D6" s="529">
        <v>2</v>
      </c>
      <c r="E6" s="529">
        <v>2</v>
      </c>
      <c r="F6" s="529">
        <v>2</v>
      </c>
      <c r="G6" s="529">
        <v>2</v>
      </c>
      <c r="H6" s="529">
        <v>2</v>
      </c>
      <c r="I6" s="573">
        <v>1.5</v>
      </c>
      <c r="J6" s="573">
        <v>1.5</v>
      </c>
      <c r="K6" s="573">
        <v>1.5</v>
      </c>
      <c r="L6" s="573">
        <v>1.5</v>
      </c>
      <c r="M6" s="574">
        <v>1.5</v>
      </c>
    </row>
    <row r="7" spans="1:13" ht="19.5" customHeight="1">
      <c r="A7" s="530" t="s">
        <v>1799</v>
      </c>
      <c r="B7" s="531">
        <v>2.5</v>
      </c>
      <c r="C7" s="531">
        <v>2.5</v>
      </c>
      <c r="D7" s="531">
        <v>2</v>
      </c>
      <c r="E7" s="531">
        <v>2</v>
      </c>
      <c r="F7" s="531">
        <v>2</v>
      </c>
      <c r="G7" s="531">
        <v>2</v>
      </c>
      <c r="H7" s="531">
        <v>2</v>
      </c>
      <c r="I7" s="575">
        <v>1.5</v>
      </c>
      <c r="J7" s="575">
        <v>1.5</v>
      </c>
      <c r="K7" s="575">
        <v>1.5</v>
      </c>
      <c r="L7" s="575">
        <v>1.5</v>
      </c>
      <c r="M7" s="576">
        <v>1.5</v>
      </c>
    </row>
    <row r="8" spans="1:13" ht="19.5" customHeight="1">
      <c r="A8" s="532" t="s">
        <v>1800</v>
      </c>
      <c r="B8" s="533">
        <v>80</v>
      </c>
      <c r="C8" s="533">
        <v>80</v>
      </c>
      <c r="D8" s="533">
        <v>70</v>
      </c>
      <c r="E8" s="533">
        <v>70</v>
      </c>
      <c r="F8" s="533">
        <v>70</v>
      </c>
      <c r="G8" s="533">
        <v>70</v>
      </c>
      <c r="H8" s="533">
        <v>70</v>
      </c>
      <c r="I8" s="533">
        <v>60</v>
      </c>
      <c r="J8" s="533">
        <v>60</v>
      </c>
      <c r="K8" s="533">
        <v>60</v>
      </c>
      <c r="L8" s="533">
        <v>60</v>
      </c>
      <c r="M8" s="577">
        <v>60</v>
      </c>
    </row>
    <row r="9" spans="1:13" ht="19.5" customHeight="1">
      <c r="A9" s="534" t="s">
        <v>1801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1803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1804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1805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1806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1807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1808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1809</v>
      </c>
      <c r="B18" s="540"/>
      <c r="C18" s="541"/>
      <c r="D18" s="541"/>
      <c r="E18" s="540"/>
      <c r="F18" s="541"/>
      <c r="G18" s="541"/>
    </row>
    <row r="19" spans="1:13" ht="19.5" customHeight="1">
      <c r="A19" s="537" t="s">
        <v>1810</v>
      </c>
      <c r="B19" s="542" t="s">
        <v>1811</v>
      </c>
      <c r="C19" s="543" t="s">
        <v>1812</v>
      </c>
      <c r="D19" s="544"/>
      <c r="E19" s="535" t="s">
        <v>1813</v>
      </c>
      <c r="F19" s="545"/>
      <c r="G19" s="545"/>
    </row>
    <row r="20" spans="1:13" s="517" customFormat="1" ht="19.5" customHeight="1">
      <c r="A20" s="3553" t="s">
        <v>1796</v>
      </c>
      <c r="B20" s="3559" t="s">
        <v>1814</v>
      </c>
      <c r="C20" s="546" t="s">
        <v>1815</v>
      </c>
      <c r="D20" s="547"/>
      <c r="E20" s="548">
        <v>1</v>
      </c>
      <c r="F20" s="549" t="s">
        <v>1816</v>
      </c>
      <c r="G20" s="550"/>
      <c r="H20" s="518"/>
      <c r="I20" s="518"/>
    </row>
    <row r="21" spans="1:13" s="517" customFormat="1" ht="19.5" customHeight="1">
      <c r="A21" s="3554"/>
      <c r="B21" s="3552"/>
      <c r="C21" s="551" t="s">
        <v>1817</v>
      </c>
      <c r="D21" s="552"/>
      <c r="E21" s="553">
        <v>1</v>
      </c>
      <c r="F21" s="549" t="s">
        <v>1818</v>
      </c>
      <c r="G21" s="550"/>
      <c r="H21" s="518"/>
      <c r="I21" s="518"/>
    </row>
    <row r="22" spans="1:13" s="517" customFormat="1" ht="19.5" customHeight="1">
      <c r="A22" s="3554"/>
      <c r="B22" s="3552"/>
      <c r="C22" s="551" t="s">
        <v>1819</v>
      </c>
      <c r="D22" s="552"/>
      <c r="E22" s="553">
        <v>0.9</v>
      </c>
      <c r="F22" s="549" t="s">
        <v>1820</v>
      </c>
      <c r="G22" s="550"/>
      <c r="H22" s="518"/>
      <c r="I22" s="518"/>
    </row>
    <row r="23" spans="1:13" s="517" customFormat="1" ht="19.5" customHeight="1">
      <c r="A23" s="3554"/>
      <c r="B23" s="3552"/>
      <c r="C23" s="551" t="s">
        <v>1821</v>
      </c>
      <c r="D23" s="552"/>
      <c r="E23" s="553">
        <v>0.9</v>
      </c>
      <c r="F23" s="549" t="s">
        <v>1822</v>
      </c>
      <c r="G23" s="550"/>
      <c r="H23" s="518"/>
      <c r="I23" s="518"/>
    </row>
    <row r="24" spans="1:13" s="517" customFormat="1" ht="19.5" customHeight="1">
      <c r="A24" s="3554"/>
      <c r="B24" s="3552"/>
      <c r="C24" s="551" t="s">
        <v>1823</v>
      </c>
      <c r="D24" s="552"/>
      <c r="E24" s="553">
        <v>0.8</v>
      </c>
      <c r="F24" s="549" t="s">
        <v>1824</v>
      </c>
      <c r="G24" s="550"/>
      <c r="H24" s="518"/>
      <c r="I24" s="518"/>
    </row>
    <row r="25" spans="1:13" s="517" customFormat="1" ht="19.5" customHeight="1">
      <c r="A25" s="3555"/>
      <c r="B25" s="3560"/>
      <c r="C25" s="554" t="s">
        <v>1825</v>
      </c>
      <c r="D25" s="555"/>
      <c r="E25" s="556">
        <v>0.8</v>
      </c>
      <c r="F25" s="549" t="s">
        <v>1826</v>
      </c>
      <c r="G25" s="550"/>
      <c r="H25" s="518"/>
      <c r="I25" s="518"/>
    </row>
    <row r="26" spans="1:13" s="517" customFormat="1" ht="19.5" customHeight="1">
      <c r="A26" s="557" t="s">
        <v>427</v>
      </c>
      <c r="B26" s="558" t="s">
        <v>1814</v>
      </c>
      <c r="C26" s="559" t="s">
        <v>1827</v>
      </c>
      <c r="D26" s="560"/>
      <c r="E26" s="561">
        <v>1</v>
      </c>
      <c r="F26" s="549" t="s">
        <v>1828</v>
      </c>
      <c r="G26" s="550"/>
      <c r="H26" s="518"/>
      <c r="I26" s="518"/>
    </row>
    <row r="27" spans="1:13" s="517" customFormat="1" ht="19.5" customHeight="1">
      <c r="A27" s="3556" t="s">
        <v>1799</v>
      </c>
      <c r="B27" s="3559" t="s">
        <v>1799</v>
      </c>
      <c r="C27" s="546" t="s">
        <v>1829</v>
      </c>
      <c r="D27" s="547"/>
      <c r="E27" s="548">
        <v>1</v>
      </c>
      <c r="F27" s="549" t="s">
        <v>1830</v>
      </c>
      <c r="G27" s="550"/>
      <c r="H27" s="518"/>
      <c r="I27" s="518"/>
    </row>
    <row r="28" spans="1:13" s="517" customFormat="1" ht="19.5" customHeight="1">
      <c r="A28" s="3557"/>
      <c r="B28" s="3552"/>
      <c r="C28" s="551" t="s">
        <v>1831</v>
      </c>
      <c r="D28" s="552"/>
      <c r="E28" s="553">
        <v>1</v>
      </c>
      <c r="F28" s="549" t="s">
        <v>1832</v>
      </c>
      <c r="G28" s="550"/>
      <c r="H28" s="518"/>
      <c r="I28" s="518"/>
    </row>
    <row r="29" spans="1:13" s="517" customFormat="1" ht="19.5" customHeight="1">
      <c r="A29" s="3557"/>
      <c r="B29" s="3552"/>
      <c r="C29" s="551" t="s">
        <v>1833</v>
      </c>
      <c r="D29" s="552"/>
      <c r="E29" s="553">
        <v>0.8</v>
      </c>
      <c r="F29" s="549" t="s">
        <v>1834</v>
      </c>
      <c r="G29" s="550"/>
      <c r="H29" s="518"/>
      <c r="I29" s="518"/>
    </row>
    <row r="30" spans="1:13" s="517" customFormat="1" ht="19.5" customHeight="1">
      <c r="A30" s="3557"/>
      <c r="B30" s="3552"/>
      <c r="C30" s="551" t="s">
        <v>1835</v>
      </c>
      <c r="D30" s="552"/>
      <c r="E30" s="553">
        <v>0.8</v>
      </c>
      <c r="F30" s="549" t="s">
        <v>1836</v>
      </c>
      <c r="G30" s="550"/>
      <c r="H30" s="518"/>
      <c r="I30" s="518"/>
    </row>
    <row r="31" spans="1:13" s="517" customFormat="1" ht="19.5" customHeight="1">
      <c r="A31" s="3557"/>
      <c r="B31" s="3552"/>
      <c r="C31" s="551" t="s">
        <v>1837</v>
      </c>
      <c r="D31" s="552"/>
      <c r="E31" s="553">
        <v>0.8</v>
      </c>
      <c r="F31" s="549" t="s">
        <v>1838</v>
      </c>
      <c r="G31" s="550"/>
      <c r="H31" s="518"/>
      <c r="I31" s="518"/>
    </row>
    <row r="32" spans="1:13" s="517" customFormat="1" ht="19.5" customHeight="1">
      <c r="A32" s="3557"/>
      <c r="B32" s="3552"/>
      <c r="C32" s="551" t="s">
        <v>1839</v>
      </c>
      <c r="D32" s="552"/>
      <c r="E32" s="553">
        <v>0.7</v>
      </c>
      <c r="F32" s="549" t="s">
        <v>1840</v>
      </c>
      <c r="G32" s="550"/>
      <c r="H32" s="518"/>
      <c r="I32" s="518"/>
    </row>
    <row r="33" spans="1:9" s="517" customFormat="1" ht="19.5" customHeight="1">
      <c r="A33" s="3557"/>
      <c r="B33" s="3552"/>
      <c r="C33" s="551" t="s">
        <v>1841</v>
      </c>
      <c r="D33" s="552"/>
      <c r="E33" s="553">
        <v>0.8</v>
      </c>
      <c r="F33" s="549" t="s">
        <v>1842</v>
      </c>
      <c r="G33" s="550"/>
      <c r="H33" s="518"/>
      <c r="I33" s="518"/>
    </row>
    <row r="34" spans="1:9" s="517" customFormat="1" ht="19.5" customHeight="1">
      <c r="A34" s="3557"/>
      <c r="B34" s="3552"/>
      <c r="C34" s="551" t="s">
        <v>1843</v>
      </c>
      <c r="D34" s="552"/>
      <c r="E34" s="553">
        <v>0.6</v>
      </c>
      <c r="F34" s="549" t="s">
        <v>1844</v>
      </c>
      <c r="G34" s="550"/>
      <c r="H34" s="518"/>
      <c r="I34" s="518"/>
    </row>
    <row r="35" spans="1:9" s="517" customFormat="1" ht="19.5" customHeight="1">
      <c r="A35" s="3557"/>
      <c r="B35" s="3552"/>
      <c r="C35" s="551" t="s">
        <v>1845</v>
      </c>
      <c r="D35" s="552"/>
      <c r="E35" s="553">
        <v>0.2</v>
      </c>
      <c r="F35" s="549" t="s">
        <v>1846</v>
      </c>
      <c r="G35" s="550"/>
      <c r="H35" s="518"/>
      <c r="I35" s="518"/>
    </row>
    <row r="36" spans="1:9" s="517" customFormat="1" ht="19.5" customHeight="1">
      <c r="A36" s="3557"/>
      <c r="B36" s="3552"/>
      <c r="C36" s="551" t="s">
        <v>1847</v>
      </c>
      <c r="D36" s="552"/>
      <c r="E36" s="553">
        <v>0.2</v>
      </c>
      <c r="F36" s="549" t="s">
        <v>1848</v>
      </c>
      <c r="G36" s="550"/>
      <c r="H36" s="518"/>
      <c r="I36" s="518"/>
    </row>
    <row r="37" spans="1:9" s="517" customFormat="1" ht="19.5" customHeight="1">
      <c r="A37" s="3557"/>
      <c r="B37" s="3550" t="s">
        <v>1849</v>
      </c>
      <c r="C37" s="551" t="s">
        <v>1850</v>
      </c>
      <c r="D37" s="552"/>
      <c r="E37" s="553">
        <v>0.6</v>
      </c>
      <c r="F37" s="549" t="s">
        <v>1851</v>
      </c>
      <c r="G37" s="550"/>
      <c r="H37" s="518"/>
      <c r="I37" s="518"/>
    </row>
    <row r="38" spans="1:9" s="517" customFormat="1" ht="19.5" customHeight="1">
      <c r="A38" s="3557"/>
      <c r="B38" s="3552"/>
      <c r="C38" s="551" t="s">
        <v>1852</v>
      </c>
      <c r="D38" s="552"/>
      <c r="E38" s="553">
        <v>0.6</v>
      </c>
      <c r="F38" s="549" t="s">
        <v>1853</v>
      </c>
      <c r="G38" s="550"/>
      <c r="H38" s="518"/>
      <c r="I38" s="518"/>
    </row>
    <row r="39" spans="1:9" s="517" customFormat="1" ht="19.5" customHeight="1">
      <c r="A39" s="3558"/>
      <c r="B39" s="3560"/>
      <c r="C39" s="554" t="s">
        <v>1854</v>
      </c>
      <c r="D39" s="555"/>
      <c r="E39" s="556">
        <v>0.6</v>
      </c>
      <c r="F39" s="549" t="s">
        <v>1855</v>
      </c>
      <c r="G39" s="550"/>
      <c r="H39" s="518"/>
      <c r="I39" s="518"/>
    </row>
    <row r="40" spans="1:9" s="517" customFormat="1" ht="19.5" customHeight="1">
      <c r="A40" s="557" t="s">
        <v>1797</v>
      </c>
      <c r="B40" s="558" t="s">
        <v>1797</v>
      </c>
      <c r="C40" s="559" t="s">
        <v>1856</v>
      </c>
      <c r="D40" s="560"/>
      <c r="E40" s="561">
        <v>1</v>
      </c>
      <c r="F40" s="549" t="s">
        <v>1857</v>
      </c>
      <c r="G40" s="550"/>
      <c r="H40" s="518"/>
      <c r="I40" s="518"/>
    </row>
    <row r="41" spans="1:9" s="517" customFormat="1" ht="19.5" customHeight="1">
      <c r="A41" s="3553" t="s">
        <v>457</v>
      </c>
      <c r="B41" s="3559" t="s">
        <v>1858</v>
      </c>
      <c r="C41" s="546" t="s">
        <v>1859</v>
      </c>
      <c r="D41" s="547"/>
      <c r="E41" s="548">
        <v>1</v>
      </c>
      <c r="F41" s="549" t="s">
        <v>1860</v>
      </c>
      <c r="G41" s="550"/>
      <c r="H41" s="518"/>
      <c r="I41" s="518"/>
    </row>
    <row r="42" spans="1:9" s="517" customFormat="1" ht="19.5" customHeight="1">
      <c r="A42" s="3554"/>
      <c r="B42" s="3552"/>
      <c r="C42" s="551" t="s">
        <v>1861</v>
      </c>
      <c r="D42" s="552"/>
      <c r="E42" s="553">
        <v>1</v>
      </c>
      <c r="F42" s="549" t="s">
        <v>1862</v>
      </c>
      <c r="G42" s="550"/>
      <c r="H42" s="518"/>
      <c r="I42" s="518"/>
    </row>
    <row r="43" spans="1:9" s="517" customFormat="1" ht="19.5" customHeight="1">
      <c r="A43" s="3554"/>
      <c r="B43" s="3551"/>
      <c r="C43" s="551" t="s">
        <v>1863</v>
      </c>
      <c r="D43" s="552"/>
      <c r="E43" s="553">
        <v>1.5</v>
      </c>
      <c r="F43" s="549" t="s">
        <v>1864</v>
      </c>
      <c r="G43" s="550"/>
      <c r="H43" s="518"/>
      <c r="I43" s="518"/>
    </row>
    <row r="44" spans="1:9" s="517" customFormat="1" ht="19.5" customHeight="1">
      <c r="A44" s="3554"/>
      <c r="B44" s="562" t="s">
        <v>1799</v>
      </c>
      <c r="C44" s="551" t="s">
        <v>1798</v>
      </c>
      <c r="D44" s="552"/>
      <c r="E44" s="553">
        <v>2</v>
      </c>
      <c r="F44" s="549" t="s">
        <v>1865</v>
      </c>
      <c r="G44" s="550"/>
      <c r="H44" s="518"/>
      <c r="I44" s="518"/>
    </row>
    <row r="45" spans="1:9" s="517" customFormat="1" ht="19.5" customHeight="1">
      <c r="A45" s="3554"/>
      <c r="B45" s="3550" t="s">
        <v>1866</v>
      </c>
      <c r="C45" s="551" t="s">
        <v>1867</v>
      </c>
      <c r="D45" s="552"/>
      <c r="E45" s="553">
        <v>1</v>
      </c>
      <c r="F45" s="549" t="s">
        <v>1868</v>
      </c>
      <c r="G45" s="550"/>
      <c r="H45" s="518"/>
      <c r="I45" s="518"/>
    </row>
    <row r="46" spans="1:9" s="517" customFormat="1" ht="19.5" customHeight="1">
      <c r="A46" s="3554"/>
      <c r="B46" s="3552"/>
      <c r="C46" s="551" t="s">
        <v>1869</v>
      </c>
      <c r="D46" s="552"/>
      <c r="E46" s="553">
        <v>1</v>
      </c>
      <c r="F46" s="549" t="s">
        <v>1870</v>
      </c>
      <c r="G46" s="550"/>
      <c r="H46" s="518"/>
      <c r="I46" s="518"/>
    </row>
    <row r="47" spans="1:9" s="517" customFormat="1" ht="19.5" customHeight="1">
      <c r="A47" s="3554"/>
      <c r="B47" s="3552"/>
      <c r="C47" s="551" t="s">
        <v>1871</v>
      </c>
      <c r="D47" s="552"/>
      <c r="E47" s="553">
        <v>1</v>
      </c>
      <c r="F47" s="549" t="s">
        <v>1872</v>
      </c>
      <c r="G47" s="550"/>
      <c r="H47" s="518"/>
      <c r="I47" s="518"/>
    </row>
    <row r="48" spans="1:9" s="517" customFormat="1" ht="19.5" customHeight="1">
      <c r="A48" s="3554"/>
      <c r="B48" s="3552"/>
      <c r="C48" s="551" t="s">
        <v>1873</v>
      </c>
      <c r="D48" s="552"/>
      <c r="E48" s="553">
        <v>1</v>
      </c>
      <c r="F48" s="549" t="s">
        <v>1874</v>
      </c>
      <c r="G48" s="550"/>
      <c r="H48" s="518"/>
      <c r="I48" s="518"/>
    </row>
    <row r="49" spans="1:9" s="517" customFormat="1" ht="19.5" customHeight="1">
      <c r="A49" s="3554"/>
      <c r="B49" s="3552"/>
      <c r="C49" s="551" t="s">
        <v>1875</v>
      </c>
      <c r="D49" s="552"/>
      <c r="E49" s="553">
        <v>1</v>
      </c>
      <c r="F49" s="549" t="s">
        <v>1876</v>
      </c>
      <c r="G49" s="550"/>
      <c r="H49" s="518"/>
      <c r="I49" s="518"/>
    </row>
    <row r="50" spans="1:9" s="517" customFormat="1" ht="19.5" customHeight="1">
      <c r="A50" s="3554"/>
      <c r="B50" s="3552"/>
      <c r="C50" s="551" t="s">
        <v>1877</v>
      </c>
      <c r="D50" s="552"/>
      <c r="E50" s="553">
        <v>1</v>
      </c>
      <c r="F50" s="549" t="s">
        <v>1878</v>
      </c>
      <c r="G50" s="550"/>
      <c r="H50" s="518"/>
      <c r="I50" s="518"/>
    </row>
    <row r="51" spans="1:9" s="517" customFormat="1" ht="19.5" customHeight="1">
      <c r="A51" s="3555"/>
      <c r="B51" s="3560"/>
      <c r="C51" s="554" t="s">
        <v>1879</v>
      </c>
      <c r="D51" s="555"/>
      <c r="E51" s="556">
        <v>1</v>
      </c>
      <c r="F51" s="549" t="s">
        <v>1880</v>
      </c>
      <c r="G51" s="550"/>
      <c r="H51" s="518"/>
      <c r="I51" s="518"/>
    </row>
    <row r="52" spans="1:9" s="517" customFormat="1" ht="19.5" customHeight="1">
      <c r="A52" s="563"/>
      <c r="B52" s="563"/>
      <c r="C52" s="563"/>
      <c r="D52" s="563"/>
      <c r="E52" s="563"/>
      <c r="F52" s="564"/>
      <c r="G52" s="564"/>
      <c r="H52" s="518"/>
      <c r="I52" s="518"/>
    </row>
    <row r="54" spans="1:9" ht="19.5" customHeight="1">
      <c r="A54" s="565"/>
      <c r="B54" s="538" t="s">
        <v>451</v>
      </c>
      <c r="C54" s="538" t="s">
        <v>451</v>
      </c>
      <c r="D54" s="538" t="s">
        <v>451</v>
      </c>
      <c r="E54" s="566" t="s">
        <v>451</v>
      </c>
      <c r="F54" s="566" t="s">
        <v>1881</v>
      </c>
      <c r="G54" s="566" t="s">
        <v>451</v>
      </c>
      <c r="I54" s="519"/>
    </row>
    <row r="55" spans="1:9" ht="19.5" customHeight="1">
      <c r="A55" s="567"/>
      <c r="B55" s="566" t="s">
        <v>1796</v>
      </c>
      <c r="C55" s="566" t="s">
        <v>1796</v>
      </c>
      <c r="D55" s="566" t="s">
        <v>1796</v>
      </c>
      <c r="E55" s="538" t="s">
        <v>427</v>
      </c>
      <c r="F55" s="538" t="s">
        <v>457</v>
      </c>
      <c r="G55" s="538" t="s">
        <v>463</v>
      </c>
      <c r="I55" s="519"/>
    </row>
    <row r="56" spans="1:9" ht="19.5" customHeight="1">
      <c r="A56" s="568"/>
      <c r="B56" s="538">
        <v>1</v>
      </c>
      <c r="C56" s="538">
        <v>2</v>
      </c>
      <c r="D56" s="538">
        <v>3</v>
      </c>
      <c r="E56" s="569" t="s">
        <v>1882</v>
      </c>
      <c r="F56" s="569" t="s">
        <v>1882</v>
      </c>
      <c r="G56" s="569" t="s">
        <v>1882</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1883</v>
      </c>
      <c r="E70" s="540"/>
      <c r="F70" s="540"/>
    </row>
    <row r="71" spans="1:7" s="518" customFormat="1" ht="19.5" customHeight="1">
      <c r="A71" s="581" t="s">
        <v>1884</v>
      </c>
      <c r="B71" s="581" t="s">
        <v>1885</v>
      </c>
      <c r="C71" s="581" t="s">
        <v>1886</v>
      </c>
      <c r="D71" s="581" t="s">
        <v>1887</v>
      </c>
      <c r="E71" s="581" t="s">
        <v>1888</v>
      </c>
      <c r="F71" s="581" t="s">
        <v>1889</v>
      </c>
    </row>
    <row r="72" spans="1:7" ht="13.5">
      <c r="A72" s="581"/>
      <c r="B72" s="581"/>
      <c r="C72" s="581" t="s">
        <v>1890</v>
      </c>
      <c r="D72" s="581"/>
      <c r="E72" s="582" t="s">
        <v>124</v>
      </c>
      <c r="F72" s="581" t="s">
        <v>124</v>
      </c>
    </row>
    <row r="73" spans="1:7" s="518" customFormat="1" ht="13.5">
      <c r="A73" s="562">
        <v>1</v>
      </c>
      <c r="B73" s="3550" t="s">
        <v>1891</v>
      </c>
      <c r="C73" s="535" t="s">
        <v>1892</v>
      </c>
      <c r="D73" s="535" t="s">
        <v>1893</v>
      </c>
      <c r="E73" s="583">
        <v>0.2</v>
      </c>
      <c r="F73" s="562">
        <v>25</v>
      </c>
    </row>
    <row r="74" spans="1:7" s="518" customFormat="1" ht="24">
      <c r="A74" s="562">
        <v>2</v>
      </c>
      <c r="B74" s="3552"/>
      <c r="C74" s="535" t="s">
        <v>1894</v>
      </c>
      <c r="D74" s="535" t="s">
        <v>1895</v>
      </c>
      <c r="E74" s="583">
        <v>0.2</v>
      </c>
      <c r="F74" s="562">
        <v>25</v>
      </c>
    </row>
    <row r="75" spans="1:7" s="518" customFormat="1" ht="24">
      <c r="A75" s="562">
        <v>3</v>
      </c>
      <c r="B75" s="3552"/>
      <c r="C75" s="535" t="s">
        <v>1896</v>
      </c>
      <c r="D75" s="535" t="s">
        <v>1897</v>
      </c>
      <c r="E75" s="583">
        <v>0.2</v>
      </c>
      <c r="F75" s="562">
        <v>25</v>
      </c>
    </row>
    <row r="76" spans="1:7" s="518" customFormat="1" ht="13.5">
      <c r="A76" s="562">
        <v>4</v>
      </c>
      <c r="B76" s="3552"/>
      <c r="C76" s="535" t="s">
        <v>1898</v>
      </c>
      <c r="D76" s="535" t="s">
        <v>1899</v>
      </c>
      <c r="E76" s="583">
        <v>0.15</v>
      </c>
      <c r="F76" s="562">
        <v>20</v>
      </c>
    </row>
    <row r="77" spans="1:7" s="518" customFormat="1" ht="24">
      <c r="A77" s="562">
        <v>5</v>
      </c>
      <c r="B77" s="3552"/>
      <c r="C77" s="535" t="s">
        <v>1900</v>
      </c>
      <c r="D77" s="535" t="s">
        <v>1901</v>
      </c>
      <c r="E77" s="583">
        <v>0.15</v>
      </c>
      <c r="F77" s="562">
        <v>20</v>
      </c>
    </row>
    <row r="78" spans="1:7" s="518" customFormat="1" ht="24">
      <c r="A78" s="562">
        <v>6</v>
      </c>
      <c r="B78" s="3552"/>
      <c r="C78" s="535" t="s">
        <v>1902</v>
      </c>
      <c r="D78" s="535" t="s">
        <v>1903</v>
      </c>
      <c r="E78" s="583">
        <v>0.15</v>
      </c>
      <c r="F78" s="562">
        <v>20</v>
      </c>
    </row>
    <row r="79" spans="1:7" s="518" customFormat="1" ht="24">
      <c r="A79" s="562">
        <v>7</v>
      </c>
      <c r="B79" s="3552"/>
      <c r="C79" s="535" t="s">
        <v>1904</v>
      </c>
      <c r="D79" s="535" t="s">
        <v>1905</v>
      </c>
      <c r="E79" s="583">
        <v>0.15</v>
      </c>
      <c r="F79" s="562">
        <v>20</v>
      </c>
    </row>
    <row r="80" spans="1:7" s="518" customFormat="1" ht="24">
      <c r="A80" s="562">
        <v>8</v>
      </c>
      <c r="B80" s="3552"/>
      <c r="C80" s="535" t="s">
        <v>1906</v>
      </c>
      <c r="D80" s="535" t="s">
        <v>1907</v>
      </c>
      <c r="E80" s="583">
        <v>0.1</v>
      </c>
      <c r="F80" s="562">
        <v>15</v>
      </c>
    </row>
    <row r="81" spans="1:6" s="518" customFormat="1" ht="24">
      <c r="A81" s="562">
        <v>9</v>
      </c>
      <c r="B81" s="3552"/>
      <c r="C81" s="535" t="s">
        <v>1908</v>
      </c>
      <c r="D81" s="535" t="s">
        <v>1909</v>
      </c>
      <c r="E81" s="583">
        <v>0.1</v>
      </c>
      <c r="F81" s="562">
        <v>15</v>
      </c>
    </row>
    <row r="82" spans="1:6" s="518" customFormat="1" ht="24">
      <c r="A82" s="562">
        <v>10</v>
      </c>
      <c r="B82" s="3552"/>
      <c r="C82" s="535" t="s">
        <v>1910</v>
      </c>
      <c r="D82" s="535" t="s">
        <v>1911</v>
      </c>
      <c r="E82" s="583">
        <v>0.1</v>
      </c>
      <c r="F82" s="562">
        <v>15</v>
      </c>
    </row>
    <row r="83" spans="1:6" s="518" customFormat="1" ht="24">
      <c r="A83" s="562">
        <v>11</v>
      </c>
      <c r="B83" s="3552"/>
      <c r="C83" s="535" t="s">
        <v>1912</v>
      </c>
      <c r="D83" s="535" t="s">
        <v>1913</v>
      </c>
      <c r="E83" s="583">
        <v>0.1</v>
      </c>
      <c r="F83" s="562">
        <v>15</v>
      </c>
    </row>
    <row r="84" spans="1:6" s="518" customFormat="1" ht="24">
      <c r="A84" s="562">
        <v>12</v>
      </c>
      <c r="B84" s="3552"/>
      <c r="C84" s="535" t="s">
        <v>1914</v>
      </c>
      <c r="D84" s="535" t="s">
        <v>1915</v>
      </c>
      <c r="E84" s="583">
        <v>0.1</v>
      </c>
      <c r="F84" s="562">
        <v>15</v>
      </c>
    </row>
    <row r="85" spans="1:6" s="518" customFormat="1" ht="13.5">
      <c r="A85" s="562">
        <v>13</v>
      </c>
      <c r="B85" s="3552"/>
      <c r="C85" s="535" t="s">
        <v>1916</v>
      </c>
      <c r="D85" s="535" t="s">
        <v>1917</v>
      </c>
      <c r="E85" s="583">
        <v>0.1</v>
      </c>
      <c r="F85" s="562">
        <v>15</v>
      </c>
    </row>
    <row r="86" spans="1:6" s="518" customFormat="1" ht="13.5">
      <c r="A86" s="562">
        <v>14</v>
      </c>
      <c r="B86" s="3552"/>
      <c r="C86" s="535" t="s">
        <v>1918</v>
      </c>
      <c r="D86" s="535" t="s">
        <v>1919</v>
      </c>
      <c r="E86" s="583">
        <v>0.1</v>
      </c>
      <c r="F86" s="562">
        <v>15</v>
      </c>
    </row>
    <row r="87" spans="1:6" s="518" customFormat="1" ht="13.5">
      <c r="A87" s="562">
        <v>15</v>
      </c>
      <c r="B87" s="3552"/>
      <c r="C87" s="535" t="s">
        <v>1920</v>
      </c>
      <c r="D87" s="535" t="s">
        <v>1921</v>
      </c>
      <c r="E87" s="583">
        <v>0.1</v>
      </c>
      <c r="F87" s="562">
        <v>15</v>
      </c>
    </row>
    <row r="88" spans="1:6" s="518" customFormat="1" ht="24">
      <c r="A88" s="562">
        <v>16</v>
      </c>
      <c r="B88" s="3552"/>
      <c r="C88" s="535" t="s">
        <v>1922</v>
      </c>
      <c r="D88" s="535" t="s">
        <v>1923</v>
      </c>
      <c r="E88" s="583">
        <v>0.1</v>
      </c>
      <c r="F88" s="562">
        <v>15</v>
      </c>
    </row>
    <row r="89" spans="1:6" s="518" customFormat="1" ht="24">
      <c r="A89" s="562">
        <v>17</v>
      </c>
      <c r="B89" s="3551"/>
      <c r="C89" s="535" t="s">
        <v>1924</v>
      </c>
      <c r="D89" s="535" t="s">
        <v>1925</v>
      </c>
      <c r="E89" s="583">
        <v>0.1</v>
      </c>
      <c r="F89" s="562">
        <v>15</v>
      </c>
    </row>
    <row r="90" spans="1:6" s="518" customFormat="1" ht="13.5">
      <c r="A90" s="562">
        <v>18</v>
      </c>
      <c r="B90" s="3550" t="s">
        <v>1926</v>
      </c>
      <c r="C90" s="535" t="s">
        <v>1927</v>
      </c>
      <c r="D90" s="535" t="s">
        <v>1928</v>
      </c>
      <c r="E90" s="583">
        <v>0.2</v>
      </c>
      <c r="F90" s="562">
        <v>25</v>
      </c>
    </row>
    <row r="91" spans="1:6" s="518" customFormat="1" ht="24">
      <c r="A91" s="562">
        <v>19</v>
      </c>
      <c r="B91" s="3552"/>
      <c r="C91" s="535" t="s">
        <v>1929</v>
      </c>
      <c r="D91" s="535" t="s">
        <v>1930</v>
      </c>
      <c r="E91" s="583">
        <v>0.2</v>
      </c>
      <c r="F91" s="562">
        <v>25</v>
      </c>
    </row>
    <row r="92" spans="1:6" s="518" customFormat="1" ht="13.5">
      <c r="A92" s="562">
        <v>20</v>
      </c>
      <c r="B92" s="3552"/>
      <c r="C92" s="535" t="s">
        <v>1931</v>
      </c>
      <c r="D92" s="535" t="s">
        <v>1932</v>
      </c>
      <c r="E92" s="583">
        <v>0.15</v>
      </c>
      <c r="F92" s="562">
        <v>20</v>
      </c>
    </row>
    <row r="93" spans="1:6" s="518" customFormat="1" ht="24">
      <c r="A93" s="562">
        <v>21</v>
      </c>
      <c r="B93" s="3552"/>
      <c r="C93" s="535" t="s">
        <v>1933</v>
      </c>
      <c r="D93" s="535" t="s">
        <v>1934</v>
      </c>
      <c r="E93" s="583">
        <v>0.15</v>
      </c>
      <c r="F93" s="562">
        <v>20</v>
      </c>
    </row>
    <row r="94" spans="1:6" s="518" customFormat="1" ht="24">
      <c r="A94" s="562">
        <v>22</v>
      </c>
      <c r="B94" s="3552"/>
      <c r="C94" s="535" t="s">
        <v>1935</v>
      </c>
      <c r="D94" s="535" t="s">
        <v>1936</v>
      </c>
      <c r="E94" s="583">
        <v>0.15</v>
      </c>
      <c r="F94" s="562">
        <v>20</v>
      </c>
    </row>
    <row r="95" spans="1:6" s="518" customFormat="1" ht="36">
      <c r="A95" s="562">
        <v>23</v>
      </c>
      <c r="B95" s="3552"/>
      <c r="C95" s="535" t="s">
        <v>1937</v>
      </c>
      <c r="D95" s="535" t="s">
        <v>1938</v>
      </c>
      <c r="E95" s="583">
        <v>0.15</v>
      </c>
      <c r="F95" s="562">
        <v>20</v>
      </c>
    </row>
    <row r="96" spans="1:6" s="518" customFormat="1" ht="13.5">
      <c r="A96" s="562">
        <v>24</v>
      </c>
      <c r="B96" s="3552"/>
      <c r="C96" s="535" t="s">
        <v>1939</v>
      </c>
      <c r="D96" s="535" t="s">
        <v>1940</v>
      </c>
      <c r="E96" s="583">
        <v>0.1</v>
      </c>
      <c r="F96" s="562">
        <v>15</v>
      </c>
    </row>
    <row r="97" spans="1:6" s="518" customFormat="1" ht="24">
      <c r="A97" s="562">
        <v>25</v>
      </c>
      <c r="B97" s="3552"/>
      <c r="C97" s="535" t="s">
        <v>1941</v>
      </c>
      <c r="D97" s="535" t="s">
        <v>1942</v>
      </c>
      <c r="E97" s="583">
        <v>0.1</v>
      </c>
      <c r="F97" s="562">
        <v>15</v>
      </c>
    </row>
    <row r="98" spans="1:6" s="518" customFormat="1" ht="24">
      <c r="A98" s="562">
        <v>26</v>
      </c>
      <c r="B98" s="3552"/>
      <c r="C98" s="535" t="s">
        <v>1943</v>
      </c>
      <c r="D98" s="535" t="s">
        <v>1944</v>
      </c>
      <c r="E98" s="583">
        <v>0.1</v>
      </c>
      <c r="F98" s="562">
        <v>15</v>
      </c>
    </row>
    <row r="99" spans="1:6" s="518" customFormat="1" ht="24">
      <c r="A99" s="562">
        <v>27</v>
      </c>
      <c r="B99" s="3552"/>
      <c r="C99" s="535" t="s">
        <v>1945</v>
      </c>
      <c r="D99" s="535" t="s">
        <v>1946</v>
      </c>
      <c r="E99" s="583">
        <v>0.1</v>
      </c>
      <c r="F99" s="562">
        <v>15</v>
      </c>
    </row>
    <row r="100" spans="1:6" s="518" customFormat="1" ht="24">
      <c r="A100" s="562">
        <v>28</v>
      </c>
      <c r="B100" s="3552"/>
      <c r="C100" s="535" t="s">
        <v>1947</v>
      </c>
      <c r="D100" s="535" t="s">
        <v>1948</v>
      </c>
      <c r="E100" s="583">
        <v>0.1</v>
      </c>
      <c r="F100" s="562">
        <v>15</v>
      </c>
    </row>
    <row r="101" spans="1:6" s="518" customFormat="1" ht="24">
      <c r="A101" s="562">
        <v>29</v>
      </c>
      <c r="B101" s="3552"/>
      <c r="C101" s="535" t="s">
        <v>1949</v>
      </c>
      <c r="D101" s="535" t="s">
        <v>1950</v>
      </c>
      <c r="E101" s="583">
        <v>0.1</v>
      </c>
      <c r="F101" s="562">
        <v>15</v>
      </c>
    </row>
    <row r="102" spans="1:6" s="518" customFormat="1" ht="24">
      <c r="A102" s="562">
        <v>30</v>
      </c>
      <c r="B102" s="3552"/>
      <c r="C102" s="535" t="s">
        <v>1951</v>
      </c>
      <c r="D102" s="535" t="s">
        <v>1952</v>
      </c>
      <c r="E102" s="583">
        <v>0.1</v>
      </c>
      <c r="F102" s="562">
        <v>15</v>
      </c>
    </row>
    <row r="103" spans="1:6" s="518" customFormat="1" ht="24">
      <c r="A103" s="562">
        <v>31</v>
      </c>
      <c r="B103" s="3552"/>
      <c r="C103" s="535" t="s">
        <v>1953</v>
      </c>
      <c r="D103" s="535" t="s">
        <v>1954</v>
      </c>
      <c r="E103" s="583">
        <v>0.1</v>
      </c>
      <c r="F103" s="562">
        <v>15</v>
      </c>
    </row>
    <row r="104" spans="1:6" s="518" customFormat="1" ht="24">
      <c r="A104" s="562">
        <v>32</v>
      </c>
      <c r="B104" s="3552"/>
      <c r="C104" s="535" t="s">
        <v>1955</v>
      </c>
      <c r="D104" s="535" t="s">
        <v>1956</v>
      </c>
      <c r="E104" s="583">
        <v>0.1</v>
      </c>
      <c r="F104" s="562">
        <v>15</v>
      </c>
    </row>
    <row r="105" spans="1:6" s="518" customFormat="1" ht="24">
      <c r="A105" s="562">
        <v>33</v>
      </c>
      <c r="B105" s="3552"/>
      <c r="C105" s="535" t="s">
        <v>1957</v>
      </c>
      <c r="D105" s="535" t="s">
        <v>1958</v>
      </c>
      <c r="E105" s="583">
        <v>0.1</v>
      </c>
      <c r="F105" s="562">
        <v>15</v>
      </c>
    </row>
    <row r="106" spans="1:6" s="518" customFormat="1" ht="24">
      <c r="A106" s="562">
        <v>34</v>
      </c>
      <c r="B106" s="3551"/>
      <c r="C106" s="535" t="s">
        <v>1959</v>
      </c>
      <c r="D106" s="535" t="s">
        <v>1960</v>
      </c>
      <c r="E106" s="583">
        <v>0.1</v>
      </c>
      <c r="F106" s="562">
        <v>15</v>
      </c>
    </row>
    <row r="107" spans="1:6" s="518" customFormat="1" ht="24">
      <c r="A107" s="562">
        <v>35</v>
      </c>
      <c r="B107" s="3550" t="s">
        <v>1961</v>
      </c>
      <c r="C107" s="562" t="s">
        <v>1962</v>
      </c>
      <c r="D107" s="535" t="s">
        <v>1963</v>
      </c>
      <c r="E107" s="583">
        <v>0.15</v>
      </c>
      <c r="F107" s="562">
        <v>20</v>
      </c>
    </row>
    <row r="108" spans="1:6" s="518" customFormat="1" ht="24">
      <c r="A108" s="562">
        <v>36</v>
      </c>
      <c r="B108" s="3552"/>
      <c r="C108" s="562" t="s">
        <v>1964</v>
      </c>
      <c r="D108" s="535" t="s">
        <v>1965</v>
      </c>
      <c r="E108" s="583">
        <v>0.15</v>
      </c>
      <c r="F108" s="562">
        <v>20</v>
      </c>
    </row>
    <row r="109" spans="1:6" s="518" customFormat="1" ht="24">
      <c r="A109" s="562">
        <v>37</v>
      </c>
      <c r="B109" s="3552"/>
      <c r="C109" s="562" t="s">
        <v>1966</v>
      </c>
      <c r="D109" s="535" t="s">
        <v>1967</v>
      </c>
      <c r="E109" s="583">
        <v>0.15</v>
      </c>
      <c r="F109" s="562">
        <v>20</v>
      </c>
    </row>
    <row r="110" spans="1:6" s="518" customFormat="1" ht="13.5">
      <c r="A110" s="562">
        <v>38</v>
      </c>
      <c r="B110" s="3552"/>
      <c r="C110" s="562" t="s">
        <v>1968</v>
      </c>
      <c r="D110" s="535" t="s">
        <v>1969</v>
      </c>
      <c r="E110" s="583">
        <v>0.1</v>
      </c>
      <c r="F110" s="562">
        <v>15</v>
      </c>
    </row>
    <row r="111" spans="1:6" s="518" customFormat="1" ht="24">
      <c r="A111" s="562">
        <v>39</v>
      </c>
      <c r="B111" s="3552"/>
      <c r="C111" s="562" t="s">
        <v>1970</v>
      </c>
      <c r="D111" s="535" t="s">
        <v>1971</v>
      </c>
      <c r="E111" s="583">
        <v>0.1</v>
      </c>
      <c r="F111" s="562">
        <v>15</v>
      </c>
    </row>
    <row r="112" spans="1:6" s="518" customFormat="1" ht="24">
      <c r="A112" s="562">
        <v>40</v>
      </c>
      <c r="B112" s="3551"/>
      <c r="C112" s="562" t="s">
        <v>1972</v>
      </c>
      <c r="D112" s="535" t="s">
        <v>1973</v>
      </c>
      <c r="E112" s="583">
        <v>0.1</v>
      </c>
      <c r="F112" s="562">
        <v>15</v>
      </c>
    </row>
    <row r="113" spans="1:6" s="518" customFormat="1" ht="24">
      <c r="A113" s="562">
        <v>41</v>
      </c>
      <c r="B113" s="3549" t="s">
        <v>1974</v>
      </c>
      <c r="C113" s="562" t="s">
        <v>1975</v>
      </c>
      <c r="D113" s="535" t="s">
        <v>1976</v>
      </c>
      <c r="E113" s="583">
        <v>0.1</v>
      </c>
      <c r="F113" s="562">
        <v>15</v>
      </c>
    </row>
    <row r="114" spans="1:6" s="518" customFormat="1" ht="13.5">
      <c r="A114" s="562">
        <v>42</v>
      </c>
      <c r="B114" s="3549"/>
      <c r="C114" s="562" t="s">
        <v>1977</v>
      </c>
      <c r="D114" s="535" t="s">
        <v>1978</v>
      </c>
      <c r="E114" s="583">
        <v>0.1</v>
      </c>
      <c r="F114" s="562">
        <v>15</v>
      </c>
    </row>
    <row r="115" spans="1:6" s="518" customFormat="1" ht="24">
      <c r="A115" s="562">
        <v>43</v>
      </c>
      <c r="B115" s="3549"/>
      <c r="C115" s="562" t="s">
        <v>1979</v>
      </c>
      <c r="D115" s="535" t="s">
        <v>1980</v>
      </c>
      <c r="E115" s="583">
        <v>0.1</v>
      </c>
      <c r="F115" s="562">
        <v>15</v>
      </c>
    </row>
    <row r="116" spans="1:6" s="518" customFormat="1" ht="24">
      <c r="A116" s="562">
        <v>44</v>
      </c>
      <c r="B116" s="3550" t="s">
        <v>1981</v>
      </c>
      <c r="C116" s="562" t="s">
        <v>1982</v>
      </c>
      <c r="D116" s="535" t="s">
        <v>1983</v>
      </c>
      <c r="E116" s="583">
        <v>0.1</v>
      </c>
      <c r="F116" s="562">
        <v>15</v>
      </c>
    </row>
    <row r="117" spans="1:6" s="518" customFormat="1" ht="24">
      <c r="A117" s="562">
        <v>45</v>
      </c>
      <c r="B117" s="3551"/>
      <c r="C117" s="535" t="s">
        <v>1984</v>
      </c>
      <c r="D117" s="535" t="s">
        <v>1985</v>
      </c>
      <c r="E117" s="583">
        <v>0.1</v>
      </c>
      <c r="F117" s="562">
        <v>15</v>
      </c>
    </row>
    <row r="118" spans="1:6" s="518" customFormat="1" ht="24">
      <c r="A118" s="562">
        <v>46</v>
      </c>
      <c r="B118" s="3550" t="s">
        <v>1986</v>
      </c>
      <c r="C118" s="562" t="s">
        <v>1987</v>
      </c>
      <c r="D118" s="535" t="s">
        <v>1988</v>
      </c>
      <c r="E118" s="583">
        <v>0.1</v>
      </c>
      <c r="F118" s="562">
        <v>15</v>
      </c>
    </row>
    <row r="119" spans="1:6" s="518" customFormat="1" ht="24">
      <c r="A119" s="562">
        <v>47</v>
      </c>
      <c r="B119" s="3551"/>
      <c r="C119" s="562" t="s">
        <v>1989</v>
      </c>
      <c r="D119" s="535" t="s">
        <v>1990</v>
      </c>
      <c r="E119" s="583">
        <v>0.1</v>
      </c>
      <c r="F119" s="562">
        <v>15</v>
      </c>
    </row>
    <row r="120" spans="1:6" s="518" customFormat="1" ht="24">
      <c r="A120" s="562">
        <v>48</v>
      </c>
      <c r="B120" s="3550" t="s">
        <v>1991</v>
      </c>
      <c r="C120" s="562" t="s">
        <v>1992</v>
      </c>
      <c r="D120" s="535" t="s">
        <v>1993</v>
      </c>
      <c r="E120" s="583">
        <v>0.1</v>
      </c>
      <c r="F120" s="562">
        <v>15</v>
      </c>
    </row>
    <row r="121" spans="1:6" s="518" customFormat="1" ht="13.5">
      <c r="A121" s="562">
        <v>49</v>
      </c>
      <c r="B121" s="3551"/>
      <c r="C121" s="562" t="s">
        <v>1994</v>
      </c>
      <c r="D121" s="535" t="s">
        <v>1995</v>
      </c>
      <c r="E121" s="583">
        <v>0.1</v>
      </c>
      <c r="F121" s="562">
        <v>15</v>
      </c>
    </row>
    <row r="122" spans="1:6" s="518" customFormat="1" ht="24">
      <c r="A122" s="562">
        <v>50</v>
      </c>
      <c r="B122" s="3549" t="s">
        <v>1996</v>
      </c>
      <c r="C122" s="562" t="s">
        <v>1997</v>
      </c>
      <c r="D122" s="535" t="s">
        <v>1998</v>
      </c>
      <c r="E122" s="583">
        <v>0.1</v>
      </c>
      <c r="F122" s="562">
        <v>15</v>
      </c>
    </row>
    <row r="123" spans="1:6" s="518" customFormat="1" ht="24">
      <c r="A123" s="562">
        <v>51</v>
      </c>
      <c r="B123" s="3549"/>
      <c r="C123" s="562" t="s">
        <v>1999</v>
      </c>
      <c r="D123" s="535" t="s">
        <v>2000</v>
      </c>
      <c r="E123" s="583">
        <v>0.1</v>
      </c>
      <c r="F123" s="562">
        <v>15</v>
      </c>
    </row>
    <row r="124" spans="1:6" s="518" customFormat="1" ht="24">
      <c r="A124" s="562">
        <v>52</v>
      </c>
      <c r="B124" s="3549" t="s">
        <v>2001</v>
      </c>
      <c r="C124" s="562" t="s">
        <v>2002</v>
      </c>
      <c r="D124" s="535" t="s">
        <v>2003</v>
      </c>
      <c r="E124" s="583">
        <v>0.1</v>
      </c>
      <c r="F124" s="562">
        <v>15</v>
      </c>
    </row>
    <row r="125" spans="1:6" s="518" customFormat="1" ht="24">
      <c r="A125" s="562">
        <v>53</v>
      </c>
      <c r="B125" s="3549"/>
      <c r="C125" s="562" t="s">
        <v>2004</v>
      </c>
      <c r="D125" s="535" t="s">
        <v>2005</v>
      </c>
      <c r="E125" s="583">
        <v>0.1</v>
      </c>
      <c r="F125" s="562">
        <v>15</v>
      </c>
    </row>
    <row r="126" spans="1:6" ht="24">
      <c r="A126" s="562">
        <v>54</v>
      </c>
      <c r="B126" s="562" t="s">
        <v>2006</v>
      </c>
      <c r="C126" s="562" t="s">
        <v>2007</v>
      </c>
      <c r="D126" s="535" t="s">
        <v>2008</v>
      </c>
      <c r="E126" s="583">
        <v>0.1</v>
      </c>
      <c r="F126" s="562">
        <v>15</v>
      </c>
    </row>
    <row r="127" spans="1:6" ht="13.5">
      <c r="A127" s="562">
        <v>55</v>
      </c>
      <c r="B127" s="3549" t="s">
        <v>2009</v>
      </c>
      <c r="C127" s="562" t="s">
        <v>2010</v>
      </c>
      <c r="D127" s="535" t="s">
        <v>2011</v>
      </c>
      <c r="E127" s="583">
        <v>0.1</v>
      </c>
      <c r="F127" s="562">
        <v>15</v>
      </c>
    </row>
    <row r="128" spans="1:6" ht="13.5">
      <c r="A128" s="562">
        <v>56</v>
      </c>
      <c r="B128" s="3549"/>
      <c r="C128" s="562" t="s">
        <v>2012</v>
      </c>
      <c r="D128" s="535" t="s">
        <v>2013</v>
      </c>
      <c r="E128" s="583">
        <v>0.1</v>
      </c>
      <c r="F128" s="562">
        <v>15</v>
      </c>
    </row>
    <row r="129" spans="1:6" ht="24">
      <c r="A129" s="562">
        <v>57</v>
      </c>
      <c r="B129" s="3549"/>
      <c r="C129" s="562" t="s">
        <v>2014</v>
      </c>
      <c r="D129" s="535" t="s">
        <v>2015</v>
      </c>
      <c r="E129" s="583">
        <v>0.1</v>
      </c>
      <c r="F129" s="562">
        <v>15</v>
      </c>
    </row>
    <row r="130" spans="1:6" ht="24">
      <c r="A130" s="562">
        <v>58</v>
      </c>
      <c r="B130" s="3549" t="s">
        <v>2016</v>
      </c>
      <c r="C130" s="562" t="s">
        <v>2017</v>
      </c>
      <c r="D130" s="535" t="s">
        <v>2018</v>
      </c>
      <c r="E130" s="583">
        <v>0.1</v>
      </c>
      <c r="F130" s="562">
        <v>15</v>
      </c>
    </row>
    <row r="131" spans="1:6" ht="24">
      <c r="A131" s="562">
        <v>59</v>
      </c>
      <c r="B131" s="3549"/>
      <c r="C131" s="562" t="s">
        <v>2019</v>
      </c>
      <c r="D131" s="535" t="s">
        <v>2020</v>
      </c>
      <c r="E131" s="583">
        <v>0.1</v>
      </c>
      <c r="F131" s="562">
        <v>15</v>
      </c>
    </row>
    <row r="132" spans="1:6" ht="24">
      <c r="A132" s="562">
        <v>60</v>
      </c>
      <c r="B132" s="3550" t="s">
        <v>2021</v>
      </c>
      <c r="C132" s="562" t="s">
        <v>2022</v>
      </c>
      <c r="D132" s="535" t="s">
        <v>2023</v>
      </c>
      <c r="E132" s="583">
        <v>0.1</v>
      </c>
      <c r="F132" s="562">
        <v>15</v>
      </c>
    </row>
    <row r="133" spans="1:6" ht="24">
      <c r="A133" s="562">
        <v>61</v>
      </c>
      <c r="B133" s="3551"/>
      <c r="C133" s="562" t="s">
        <v>2024</v>
      </c>
      <c r="D133" s="535" t="s">
        <v>2025</v>
      </c>
      <c r="E133" s="583">
        <v>0.1</v>
      </c>
      <c r="F133" s="562">
        <v>15</v>
      </c>
    </row>
    <row r="134" spans="1:6" ht="24">
      <c r="A134" s="562">
        <v>62</v>
      </c>
      <c r="B134" s="562" t="s">
        <v>2026</v>
      </c>
      <c r="C134" s="562" t="s">
        <v>2027</v>
      </c>
      <c r="D134" s="535" t="s">
        <v>2028</v>
      </c>
      <c r="E134" s="583">
        <v>0.1</v>
      </c>
      <c r="F134" s="562">
        <v>15</v>
      </c>
    </row>
    <row r="135" spans="1:6" ht="24">
      <c r="A135" s="562">
        <v>63</v>
      </c>
      <c r="B135" s="3549" t="s">
        <v>2029</v>
      </c>
      <c r="C135" s="562" t="s">
        <v>2030</v>
      </c>
      <c r="D135" s="535" t="s">
        <v>2031</v>
      </c>
      <c r="E135" s="583">
        <v>0.1</v>
      </c>
      <c r="F135" s="562">
        <v>15</v>
      </c>
    </row>
    <row r="136" spans="1:6" ht="13.5">
      <c r="A136" s="562">
        <v>64</v>
      </c>
      <c r="B136" s="3549"/>
      <c r="C136" s="562" t="s">
        <v>2032</v>
      </c>
      <c r="D136" s="535" t="s">
        <v>2033</v>
      </c>
      <c r="E136" s="583">
        <v>0.1</v>
      </c>
      <c r="F136" s="562">
        <v>15</v>
      </c>
    </row>
    <row r="137" spans="1:6" ht="24">
      <c r="A137" s="562">
        <v>65</v>
      </c>
      <c r="B137" s="562" t="s">
        <v>2034</v>
      </c>
      <c r="C137" s="562" t="s">
        <v>2035</v>
      </c>
      <c r="D137" s="535" t="s">
        <v>2036</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2037</v>
      </c>
      <c r="B1" s="509"/>
      <c r="C1" s="509"/>
      <c r="D1" s="509"/>
      <c r="E1" s="509"/>
      <c r="F1" s="509"/>
      <c r="G1" s="509"/>
      <c r="H1" s="509"/>
      <c r="I1" s="509"/>
      <c r="J1" s="509"/>
      <c r="K1" s="509"/>
      <c r="L1" s="509"/>
      <c r="M1" s="509"/>
      <c r="N1" s="509"/>
    </row>
    <row r="2" spans="1:14">
      <c r="A2" s="510" t="s">
        <v>2038</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2039</v>
      </c>
      <c r="B103" s="509"/>
      <c r="C103" s="509"/>
      <c r="D103" s="509"/>
      <c r="E103" s="509"/>
      <c r="F103" s="509"/>
      <c r="G103" s="509"/>
      <c r="H103" s="509"/>
      <c r="I103" s="509"/>
      <c r="J103" s="509"/>
      <c r="K103" s="509"/>
      <c r="L103" s="509"/>
      <c r="M103" s="509"/>
      <c r="N103" s="509"/>
    </row>
    <row r="104" spans="1:14" ht="14.25">
      <c r="A104" s="510" t="s">
        <v>2038</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2040</v>
      </c>
      <c r="B205" s="509"/>
      <c r="C205" s="509"/>
      <c r="D205" s="509"/>
      <c r="E205" s="509"/>
      <c r="F205" s="509"/>
      <c r="G205" s="509"/>
      <c r="H205" s="509"/>
      <c r="I205" s="509"/>
      <c r="J205" s="509"/>
      <c r="K205" s="509"/>
      <c r="L205" s="509"/>
      <c r="M205" s="509"/>
    </row>
    <row r="206" spans="1:13">
      <c r="A206" s="510" t="s">
        <v>2038</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2041</v>
      </c>
      <c r="B307" s="509"/>
      <c r="C307" s="509"/>
      <c r="D307" s="509"/>
      <c r="E307" s="509"/>
      <c r="F307" s="509"/>
      <c r="G307" s="509"/>
      <c r="H307" s="509"/>
      <c r="I307" s="509"/>
      <c r="J307" s="509"/>
      <c r="K307" s="509"/>
      <c r="L307" s="509"/>
      <c r="M307" s="509"/>
    </row>
    <row r="308" spans="1:13">
      <c r="A308" s="510" t="s">
        <v>2038</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2042</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2043</v>
      </c>
      <c r="D2" s="497" t="s">
        <v>2044</v>
      </c>
      <c r="E2" s="499">
        <f ca="1">SUMIF(E6:E13,"&lt;&gt;#ref!",E6:E13)</f>
        <v>0</v>
      </c>
      <c r="F2" s="496"/>
      <c r="G2" s="496"/>
      <c r="H2" s="496"/>
      <c r="I2" s="496"/>
      <c r="J2" s="496"/>
      <c r="K2" s="496"/>
      <c r="L2" s="496"/>
      <c r="M2" s="496"/>
      <c r="N2" s="496"/>
      <c r="O2" s="496"/>
      <c r="P2" s="496"/>
    </row>
    <row r="3" spans="1:16" ht="15.75">
      <c r="A3" s="497" t="s">
        <v>2045</v>
      </c>
      <c r="B3" s="498" t="e">
        <f ca="1">ROUND(B2*10000/E2,0)</f>
        <v>#DIV/0!</v>
      </c>
      <c r="C3" s="497" t="s">
        <v>2046</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2047</v>
      </c>
      <c r="B5" s="502" t="s">
        <v>2048</v>
      </c>
      <c r="C5" s="503"/>
      <c r="D5" s="496"/>
      <c r="E5" s="504" t="s">
        <v>2049</v>
      </c>
      <c r="F5" s="496"/>
      <c r="G5" s="496"/>
      <c r="H5" s="496"/>
      <c r="I5" s="496"/>
      <c r="J5" s="496"/>
      <c r="K5" s="496"/>
      <c r="L5" s="496"/>
      <c r="M5" s="496"/>
      <c r="N5" s="496"/>
      <c r="O5" s="496"/>
      <c r="P5" s="496"/>
    </row>
    <row r="6" spans="1:16" ht="15.75">
      <c r="A6" s="505" t="s">
        <v>2050</v>
      </c>
      <c r="B6" s="498" t="e">
        <f ca="1">SUMIF(INDIRECT("'"&amp;A6&amp;"'"&amp;"!A:A"),"总价",INDIRECT("'"&amp;A6&amp;"'"&amp;"!B:B"))</f>
        <v>#DIV/0!</v>
      </c>
      <c r="C6" s="497" t="s">
        <v>2043</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2043</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2043</v>
      </c>
      <c r="D8" s="496"/>
      <c r="E8" s="499" t="e">
        <f t="shared" ca="1" si="0"/>
        <v>#REF!</v>
      </c>
      <c r="F8" s="496"/>
      <c r="G8" s="496"/>
      <c r="H8" s="496"/>
      <c r="I8" s="496"/>
      <c r="J8" s="496"/>
      <c r="K8" s="496"/>
      <c r="L8" s="496"/>
      <c r="M8" s="496"/>
      <c r="N8" s="496"/>
      <c r="O8" s="496"/>
      <c r="P8" s="496"/>
    </row>
    <row r="9" spans="1:16" ht="15.75">
      <c r="A9" s="505"/>
      <c r="B9" s="498" t="e">
        <f t="shared" ca="1" si="1"/>
        <v>#REF!</v>
      </c>
      <c r="C9" s="497" t="s">
        <v>2043</v>
      </c>
      <c r="D9" s="496"/>
      <c r="E9" s="499" t="e">
        <f t="shared" ca="1" si="0"/>
        <v>#REF!</v>
      </c>
      <c r="F9" s="496"/>
      <c r="G9" s="496"/>
      <c r="H9" s="496"/>
      <c r="I9" s="496"/>
      <c r="J9" s="496"/>
      <c r="K9" s="496"/>
      <c r="L9" s="496"/>
      <c r="M9" s="496"/>
      <c r="N9" s="496"/>
      <c r="O9" s="496"/>
      <c r="P9" s="496"/>
    </row>
    <row r="10" spans="1:16" ht="15.75">
      <c r="A10" s="505"/>
      <c r="B10" s="498" t="e">
        <f t="shared" ca="1" si="1"/>
        <v>#REF!</v>
      </c>
      <c r="C10" s="497" t="s">
        <v>2043</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2043</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2043</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2043</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9" sqref="D9"/>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71" t="s">
        <v>2051</v>
      </c>
      <c r="C1" s="3571"/>
      <c r="D1" s="3571"/>
      <c r="E1" s="3571"/>
      <c r="F1" s="3571"/>
      <c r="G1" s="3568" t="s">
        <v>2052</v>
      </c>
      <c r="H1" s="3568"/>
      <c r="I1" s="3568"/>
      <c r="J1" s="3568"/>
      <c r="K1" s="3568"/>
      <c r="L1" s="3568"/>
      <c r="N1" s="3568" t="s">
        <v>2053</v>
      </c>
      <c r="O1" s="3568"/>
      <c r="P1" s="3568"/>
      <c r="Q1" s="3568"/>
      <c r="S1" s="3568" t="s">
        <v>2054</v>
      </c>
      <c r="T1" s="3568"/>
      <c r="U1" s="3568"/>
      <c r="V1" s="3568"/>
      <c r="X1" s="3567" t="s">
        <v>2055</v>
      </c>
      <c r="Y1" s="3568"/>
      <c r="Z1" s="3568"/>
      <c r="AA1" s="3568"/>
      <c r="AB1" s="3568"/>
      <c r="AD1" s="3567" t="s">
        <v>2056</v>
      </c>
      <c r="AE1" s="3568"/>
      <c r="AF1" s="3568"/>
      <c r="AG1" s="3568"/>
      <c r="AH1" s="3568"/>
    </row>
    <row r="2" spans="1:34" s="360" customFormat="1" ht="13.5">
      <c r="B2" s="370" t="s">
        <v>2057</v>
      </c>
      <c r="C2" s="370" t="s">
        <v>2058</v>
      </c>
      <c r="D2" s="371" t="s">
        <v>427</v>
      </c>
      <c r="E2" s="371" t="s">
        <v>1797</v>
      </c>
      <c r="F2" s="370" t="s">
        <v>2059</v>
      </c>
      <c r="G2" s="372"/>
      <c r="I2" s="370" t="s">
        <v>2057</v>
      </c>
      <c r="J2" s="371" t="s">
        <v>1814</v>
      </c>
      <c r="K2" s="371" t="s">
        <v>1797</v>
      </c>
      <c r="L2" s="370" t="s">
        <v>2059</v>
      </c>
      <c r="N2" s="370" t="s">
        <v>2057</v>
      </c>
      <c r="O2" s="371" t="s">
        <v>1814</v>
      </c>
      <c r="P2" s="371" t="s">
        <v>1797</v>
      </c>
      <c r="Q2" s="370" t="s">
        <v>2059</v>
      </c>
      <c r="S2" s="370" t="s">
        <v>2057</v>
      </c>
      <c r="T2" s="371" t="s">
        <v>1814</v>
      </c>
      <c r="U2" s="371" t="s">
        <v>1797</v>
      </c>
      <c r="V2" s="370" t="s">
        <v>2059</v>
      </c>
      <c r="X2" s="370" t="s">
        <v>2057</v>
      </c>
      <c r="Y2" s="370" t="s">
        <v>2058</v>
      </c>
      <c r="Z2" s="371" t="s">
        <v>427</v>
      </c>
      <c r="AA2" s="371" t="s">
        <v>1797</v>
      </c>
      <c r="AB2" s="370" t="s">
        <v>2059</v>
      </c>
      <c r="AD2" s="370" t="s">
        <v>2057</v>
      </c>
      <c r="AE2" s="370" t="s">
        <v>2058</v>
      </c>
      <c r="AF2" s="371" t="s">
        <v>427</v>
      </c>
      <c r="AG2" s="371" t="s">
        <v>1797</v>
      </c>
      <c r="AH2" s="370" t="s">
        <v>2059</v>
      </c>
    </row>
    <row r="3" spans="1:34" s="361" customFormat="1" ht="14.25">
      <c r="A3" s="373" t="s">
        <v>2060</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2061</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2062</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2063</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2064</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2065</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2066</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2067</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2068</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2069</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2070</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2071</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2072</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2073</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2074</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2075</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62">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2076</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62"/>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2077</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62"/>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2078</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69"/>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2079</v>
      </c>
      <c r="B22" s="393">
        <v>439</v>
      </c>
      <c r="C22" s="393">
        <v>327</v>
      </c>
      <c r="D22" s="393">
        <f t="shared" si="184"/>
        <v>327</v>
      </c>
      <c r="E22" s="393">
        <v>627</v>
      </c>
      <c r="F22" s="394">
        <v>283</v>
      </c>
      <c r="G22" s="3570">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2080</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62"/>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2081</v>
      </c>
      <c r="B24" s="387">
        <f t="shared" si="199"/>
        <v>419.31181600000002</v>
      </c>
      <c r="C24" s="387">
        <f t="shared" si="200"/>
        <v>313.95436800000004</v>
      </c>
      <c r="D24" s="387">
        <f t="shared" si="201"/>
        <v>313.95436800000004</v>
      </c>
      <c r="E24" s="387">
        <f t="shared" si="202"/>
        <v>596.63028431999999</v>
      </c>
      <c r="F24" s="387">
        <f t="shared" si="203"/>
        <v>274.74220703999998</v>
      </c>
      <c r="G24" s="3562"/>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2082</v>
      </c>
      <c r="B25" s="387">
        <f t="shared" si="199"/>
        <v>405.524</v>
      </c>
      <c r="C25" s="387">
        <f t="shared" si="200"/>
        <v>307.79840000000002</v>
      </c>
      <c r="D25" s="387">
        <f t="shared" si="201"/>
        <v>307.79840000000002</v>
      </c>
      <c r="E25" s="387">
        <f t="shared" si="202"/>
        <v>574.67759999999998</v>
      </c>
      <c r="F25" s="387">
        <f t="shared" si="203"/>
        <v>270.20280000000002</v>
      </c>
      <c r="G25" s="3569"/>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2083</v>
      </c>
      <c r="B26" s="393">
        <v>392</v>
      </c>
      <c r="C26" s="393">
        <v>302</v>
      </c>
      <c r="D26" s="393">
        <f t="shared" si="201"/>
        <v>302</v>
      </c>
      <c r="E26" s="393">
        <v>553</v>
      </c>
      <c r="F26" s="394">
        <v>266</v>
      </c>
      <c r="G26" s="3570">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2084</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62"/>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2085</v>
      </c>
      <c r="B28" s="387">
        <f t="shared" si="212"/>
        <v>360.06949782209392</v>
      </c>
      <c r="C28" s="387">
        <f t="shared" si="212"/>
        <v>289.84672674747821</v>
      </c>
      <c r="D28" s="387">
        <f t="shared" si="213"/>
        <v>289.84672674747821</v>
      </c>
      <c r="E28" s="387">
        <f t="shared" si="214"/>
        <v>501.06543001181495</v>
      </c>
      <c r="F28" s="387">
        <f t="shared" si="214"/>
        <v>256.82882500744967</v>
      </c>
      <c r="G28" s="3562"/>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2086</v>
      </c>
      <c r="B29" s="387">
        <f t="shared" si="212"/>
        <v>346.720748986128</v>
      </c>
      <c r="C29" s="387">
        <f t="shared" si="212"/>
        <v>284.30282172386285</v>
      </c>
      <c r="D29" s="387">
        <f t="shared" si="213"/>
        <v>284.30282172386285</v>
      </c>
      <c r="E29" s="387">
        <f t="shared" si="214"/>
        <v>479.58023546306947</v>
      </c>
      <c r="F29" s="387">
        <f t="shared" si="214"/>
        <v>253.25788877571213</v>
      </c>
      <c r="G29" s="3563"/>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2087</v>
      </c>
      <c r="B30" s="393">
        <v>333</v>
      </c>
      <c r="C30" s="393">
        <v>277</v>
      </c>
      <c r="D30" s="393">
        <f t="shared" si="213"/>
        <v>277</v>
      </c>
      <c r="E30" s="393">
        <v>459</v>
      </c>
      <c r="F30" s="394">
        <v>249</v>
      </c>
      <c r="G30" s="3561">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2088</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62"/>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2089</v>
      </c>
      <c r="B32" s="387">
        <f t="shared" si="216"/>
        <v>322.34053690220776</v>
      </c>
      <c r="C32" s="387">
        <f t="shared" si="216"/>
        <v>271.46160770422546</v>
      </c>
      <c r="D32" s="387">
        <f t="shared" si="213"/>
        <v>271.46160770422546</v>
      </c>
      <c r="E32" s="387">
        <f t="shared" si="217"/>
        <v>442.69434542172456</v>
      </c>
      <c r="F32" s="387">
        <f t="shared" si="217"/>
        <v>241.34030753190925</v>
      </c>
      <c r="G32" s="3562"/>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2090</v>
      </c>
      <c r="B33" s="387">
        <f t="shared" si="216"/>
        <v>319.87748030386797</v>
      </c>
      <c r="C33" s="387">
        <f t="shared" si="216"/>
        <v>269.60135833173649</v>
      </c>
      <c r="D33" s="387">
        <f t="shared" si="213"/>
        <v>269.60135833173649</v>
      </c>
      <c r="E33" s="387">
        <f t="shared" si="217"/>
        <v>439.18089823583784</v>
      </c>
      <c r="F33" s="387">
        <f t="shared" si="217"/>
        <v>239.23503918706311</v>
      </c>
      <c r="G33" s="3563"/>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2091</v>
      </c>
      <c r="B34" s="397">
        <v>318</v>
      </c>
      <c r="C34" s="397">
        <v>268</v>
      </c>
      <c r="D34" s="397">
        <f t="shared" si="213"/>
        <v>268</v>
      </c>
      <c r="E34" s="397">
        <v>437</v>
      </c>
      <c r="F34" s="398">
        <v>237</v>
      </c>
      <c r="G34" s="3561">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2092</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62"/>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2093</v>
      </c>
      <c r="B36" s="387">
        <f t="shared" si="218"/>
        <v>314.72141172386546</v>
      </c>
      <c r="C36" s="387">
        <f t="shared" si="218"/>
        <v>263.03901319069001</v>
      </c>
      <c r="D36" s="387">
        <f t="shared" si="213"/>
        <v>263.03901319069001</v>
      </c>
      <c r="E36" s="387">
        <f t="shared" si="219"/>
        <v>433.65745506782821</v>
      </c>
      <c r="F36" s="387">
        <f t="shared" si="219"/>
        <v>233.23005080045735</v>
      </c>
      <c r="G36" s="3562"/>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2094</v>
      </c>
      <c r="B37" s="401">
        <f t="shared" si="218"/>
        <v>307.34512863658733</v>
      </c>
      <c r="C37" s="401">
        <f t="shared" si="218"/>
        <v>257.80556031626975</v>
      </c>
      <c r="D37" s="401">
        <f t="shared" si="213"/>
        <v>257.80556031626975</v>
      </c>
      <c r="E37" s="401">
        <f t="shared" si="219"/>
        <v>422.70928459677179</v>
      </c>
      <c r="F37" s="401">
        <f t="shared" si="219"/>
        <v>229.73803270336617</v>
      </c>
      <c r="G37" s="3563"/>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2095</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2096</v>
      </c>
      <c r="B38" s="393">
        <v>299</v>
      </c>
      <c r="C38" s="393">
        <v>252</v>
      </c>
      <c r="D38" s="393">
        <f t="shared" si="213"/>
        <v>252</v>
      </c>
      <c r="E38" s="393">
        <v>409</v>
      </c>
      <c r="F38" s="394">
        <v>227</v>
      </c>
      <c r="G38" s="3564">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2097</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65"/>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2098</v>
      </c>
      <c r="B40" s="387">
        <f t="shared" si="222"/>
        <v>288.2649053828776</v>
      </c>
      <c r="C40" s="387">
        <f t="shared" si="222"/>
        <v>243.64564425013293</v>
      </c>
      <c r="D40" s="387">
        <f t="shared" si="213"/>
        <v>243.64564425013293</v>
      </c>
      <c r="E40" s="387">
        <f t="shared" si="223"/>
        <v>393.31080825986544</v>
      </c>
      <c r="F40" s="387">
        <f t="shared" si="223"/>
        <v>223.07903790551154</v>
      </c>
      <c r="G40" s="3565"/>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2099</v>
      </c>
      <c r="B41" s="387">
        <f t="shared" si="222"/>
        <v>282.50186729015837</v>
      </c>
      <c r="C41" s="387">
        <f t="shared" si="222"/>
        <v>238.09796174155468</v>
      </c>
      <c r="D41" s="387">
        <f t="shared" si="213"/>
        <v>238.09796174155468</v>
      </c>
      <c r="E41" s="387">
        <f t="shared" si="223"/>
        <v>385.33438646014054</v>
      </c>
      <c r="F41" s="387">
        <f t="shared" si="223"/>
        <v>221.55034055567739</v>
      </c>
      <c r="G41" s="3566"/>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2100</v>
      </c>
      <c r="B42" s="404">
        <v>278</v>
      </c>
      <c r="C42" s="404">
        <v>234</v>
      </c>
      <c r="D42" s="404">
        <f t="shared" si="213"/>
        <v>234</v>
      </c>
      <c r="E42" s="404">
        <v>379</v>
      </c>
      <c r="F42" s="405">
        <v>220</v>
      </c>
      <c r="G42" s="3561">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2101</v>
      </c>
      <c r="B43" s="387">
        <f>B42/(1+N42)</f>
        <v>275.49301357645425</v>
      </c>
      <c r="C43" s="387">
        <f>C42/(1+O42)</f>
        <v>232.41954707985698</v>
      </c>
      <c r="D43" s="387">
        <f t="shared" si="213"/>
        <v>232.41954707985698</v>
      </c>
      <c r="E43" s="387">
        <f t="shared" ref="E43:F45" si="224">E42/(1+P42)</f>
        <v>375.32184591008121</v>
      </c>
      <c r="F43" s="387">
        <f t="shared" si="224"/>
        <v>218.03766105054513</v>
      </c>
      <c r="G43" s="3562"/>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2102</v>
      </c>
      <c r="B44" s="387">
        <f>B43/(1+N43)</f>
        <v>275.24529281292263</v>
      </c>
      <c r="C44" s="387">
        <f>C43/(1+O43)</f>
        <v>231.74747938962707</v>
      </c>
      <c r="D44" s="387">
        <f t="shared" si="213"/>
        <v>231.74747938962707</v>
      </c>
      <c r="E44" s="387">
        <f t="shared" si="224"/>
        <v>375.35938184826603</v>
      </c>
      <c r="F44" s="387">
        <f t="shared" si="224"/>
        <v>216.78033510692495</v>
      </c>
      <c r="G44" s="3562"/>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2103</v>
      </c>
      <c r="B45" s="387">
        <f>B44/(1+N44)</f>
        <v>275.19025476197027</v>
      </c>
      <c r="C45" s="406">
        <v>232</v>
      </c>
      <c r="D45" s="406">
        <f t="shared" si="213"/>
        <v>232</v>
      </c>
      <c r="E45" s="387">
        <f t="shared" si="224"/>
        <v>375.65990977608692</v>
      </c>
      <c r="F45" s="387">
        <f t="shared" si="224"/>
        <v>214.12518283971252</v>
      </c>
      <c r="G45" s="3563"/>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2104</v>
      </c>
      <c r="B46" s="393">
        <v>275</v>
      </c>
      <c r="C46" s="393">
        <v>232</v>
      </c>
      <c r="D46" s="393">
        <f t="shared" si="213"/>
        <v>232</v>
      </c>
      <c r="E46" s="393">
        <v>376</v>
      </c>
      <c r="F46" s="394">
        <v>213</v>
      </c>
      <c r="G46" s="3561">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2105</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62">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2106</v>
      </c>
      <c r="B48" s="387">
        <f t="shared" si="225"/>
        <v>275.19335084830601</v>
      </c>
      <c r="C48" s="387">
        <f t="shared" si="225"/>
        <v>230.18088050139744</v>
      </c>
      <c r="D48" s="387">
        <f t="shared" si="213"/>
        <v>230.18088050139744</v>
      </c>
      <c r="E48" s="387">
        <f t="shared" si="226"/>
        <v>377.58482925212331</v>
      </c>
      <c r="F48" s="387">
        <f t="shared" si="226"/>
        <v>210.90687997847917</v>
      </c>
      <c r="G48" s="3562">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2107</v>
      </c>
      <c r="B49" s="387">
        <f t="shared" si="225"/>
        <v>276.29854502841971</v>
      </c>
      <c r="C49" s="387">
        <f t="shared" si="225"/>
        <v>229.79023709833027</v>
      </c>
      <c r="D49" s="387">
        <f t="shared" si="213"/>
        <v>229.79023709833027</v>
      </c>
      <c r="E49" s="387">
        <f t="shared" si="226"/>
        <v>379.78759731655936</v>
      </c>
      <c r="F49" s="387">
        <f t="shared" si="226"/>
        <v>211.32953905659235</v>
      </c>
      <c r="G49" s="3563">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2108</v>
      </c>
      <c r="B50" s="393">
        <v>269</v>
      </c>
      <c r="C50" s="393">
        <v>221</v>
      </c>
      <c r="D50" s="393">
        <f t="shared" si="213"/>
        <v>221</v>
      </c>
      <c r="E50" s="393">
        <v>373</v>
      </c>
      <c r="F50" s="394">
        <v>196</v>
      </c>
      <c r="G50" s="3561">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2109</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62">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2110</v>
      </c>
      <c r="B52" s="387">
        <f t="shared" si="227"/>
        <v>242.95398227588385</v>
      </c>
      <c r="C52" s="387">
        <f t="shared" si="227"/>
        <v>199.59137053614126</v>
      </c>
      <c r="D52" s="387">
        <f t="shared" si="213"/>
        <v>199.59137053614126</v>
      </c>
      <c r="E52" s="387">
        <f t="shared" si="228"/>
        <v>335.92189522342125</v>
      </c>
      <c r="F52" s="387">
        <f t="shared" si="228"/>
        <v>183.10139991109489</v>
      </c>
      <c r="G52" s="3562">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2111</v>
      </c>
      <c r="B53" s="387">
        <f t="shared" si="227"/>
        <v>232.06990378821649</v>
      </c>
      <c r="C53" s="387">
        <f t="shared" si="227"/>
        <v>192.74878854286936</v>
      </c>
      <c r="D53" s="387">
        <f t="shared" si="213"/>
        <v>192.74878854286936</v>
      </c>
      <c r="E53" s="387">
        <f t="shared" si="228"/>
        <v>319.71247284992984</v>
      </c>
      <c r="F53" s="387">
        <f t="shared" si="228"/>
        <v>175.67053622862409</v>
      </c>
      <c r="G53" s="3563">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2112</v>
      </c>
      <c r="B54" s="393">
        <v>220</v>
      </c>
      <c r="C54" s="393">
        <v>187</v>
      </c>
      <c r="D54" s="393">
        <f t="shared" si="213"/>
        <v>187</v>
      </c>
      <c r="E54" s="393">
        <v>301</v>
      </c>
      <c r="F54" s="394">
        <v>168</v>
      </c>
      <c r="G54" s="3561">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2113</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62">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2114</v>
      </c>
      <c r="B56" s="387">
        <f t="shared" si="229"/>
        <v>210.630522469011</v>
      </c>
      <c r="C56" s="387">
        <f t="shared" si="229"/>
        <v>181.69567812247232</v>
      </c>
      <c r="D56" s="387">
        <f t="shared" si="213"/>
        <v>181.69567812247232</v>
      </c>
      <c r="E56" s="387">
        <f t="shared" si="230"/>
        <v>286.13517466736738</v>
      </c>
      <c r="F56" s="387">
        <f t="shared" si="230"/>
        <v>165.47535084591149</v>
      </c>
      <c r="G56" s="3562">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2115</v>
      </c>
      <c r="B57" s="387">
        <f t="shared" si="229"/>
        <v>208.83454537875372</v>
      </c>
      <c r="C57" s="387">
        <f t="shared" si="229"/>
        <v>183.77230517090351</v>
      </c>
      <c r="D57" s="387">
        <f t="shared" si="213"/>
        <v>183.77230517090351</v>
      </c>
      <c r="E57" s="387">
        <f t="shared" si="230"/>
        <v>281.10342338870947</v>
      </c>
      <c r="F57" s="387">
        <f t="shared" si="230"/>
        <v>168.97309388942256</v>
      </c>
      <c r="G57" s="3563">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2116</v>
      </c>
      <c r="B58" s="404">
        <v>214</v>
      </c>
      <c r="C58" s="404">
        <v>188</v>
      </c>
      <c r="D58" s="404">
        <f t="shared" si="213"/>
        <v>188</v>
      </c>
      <c r="E58" s="404">
        <v>289</v>
      </c>
      <c r="F58" s="405">
        <v>166</v>
      </c>
      <c r="G58" s="3561">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2117</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62">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2118</v>
      </c>
      <c r="B60" s="387">
        <f t="shared" si="231"/>
        <v>206.31694671589116</v>
      </c>
      <c r="C60" s="387">
        <f t="shared" si="231"/>
        <v>183.61041121036101</v>
      </c>
      <c r="D60" s="387">
        <f t="shared" si="213"/>
        <v>183.61041121036101</v>
      </c>
      <c r="E60" s="387">
        <f t="shared" si="232"/>
        <v>276.66850301795557</v>
      </c>
      <c r="F60" s="387">
        <f t="shared" si="232"/>
        <v>165.1360938278614</v>
      </c>
      <c r="G60" s="3562">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2119</v>
      </c>
      <c r="B61" s="407">
        <f t="shared" si="231"/>
        <v>196.62341248059772</v>
      </c>
      <c r="C61" s="407">
        <f t="shared" si="231"/>
        <v>170.99125648199012</v>
      </c>
      <c r="D61" s="407">
        <f t="shared" si="213"/>
        <v>170.99125648199012</v>
      </c>
      <c r="E61" s="407">
        <f t="shared" si="232"/>
        <v>266.07857570490052</v>
      </c>
      <c r="F61" s="407">
        <f t="shared" si="232"/>
        <v>154.53499328828505</v>
      </c>
      <c r="G61" s="3563">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2120</v>
      </c>
      <c r="B62" s="393">
        <v>188</v>
      </c>
      <c r="C62" s="393">
        <v>165</v>
      </c>
      <c r="D62" s="393">
        <f t="shared" si="213"/>
        <v>165</v>
      </c>
      <c r="E62" s="393">
        <v>254</v>
      </c>
      <c r="F62" s="394">
        <v>148</v>
      </c>
      <c r="G62" s="3561">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2121</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62">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2122</v>
      </c>
      <c r="B64" s="387">
        <f t="shared" si="235"/>
        <v>168.82017748715555</v>
      </c>
      <c r="C64" s="387">
        <f t="shared" si="235"/>
        <v>148.06267029972753</v>
      </c>
      <c r="D64" s="387">
        <f t="shared" si="213"/>
        <v>148.06267029972753</v>
      </c>
      <c r="E64" s="387">
        <f t="shared" si="236"/>
        <v>216.46288379323747</v>
      </c>
      <c r="F64" s="387">
        <f t="shared" si="236"/>
        <v>134.23529411764704</v>
      </c>
      <c r="G64" s="3562">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2123</v>
      </c>
      <c r="B65" s="387">
        <f t="shared" si="235"/>
        <v>163.84913591779542</v>
      </c>
      <c r="C65" s="387">
        <f t="shared" si="235"/>
        <v>145.0283378746594</v>
      </c>
      <c r="D65" s="387">
        <f t="shared" si="213"/>
        <v>145.0283378746594</v>
      </c>
      <c r="E65" s="387">
        <f t="shared" si="236"/>
        <v>204.95180722891567</v>
      </c>
      <c r="F65" s="387">
        <f t="shared" si="236"/>
        <v>125.95920303605313</v>
      </c>
      <c r="G65" s="3563">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2124</v>
      </c>
      <c r="B66" s="397">
        <v>159</v>
      </c>
      <c r="C66" s="397">
        <v>141</v>
      </c>
      <c r="D66" s="397">
        <f t="shared" si="213"/>
        <v>141</v>
      </c>
      <c r="E66" s="397">
        <v>195</v>
      </c>
      <c r="F66" s="398">
        <v>122</v>
      </c>
      <c r="G66" s="3561">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2125</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62">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2126</v>
      </c>
      <c r="B68" s="387">
        <f t="shared" si="239"/>
        <v>146.57412060301507</v>
      </c>
      <c r="C68" s="387">
        <f t="shared" si="239"/>
        <v>136.46831955922866</v>
      </c>
      <c r="D68" s="387">
        <f t="shared" si="213"/>
        <v>136.46831955922866</v>
      </c>
      <c r="E68" s="387">
        <f t="shared" si="240"/>
        <v>166.73864894795128</v>
      </c>
      <c r="F68" s="387">
        <f t="shared" si="240"/>
        <v>115.05882352941177</v>
      </c>
      <c r="G68" s="3562">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2127</v>
      </c>
      <c r="B69" s="387">
        <f t="shared" si="239"/>
        <v>144.04145728643215</v>
      </c>
      <c r="C69" s="387">
        <f t="shared" si="239"/>
        <v>136.12396694214877</v>
      </c>
      <c r="D69" s="387">
        <f t="shared" si="213"/>
        <v>136.12396694214877</v>
      </c>
      <c r="E69" s="387">
        <f t="shared" si="240"/>
        <v>158.32225913621264</v>
      </c>
      <c r="F69" s="387">
        <f t="shared" si="240"/>
        <v>114.04278074866311</v>
      </c>
      <c r="G69" s="3563">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2128</v>
      </c>
      <c r="B70" s="397">
        <v>138</v>
      </c>
      <c r="C70" s="397">
        <v>131</v>
      </c>
      <c r="D70" s="397">
        <f t="shared" si="213"/>
        <v>131</v>
      </c>
      <c r="E70" s="397">
        <v>155</v>
      </c>
      <c r="F70" s="398">
        <v>114</v>
      </c>
      <c r="G70" s="3561">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2129</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62">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2130</v>
      </c>
      <c r="B72" s="387">
        <f t="shared" si="243"/>
        <v>124.29032258064517</v>
      </c>
      <c r="C72" s="387">
        <f t="shared" si="243"/>
        <v>123.8968609865471</v>
      </c>
      <c r="D72" s="387">
        <f t="shared" si="213"/>
        <v>123.8968609865471</v>
      </c>
      <c r="E72" s="387">
        <f t="shared" si="244"/>
        <v>138.00507614213197</v>
      </c>
      <c r="F72" s="387">
        <f t="shared" si="244"/>
        <v>107.96106557377048</v>
      </c>
      <c r="G72" s="3562">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2131</v>
      </c>
      <c r="B73" s="387">
        <f t="shared" si="243"/>
        <v>122.57204301075269</v>
      </c>
      <c r="C73" s="387">
        <f t="shared" si="243"/>
        <v>123.4932735426009</v>
      </c>
      <c r="D73" s="387">
        <f t="shared" si="213"/>
        <v>123.4932735426009</v>
      </c>
      <c r="E73" s="387">
        <f t="shared" si="244"/>
        <v>129.82233502538071</v>
      </c>
      <c r="F73" s="387">
        <f t="shared" si="244"/>
        <v>107.39446721311475</v>
      </c>
      <c r="G73" s="3563">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2132</v>
      </c>
      <c r="B74" s="404">
        <v>121</v>
      </c>
      <c r="C74" s="404">
        <v>122</v>
      </c>
      <c r="D74" s="404">
        <f t="shared" si="213"/>
        <v>122</v>
      </c>
      <c r="E74" s="404">
        <v>124</v>
      </c>
      <c r="F74" s="405">
        <v>107</v>
      </c>
      <c r="G74" s="3561">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2133</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62">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2134</v>
      </c>
      <c r="B76" s="387">
        <f t="shared" si="247"/>
        <v>116.99099099099099</v>
      </c>
      <c r="C76" s="387">
        <f t="shared" si="247"/>
        <v>118.84848484848486</v>
      </c>
      <c r="D76" s="387">
        <f t="shared" si="213"/>
        <v>118.84848484848486</v>
      </c>
      <c r="E76" s="387">
        <f t="shared" si="248"/>
        <v>117.60960960960961</v>
      </c>
      <c r="F76" s="387">
        <f t="shared" si="248"/>
        <v>104</v>
      </c>
      <c r="G76" s="3562">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2135</v>
      </c>
      <c r="B77" s="407">
        <f t="shared" si="247"/>
        <v>112.48648648648648</v>
      </c>
      <c r="C77" s="407">
        <f t="shared" si="247"/>
        <v>115.21212121212122</v>
      </c>
      <c r="D77" s="407">
        <f t="shared" si="213"/>
        <v>115.21212121212122</v>
      </c>
      <c r="E77" s="407">
        <f t="shared" si="248"/>
        <v>110.4024024024024</v>
      </c>
      <c r="F77" s="407">
        <f t="shared" si="248"/>
        <v>104</v>
      </c>
      <c r="G77" s="3563">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2136</v>
      </c>
      <c r="B78" s="461">
        <v>111</v>
      </c>
      <c r="C78" s="461">
        <v>114</v>
      </c>
      <c r="D78" s="461">
        <f t="shared" si="213"/>
        <v>114</v>
      </c>
      <c r="E78" s="461">
        <v>108</v>
      </c>
      <c r="F78" s="462">
        <v>104</v>
      </c>
      <c r="G78" s="3561">
        <v>2003</v>
      </c>
      <c r="H78" s="409">
        <v>4</v>
      </c>
      <c r="I78" s="477"/>
      <c r="J78" s="477"/>
      <c r="K78" s="477"/>
      <c r="L78" s="477"/>
      <c r="N78" s="478"/>
      <c r="O78" s="477"/>
      <c r="P78" s="477"/>
      <c r="Q78" s="477"/>
      <c r="S78" s="478"/>
      <c r="T78" s="477"/>
      <c r="U78" s="477"/>
      <c r="V78" s="477"/>
      <c r="X78" s="456"/>
      <c r="Y78" s="456"/>
      <c r="Z78" s="456"/>
    </row>
    <row r="79" spans="1:26">
      <c r="A79" s="386" t="s">
        <v>2137</v>
      </c>
      <c r="B79" s="463">
        <f t="shared" ref="B79:C81" si="249">B80+(B$78-B$82)/4</f>
        <v>109.75</v>
      </c>
      <c r="C79" s="463">
        <f t="shared" si="249"/>
        <v>112.25</v>
      </c>
      <c r="D79" s="463">
        <f t="shared" si="213"/>
        <v>112.25</v>
      </c>
      <c r="E79" s="463">
        <f t="shared" ref="E79:F81" si="250">E80+(E$78-E$82)/4</f>
        <v>107.25</v>
      </c>
      <c r="F79" s="463">
        <f t="shared" si="250"/>
        <v>103.5</v>
      </c>
      <c r="G79" s="3562">
        <v>2003</v>
      </c>
      <c r="H79" s="396">
        <v>3</v>
      </c>
      <c r="I79" s="477"/>
      <c r="J79" s="477"/>
      <c r="K79" s="477"/>
      <c r="L79" s="477"/>
      <c r="X79" s="456"/>
      <c r="Y79" s="456"/>
      <c r="Z79" s="456"/>
    </row>
    <row r="80" spans="1:26">
      <c r="A80" s="386" t="s">
        <v>2138</v>
      </c>
      <c r="B80" s="463">
        <f t="shared" si="249"/>
        <v>108.5</v>
      </c>
      <c r="C80" s="463">
        <f t="shared" si="249"/>
        <v>110.5</v>
      </c>
      <c r="D80" s="463">
        <f t="shared" si="213"/>
        <v>110.5</v>
      </c>
      <c r="E80" s="463">
        <f t="shared" si="250"/>
        <v>106.5</v>
      </c>
      <c r="F80" s="463">
        <f t="shared" si="250"/>
        <v>103</v>
      </c>
      <c r="G80" s="3562">
        <v>2003</v>
      </c>
      <c r="H80" s="392">
        <v>2</v>
      </c>
      <c r="I80" s="477"/>
      <c r="J80" s="477"/>
      <c r="K80" s="477"/>
      <c r="L80" s="477"/>
      <c r="X80" s="456"/>
      <c r="Y80" s="456"/>
      <c r="Z80" s="456"/>
    </row>
    <row r="81" spans="1:26">
      <c r="A81" s="386" t="s">
        <v>2139</v>
      </c>
      <c r="B81" s="463">
        <f t="shared" si="249"/>
        <v>107.25</v>
      </c>
      <c r="C81" s="463">
        <f t="shared" si="249"/>
        <v>108.75</v>
      </c>
      <c r="D81" s="463">
        <f t="shared" si="213"/>
        <v>108.75</v>
      </c>
      <c r="E81" s="463">
        <f t="shared" si="250"/>
        <v>105.75</v>
      </c>
      <c r="F81" s="463">
        <f t="shared" si="250"/>
        <v>102.5</v>
      </c>
      <c r="G81" s="3563">
        <v>2003</v>
      </c>
      <c r="H81" s="464">
        <v>1</v>
      </c>
      <c r="I81" s="477"/>
      <c r="J81" s="477"/>
      <c r="K81" s="477"/>
      <c r="L81" s="477"/>
      <c r="S81" s="416"/>
      <c r="T81" s="417"/>
      <c r="U81" s="417"/>
      <c r="X81" s="456"/>
      <c r="Y81" s="456"/>
      <c r="Z81" s="456"/>
    </row>
    <row r="82" spans="1:26">
      <c r="A82" s="386" t="s">
        <v>2140</v>
      </c>
      <c r="B82" s="465">
        <v>106</v>
      </c>
      <c r="C82" s="465">
        <v>107</v>
      </c>
      <c r="D82" s="465">
        <f t="shared" si="213"/>
        <v>107</v>
      </c>
      <c r="E82" s="465">
        <v>105</v>
      </c>
      <c r="F82" s="466">
        <v>102</v>
      </c>
      <c r="G82" s="3561">
        <v>2002</v>
      </c>
      <c r="H82" s="395">
        <v>4</v>
      </c>
      <c r="I82" s="477"/>
      <c r="J82" s="477"/>
      <c r="K82" s="477"/>
      <c r="L82" s="477"/>
      <c r="N82" s="478"/>
      <c r="O82" s="477"/>
      <c r="P82" s="477"/>
      <c r="Q82" s="477"/>
      <c r="S82" s="478"/>
      <c r="T82" s="477"/>
      <c r="U82" s="477"/>
      <c r="V82" s="477"/>
      <c r="X82" s="456"/>
      <c r="Y82" s="456"/>
      <c r="Z82" s="456"/>
    </row>
    <row r="83" spans="1:26">
      <c r="A83" s="386" t="s">
        <v>2141</v>
      </c>
      <c r="B83" s="463">
        <f t="shared" ref="B83:C85" si="251">B84+(B$82-B$86)/4</f>
        <v>105</v>
      </c>
      <c r="C83" s="463">
        <f t="shared" si="251"/>
        <v>106</v>
      </c>
      <c r="D83" s="463">
        <f t="shared" si="213"/>
        <v>106</v>
      </c>
      <c r="E83" s="463">
        <f t="shared" ref="E83:F85" si="252">E84+(E$82-E$86)/4</f>
        <v>104.5</v>
      </c>
      <c r="F83" s="463">
        <f t="shared" si="252"/>
        <v>101.5</v>
      </c>
      <c r="G83" s="3562">
        <v>2002</v>
      </c>
      <c r="H83" s="396">
        <v>3</v>
      </c>
      <c r="I83" s="477"/>
      <c r="J83" s="477"/>
      <c r="K83" s="477"/>
      <c r="L83" s="477"/>
      <c r="X83" s="456"/>
      <c r="Y83" s="456"/>
      <c r="Z83" s="456"/>
    </row>
    <row r="84" spans="1:26">
      <c r="A84" s="386" t="s">
        <v>2142</v>
      </c>
      <c r="B84" s="463">
        <f t="shared" si="251"/>
        <v>104</v>
      </c>
      <c r="C84" s="463">
        <f t="shared" si="251"/>
        <v>105</v>
      </c>
      <c r="D84" s="463">
        <f t="shared" si="213"/>
        <v>105</v>
      </c>
      <c r="E84" s="463">
        <f t="shared" si="252"/>
        <v>104</v>
      </c>
      <c r="F84" s="463">
        <f t="shared" si="252"/>
        <v>101</v>
      </c>
      <c r="G84" s="3562">
        <v>2002</v>
      </c>
      <c r="H84" s="392">
        <v>2</v>
      </c>
      <c r="I84" s="477"/>
      <c r="J84" s="477"/>
      <c r="K84" s="477"/>
      <c r="L84" s="477"/>
      <c r="X84" s="456"/>
      <c r="Y84" s="456"/>
      <c r="Z84" s="456"/>
    </row>
    <row r="85" spans="1:26" s="365" customFormat="1">
      <c r="A85" s="400" t="s">
        <v>2143</v>
      </c>
      <c r="B85" s="448">
        <f t="shared" si="251"/>
        <v>103</v>
      </c>
      <c r="C85" s="448">
        <f t="shared" si="251"/>
        <v>104</v>
      </c>
      <c r="D85" s="448">
        <f t="shared" si="213"/>
        <v>104</v>
      </c>
      <c r="E85" s="448">
        <f t="shared" si="252"/>
        <v>103.5</v>
      </c>
      <c r="F85" s="448">
        <f t="shared" si="252"/>
        <v>100.5</v>
      </c>
      <c r="G85" s="3563">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2144</v>
      </c>
      <c r="G88" s="472"/>
      <c r="N88" s="472"/>
      <c r="S88" s="472"/>
    </row>
    <row r="89" spans="1:26" s="367" customFormat="1">
      <c r="A89" s="367" t="s">
        <v>2145</v>
      </c>
      <c r="G89" s="472"/>
      <c r="N89" s="472"/>
      <c r="S89" s="472"/>
    </row>
    <row r="90" spans="1:26" s="367" customFormat="1">
      <c r="A90" s="367" t="s">
        <v>2146</v>
      </c>
      <c r="G90" s="472"/>
      <c r="I90" s="481"/>
      <c r="J90" s="481"/>
      <c r="K90" s="481"/>
      <c r="L90" s="481"/>
      <c r="N90" s="482"/>
      <c r="O90" s="481"/>
      <c r="P90" s="481"/>
      <c r="Q90" s="481"/>
      <c r="S90" s="482"/>
      <c r="T90" s="481"/>
      <c r="U90" s="481"/>
      <c r="V90" s="481"/>
    </row>
    <row r="91" spans="1:26" s="367" customFormat="1">
      <c r="A91" s="367" t="s">
        <v>2147</v>
      </c>
      <c r="G91" s="472"/>
      <c r="N91" s="472"/>
      <c r="S91" s="472"/>
    </row>
    <row r="99" spans="7:22">
      <c r="G99" s="368"/>
      <c r="S99" s="485" t="s">
        <v>2148</v>
      </c>
      <c r="T99" s="486" t="s">
        <v>2149</v>
      </c>
      <c r="U99" s="486" t="s">
        <v>2150</v>
      </c>
      <c r="V99" s="486" t="s">
        <v>2151</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2152</v>
      </c>
      <c r="C1" s="3572" t="s">
        <v>2153</v>
      </c>
      <c r="D1" s="3573"/>
      <c r="E1" s="3573"/>
      <c r="F1" s="3573"/>
      <c r="G1" s="3573"/>
      <c r="H1" s="3573"/>
      <c r="I1" s="3573"/>
      <c r="J1" s="3573"/>
      <c r="K1" s="3573"/>
      <c r="L1" s="3573"/>
      <c r="M1" s="3573"/>
      <c r="N1" s="3573"/>
      <c r="O1" s="3573"/>
      <c r="P1" s="3573"/>
      <c r="Q1" s="3573"/>
      <c r="R1" s="3573"/>
      <c r="S1" s="3574"/>
      <c r="T1" s="241" t="s">
        <v>1679</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2154</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2155</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2156</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2157</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2158</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2159</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2160</v>
      </c>
      <c r="B17" s="275" t="s">
        <v>2161</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2162</v>
      </c>
      <c r="E19" s="285"/>
      <c r="F19" s="285"/>
      <c r="G19" s="285"/>
      <c r="H19" s="286"/>
      <c r="I19" s="283"/>
      <c r="J19" s="283"/>
      <c r="K19" s="283"/>
      <c r="L19" s="283"/>
      <c r="M19" s="283"/>
      <c r="N19" s="283"/>
      <c r="O19" s="283"/>
      <c r="P19" s="283"/>
      <c r="Q19" s="283"/>
      <c r="R19" s="351"/>
      <c r="S19" s="282"/>
    </row>
    <row r="20" spans="1:45" ht="15.75">
      <c r="A20" s="287" t="s">
        <v>2163</v>
      </c>
      <c r="B20" s="288" t="e">
        <f ca="1">IF(D20="——",S22,S22-F20)</f>
        <v>#REF!</v>
      </c>
      <c r="C20" s="283"/>
      <c r="D20" s="289"/>
      <c r="E20" s="290"/>
      <c r="F20" s="241" t="e">
        <f ca="1">SUMIF(INDIRECT("'"&amp;H20&amp;"'"&amp;"!A:A"),"承租人权益价值",INDIRECT("'"&amp;H20&amp;"'"&amp;"!c:c"))</f>
        <v>#REF!</v>
      </c>
      <c r="G20" s="241" t="s">
        <v>723</v>
      </c>
      <c r="H20" s="291"/>
      <c r="I20" s="283"/>
      <c r="J20" s="283"/>
      <c r="K20" s="283"/>
      <c r="L20" s="283"/>
      <c r="M20" s="283"/>
      <c r="N20" s="283"/>
      <c r="O20" s="283"/>
      <c r="P20" s="283"/>
      <c r="Q20" s="283"/>
      <c r="R20" s="351"/>
      <c r="S20" s="282"/>
    </row>
    <row r="21" spans="1:45" ht="15.75">
      <c r="A21" s="287" t="s">
        <v>2164</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2165</v>
      </c>
      <c r="B22" s="293">
        <f>SUM(B24:B10000)</f>
        <v>100</v>
      </c>
      <c r="C22" s="3575" t="s">
        <v>124</v>
      </c>
      <c r="D22" s="3576"/>
      <c r="E22" s="3576"/>
      <c r="F22" s="3576"/>
      <c r="G22" s="3576"/>
      <c r="H22" s="3576"/>
      <c r="I22" s="3576"/>
      <c r="J22" s="3576"/>
      <c r="K22" s="3576"/>
      <c r="L22" s="3576"/>
      <c r="M22" s="3576"/>
      <c r="N22" s="3576"/>
      <c r="O22" s="3576"/>
      <c r="P22" s="3576"/>
      <c r="Q22" s="3577"/>
      <c r="R22" s="353">
        <f>ROUND(S22*10000/B22,0)</f>
        <v>10000</v>
      </c>
      <c r="S22" s="293">
        <f>SUM(S24:S10000)</f>
        <v>100</v>
      </c>
    </row>
    <row r="23" spans="1:45" s="234" customFormat="1" ht="24">
      <c r="A23" s="296" t="s">
        <v>2166</v>
      </c>
      <c r="B23" s="296" t="s">
        <v>362</v>
      </c>
      <c r="C23" s="296" t="s">
        <v>1679</v>
      </c>
      <c r="D23" s="296" t="str">
        <f>B5</f>
        <v>修正项2</v>
      </c>
      <c r="E23" s="296" t="s">
        <v>1679</v>
      </c>
      <c r="F23" s="296" t="str">
        <f>B7</f>
        <v>修正项3</v>
      </c>
      <c r="G23" s="296" t="s">
        <v>1679</v>
      </c>
      <c r="H23" s="296" t="str">
        <f>B9</f>
        <v>修正项4</v>
      </c>
      <c r="I23" s="296" t="s">
        <v>1679</v>
      </c>
      <c r="J23" s="296" t="str">
        <f>B11</f>
        <v>修正项5</v>
      </c>
      <c r="K23" s="296" t="s">
        <v>1679</v>
      </c>
      <c r="L23" s="296" t="str">
        <f>B13</f>
        <v>修正项6</v>
      </c>
      <c r="M23" s="296" t="s">
        <v>1679</v>
      </c>
      <c r="N23" s="296" t="str">
        <f>B15</f>
        <v>修正项7</v>
      </c>
      <c r="O23" s="296" t="s">
        <v>1679</v>
      </c>
      <c r="P23" s="296" t="str">
        <f>B17</f>
        <v>楼层</v>
      </c>
      <c r="Q23" s="296" t="s">
        <v>1679</v>
      </c>
      <c r="R23" s="354" t="s">
        <v>2167</v>
      </c>
      <c r="S23" s="296" t="s">
        <v>2168</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2169</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2170</v>
      </c>
      <c r="B1" s="147"/>
      <c r="C1" s="148"/>
      <c r="D1" s="148"/>
      <c r="E1" s="148"/>
      <c r="F1" s="148"/>
      <c r="G1" s="149"/>
    </row>
    <row r="2" spans="1:7" s="138" customFormat="1" ht="18" customHeight="1">
      <c r="A2" s="150" t="s">
        <v>2171</v>
      </c>
      <c r="B2" s="151">
        <f ca="1">C52</f>
        <v>26315</v>
      </c>
      <c r="C2" s="152" t="s">
        <v>2172</v>
      </c>
      <c r="D2" s="149"/>
      <c r="E2" s="149"/>
      <c r="F2" s="149"/>
      <c r="G2" s="149"/>
    </row>
    <row r="3" spans="1:7" s="138" customFormat="1" ht="18" customHeight="1">
      <c r="A3" s="153" t="s">
        <v>2173</v>
      </c>
      <c r="B3" s="154">
        <f ca="1">ROUND(B2*10000/'数据-汇总表'!E3,0)</f>
        <v>312229</v>
      </c>
      <c r="C3" s="152" t="s">
        <v>2174</v>
      </c>
      <c r="D3" s="149"/>
      <c r="E3" s="149"/>
      <c r="F3" s="149"/>
      <c r="G3" s="149"/>
    </row>
    <row r="4" spans="1:7" s="139" customFormat="1" ht="15.75">
      <c r="A4" s="155" t="s">
        <v>2175</v>
      </c>
      <c r="B4" s="156"/>
      <c r="C4" s="156"/>
      <c r="D4" s="156"/>
      <c r="E4" s="156"/>
      <c r="F4" s="156"/>
      <c r="G4" s="157"/>
    </row>
    <row r="5" spans="1:7" s="140" customFormat="1" ht="13.5" customHeight="1">
      <c r="A5" s="158" t="s">
        <v>918</v>
      </c>
      <c r="B5" s="159" t="s">
        <v>2176</v>
      </c>
      <c r="C5" s="160">
        <f>C6+C7+C8</f>
        <v>20610</v>
      </c>
      <c r="D5" s="160" t="s">
        <v>2177</v>
      </c>
      <c r="E5" s="161" t="s">
        <v>2178</v>
      </c>
      <c r="F5" s="161" t="s">
        <v>2179</v>
      </c>
      <c r="G5" s="162"/>
    </row>
    <row r="6" spans="1:7" s="140" customFormat="1" ht="13.5" customHeight="1">
      <c r="A6" s="163" t="s">
        <v>922</v>
      </c>
      <c r="B6" s="164" t="s">
        <v>2180</v>
      </c>
      <c r="C6" s="165">
        <v>20000</v>
      </c>
      <c r="D6" s="166"/>
      <c r="E6" s="167"/>
      <c r="F6" s="167"/>
      <c r="G6" s="168"/>
    </row>
    <row r="7" spans="1:7" s="140" customFormat="1" ht="13.5" customHeight="1">
      <c r="A7" s="163" t="s">
        <v>924</v>
      </c>
      <c r="B7" s="164" t="s">
        <v>2181</v>
      </c>
      <c r="C7" s="169">
        <f>ROUND(C6*F7,0)</f>
        <v>610</v>
      </c>
      <c r="D7" s="169"/>
      <c r="E7" s="167"/>
      <c r="F7" s="170">
        <f>'数据-取费表'!B48+'数据-取费表'!B49</f>
        <v>3.0499999999999999E-2</v>
      </c>
      <c r="G7" s="168"/>
    </row>
    <row r="8" spans="1:7" s="141" customFormat="1">
      <c r="A8" s="163" t="s">
        <v>926</v>
      </c>
      <c r="B8" s="164" t="s">
        <v>2182</v>
      </c>
      <c r="C8" s="169" t="str">
        <f>IF(G8="已包含在土地购买价格中","0",'数据-取费表'!B29)</f>
        <v>0</v>
      </c>
      <c r="D8" s="171"/>
      <c r="E8" s="169"/>
      <c r="F8" s="170"/>
      <c r="G8" s="172" t="s">
        <v>2183</v>
      </c>
    </row>
    <row r="9" spans="1:7" s="140" customFormat="1" ht="13.5" customHeight="1">
      <c r="A9" s="173" t="s">
        <v>928</v>
      </c>
      <c r="B9" s="174" t="s">
        <v>2184</v>
      </c>
      <c r="C9" s="175">
        <f>ROUND(D9*E9/10000,0)</f>
        <v>0</v>
      </c>
      <c r="D9" s="176">
        <f>'数据-汇总表'!E5</f>
        <v>0</v>
      </c>
      <c r="E9" s="175">
        <f>'数据-取费表'!B27</f>
        <v>160</v>
      </c>
      <c r="F9" s="170"/>
      <c r="G9" s="177"/>
    </row>
    <row r="10" spans="1:7" s="140" customFormat="1" ht="13.5" customHeight="1">
      <c r="A10" s="173" t="s">
        <v>932</v>
      </c>
      <c r="B10" s="174" t="s">
        <v>2185</v>
      </c>
      <c r="C10" s="175">
        <f>ROUND(D10*E10/10000,0)</f>
        <v>17</v>
      </c>
      <c r="D10" s="176">
        <f>'数据-汇总表'!E6</f>
        <v>842.81</v>
      </c>
      <c r="E10" s="175">
        <f>'数据-取费表'!B28</f>
        <v>200</v>
      </c>
      <c r="F10" s="170"/>
      <c r="G10" s="177"/>
    </row>
    <row r="11" spans="1:7" s="140" customFormat="1" ht="13.5" hidden="1" customHeight="1">
      <c r="A11" s="178" t="s">
        <v>934</v>
      </c>
      <c r="B11" s="164" t="s">
        <v>2186</v>
      </c>
      <c r="C11" s="160"/>
      <c r="D11" s="179"/>
      <c r="E11" s="167"/>
      <c r="F11" s="167"/>
      <c r="G11" s="168"/>
    </row>
    <row r="12" spans="1:7" s="140" customFormat="1" ht="13.5" hidden="1" customHeight="1">
      <c r="A12" s="178" t="s">
        <v>936</v>
      </c>
      <c r="B12" s="164" t="s">
        <v>2187</v>
      </c>
      <c r="C12" s="160">
        <v>0</v>
      </c>
      <c r="D12" s="179"/>
      <c r="E12" s="180"/>
      <c r="F12" s="170">
        <v>3.0499999999999999E-2</v>
      </c>
      <c r="G12" s="168"/>
    </row>
    <row r="13" spans="1:7" s="140" customFormat="1" ht="13.5" hidden="1" customHeight="1">
      <c r="A13" s="178" t="s">
        <v>937</v>
      </c>
      <c r="B13" s="164" t="s">
        <v>2188</v>
      </c>
      <c r="C13" s="160"/>
      <c r="D13" s="179"/>
      <c r="E13" s="167"/>
      <c r="F13" s="167"/>
      <c r="G13" s="168"/>
    </row>
    <row r="14" spans="1:7" s="140" customFormat="1" ht="13.5" hidden="1" customHeight="1">
      <c r="A14" s="178" t="s">
        <v>939</v>
      </c>
      <c r="B14" s="164" t="s">
        <v>2182</v>
      </c>
      <c r="C14" s="160"/>
      <c r="D14" s="179"/>
      <c r="E14" s="167"/>
      <c r="F14" s="167"/>
      <c r="G14" s="168" t="s">
        <v>2189</v>
      </c>
    </row>
    <row r="15" spans="1:7" s="140" customFormat="1" ht="13.5" hidden="1" customHeight="1">
      <c r="A15" s="178" t="s">
        <v>941</v>
      </c>
      <c r="B15" s="164" t="s">
        <v>2190</v>
      </c>
      <c r="C15" s="169"/>
      <c r="D15" s="179"/>
      <c r="E15" s="167"/>
      <c r="F15" s="167"/>
      <c r="G15" s="168" t="s">
        <v>2191</v>
      </c>
    </row>
    <row r="16" spans="1:7" s="140" customFormat="1" ht="13.5" hidden="1" customHeight="1">
      <c r="A16" s="178" t="s">
        <v>944</v>
      </c>
      <c r="B16" s="164" t="s">
        <v>2182</v>
      </c>
      <c r="C16" s="169"/>
      <c r="D16" s="179"/>
      <c r="E16" s="167"/>
      <c r="F16" s="167"/>
      <c r="G16" s="168"/>
    </row>
    <row r="17" spans="1:7" s="140" customFormat="1" ht="13.5" hidden="1" customHeight="1">
      <c r="A17" s="178" t="s">
        <v>945</v>
      </c>
      <c r="B17" s="164" t="s">
        <v>2192</v>
      </c>
      <c r="C17" s="181"/>
      <c r="D17" s="182"/>
      <c r="E17" s="181"/>
      <c r="F17" s="181"/>
      <c r="G17" s="168" t="s">
        <v>2191</v>
      </c>
    </row>
    <row r="18" spans="1:7" s="140" customFormat="1" ht="13.5" hidden="1" customHeight="1">
      <c r="A18" s="178" t="s">
        <v>947</v>
      </c>
      <c r="B18" s="164" t="s">
        <v>2193</v>
      </c>
      <c r="C18" s="169">
        <v>0</v>
      </c>
      <c r="D18" s="179"/>
      <c r="E18" s="167"/>
      <c r="F18" s="170">
        <v>3.0499999999999999E-2</v>
      </c>
      <c r="G18" s="168" t="s">
        <v>2194</v>
      </c>
    </row>
    <row r="19" spans="1:7" s="141" customFormat="1" ht="13.5" customHeight="1">
      <c r="A19" s="183" t="s">
        <v>2195</v>
      </c>
      <c r="B19" s="159" t="s">
        <v>2196</v>
      </c>
      <c r="C19" s="160">
        <f>IF(G19="已包含在土地取得成本中","0",ROUND(D19*E19/10000,0))</f>
        <v>17</v>
      </c>
      <c r="D19" s="184">
        <f>'数据-汇总表'!E3</f>
        <v>842.81</v>
      </c>
      <c r="E19" s="160">
        <f>'数据-取费表'!B31</f>
        <v>200</v>
      </c>
      <c r="F19" s="185"/>
      <c r="G19" s="172" t="s">
        <v>2197</v>
      </c>
    </row>
    <row r="20" spans="1:7" s="140" customFormat="1" ht="13.5" customHeight="1">
      <c r="A20" s="183" t="s">
        <v>2198</v>
      </c>
      <c r="B20" s="159" t="s">
        <v>2199</v>
      </c>
      <c r="C20" s="186">
        <f>ROUND((C5+C19)*F20,0)</f>
        <v>413</v>
      </c>
      <c r="D20" s="186"/>
      <c r="E20" s="186"/>
      <c r="F20" s="187">
        <f>'数据-取费表'!B37</f>
        <v>0.02</v>
      </c>
      <c r="G20" s="188" t="s">
        <v>2200</v>
      </c>
    </row>
    <row r="21" spans="1:7" s="140" customFormat="1" ht="13.5" customHeight="1">
      <c r="A21" s="183" t="s">
        <v>2201</v>
      </c>
      <c r="B21" s="159" t="s">
        <v>2202</v>
      </c>
      <c r="C21" s="189">
        <f>F21</f>
        <v>0.02</v>
      </c>
      <c r="D21" s="190" t="s">
        <v>2203</v>
      </c>
      <c r="E21" s="186"/>
      <c r="F21" s="187">
        <f>'数据-取费表'!B38</f>
        <v>0.02</v>
      </c>
      <c r="G21" s="191" t="s">
        <v>2204</v>
      </c>
    </row>
    <row r="22" spans="1:7" s="140" customFormat="1" ht="13.5" customHeight="1">
      <c r="A22" s="183" t="s">
        <v>2205</v>
      </c>
      <c r="B22" s="159" t="s">
        <v>2206</v>
      </c>
      <c r="C22" s="192">
        <f ca="1">ROUND(SUM(C23:C25),0)</f>
        <v>876</v>
      </c>
      <c r="D22" s="189">
        <f ca="1">C26</f>
        <v>4.0000000000000002E-4</v>
      </c>
      <c r="E22" s="190" t="s">
        <v>2203</v>
      </c>
      <c r="F22" s="193">
        <f ca="1">'数据-取费表'!B40</f>
        <v>4.2000000000000003E-2</v>
      </c>
      <c r="G22" s="188" t="str">
        <f>IF('数据-取费表'!B22&lt;=1,"单利计息","复利计息")</f>
        <v>单利计息</v>
      </c>
    </row>
    <row r="23" spans="1:7" s="140" customFormat="1" ht="13.5" customHeight="1">
      <c r="A23" s="194" t="s">
        <v>922</v>
      </c>
      <c r="B23" s="164" t="s">
        <v>2207</v>
      </c>
      <c r="C23" s="195">
        <f ca="1">ROUND(IF('数据-取费表'!B22&lt;=1,C5*F22*'数据-取费表'!B23,C5*(POWER((1+F22),'数据-取费表'!B23)-1)),0)</f>
        <v>866</v>
      </c>
      <c r="D23" s="196"/>
      <c r="E23" s="196"/>
      <c r="F23" s="197"/>
      <c r="G23" s="198" t="s">
        <v>2208</v>
      </c>
    </row>
    <row r="24" spans="1:7" s="140" customFormat="1" ht="13.5" customHeight="1">
      <c r="A24" s="194" t="s">
        <v>924</v>
      </c>
      <c r="B24" s="164" t="s">
        <v>2209</v>
      </c>
      <c r="C24" s="195">
        <f ca="1">ROUND(IF('数据-取费表'!B22&lt;=1,C19*F22*('数据-取费表'!B19/2+'数据-取费表'!B21),C19*(POWER((1+F22),('数据-取费表'!B19/2+'数据-取费表'!B21))-1)),0)</f>
        <v>1</v>
      </c>
      <c r="D24" s="196"/>
      <c r="E24" s="196"/>
      <c r="F24" s="197"/>
      <c r="G24" s="198" t="s">
        <v>2210</v>
      </c>
    </row>
    <row r="25" spans="1:7" s="140" customFormat="1" ht="24">
      <c r="A25" s="194" t="s">
        <v>926</v>
      </c>
      <c r="B25" s="164" t="s">
        <v>2211</v>
      </c>
      <c r="C25" s="195">
        <f ca="1">ROUND(IF('数据-取费表'!B22&lt;=1,C20*F22*'数据-取费表'!B23/2,C20*(POWER((1+F22),'数据-取费表'!B23/2)-1)),0)</f>
        <v>9</v>
      </c>
      <c r="D25" s="196"/>
      <c r="E25" s="199"/>
      <c r="F25" s="197"/>
      <c r="G25" s="200" t="s">
        <v>2212</v>
      </c>
    </row>
    <row r="26" spans="1:7" s="140" customFormat="1">
      <c r="A26" s="194" t="s">
        <v>968</v>
      </c>
      <c r="B26" s="164" t="s">
        <v>2213</v>
      </c>
      <c r="C26" s="196">
        <f ca="1">ROUND(IF('数据-取费表'!B22&lt;=1,F21*F22*'数据-取费表'!B23/2,F21*(POWER((1+F22),'数据-取费表'!B23/2)-1)),4)</f>
        <v>4.0000000000000002E-4</v>
      </c>
      <c r="D26" s="196"/>
      <c r="E26" s="199"/>
      <c r="F26" s="197"/>
      <c r="G26" s="201"/>
    </row>
    <row r="27" spans="1:7" s="140" customFormat="1" ht="24.75">
      <c r="A27" s="183" t="s">
        <v>2214</v>
      </c>
      <c r="B27" s="202" t="s">
        <v>2215</v>
      </c>
      <c r="C27" s="203">
        <f>C28</f>
        <v>2104</v>
      </c>
      <c r="D27" s="189">
        <f>C29</f>
        <v>2E-3</v>
      </c>
      <c r="E27" s="190" t="s">
        <v>2203</v>
      </c>
      <c r="F27" s="204">
        <f>'数据-取费表'!Q16</f>
        <v>0.1</v>
      </c>
      <c r="G27" s="205" t="s">
        <v>2216</v>
      </c>
    </row>
    <row r="28" spans="1:7" s="140" customFormat="1" ht="13.5" customHeight="1">
      <c r="A28" s="194" t="s">
        <v>922</v>
      </c>
      <c r="B28" s="206" t="s">
        <v>2217</v>
      </c>
      <c r="C28" s="207">
        <f>ROUND((C5+C19+C20)*F27*'数据-取费表'!B21/'数据-取费表'!B20,0)</f>
        <v>2104</v>
      </c>
      <c r="D28" s="189"/>
      <c r="E28" s="190"/>
      <c r="F28" s="204"/>
      <c r="G28" s="205"/>
    </row>
    <row r="29" spans="1:7" s="140" customFormat="1" ht="13.5" customHeight="1">
      <c r="A29" s="194" t="s">
        <v>924</v>
      </c>
      <c r="B29" s="206" t="s">
        <v>2218</v>
      </c>
      <c r="C29" s="196">
        <f>ROUND(C21*F27*'数据-取费表'!B21/'数据-取费表'!B20,4)</f>
        <v>2E-3</v>
      </c>
      <c r="D29" s="189"/>
      <c r="E29" s="190"/>
      <c r="F29" s="204"/>
      <c r="G29" s="205"/>
    </row>
    <row r="30" spans="1:7" s="140" customFormat="1" ht="13.5" customHeight="1">
      <c r="A30" s="183" t="s">
        <v>2219</v>
      </c>
      <c r="B30" s="159" t="s">
        <v>2220</v>
      </c>
      <c r="C30" s="189">
        <f>F30</f>
        <v>5.5000000000000007E-2</v>
      </c>
      <c r="D30" s="190" t="s">
        <v>2221</v>
      </c>
      <c r="E30" s="199"/>
      <c r="F30" s="193">
        <f>'数据-取费表'!B41</f>
        <v>5.5000000000000007E-2</v>
      </c>
      <c r="G30" s="191" t="s">
        <v>2222</v>
      </c>
    </row>
    <row r="31" spans="1:7" ht="16.5" customHeight="1">
      <c r="A31" s="208">
        <v>1</v>
      </c>
      <c r="B31" s="159" t="s">
        <v>2223</v>
      </c>
      <c r="C31" s="160">
        <f ca="1">ROUND((C5+C19+C20+C22+C27)/(1-C21-D22-D27-C30/(1+'数据-取费表'!B42)),0)</f>
        <v>25961</v>
      </c>
      <c r="D31" s="209"/>
      <c r="E31" s="160"/>
      <c r="F31" s="210"/>
      <c r="G31" s="191" t="s">
        <v>2224</v>
      </c>
    </row>
    <row r="32" spans="1:7" s="139" customFormat="1" ht="15.75">
      <c r="A32" s="211" t="s">
        <v>2225</v>
      </c>
      <c r="B32" s="212"/>
      <c r="C32" s="212"/>
      <c r="D32" s="212"/>
      <c r="E32" s="212"/>
      <c r="F32" s="212"/>
      <c r="G32" s="213"/>
    </row>
    <row r="33" spans="1:7" s="140" customFormat="1" ht="13.5" customHeight="1">
      <c r="A33" s="158" t="s">
        <v>918</v>
      </c>
      <c r="B33" s="159" t="s">
        <v>2226</v>
      </c>
      <c r="C33" s="214">
        <f>SUM(C34:C38)</f>
        <v>325</v>
      </c>
      <c r="D33" s="186"/>
      <c r="E33" s="161"/>
      <c r="F33" s="199"/>
      <c r="G33" s="191"/>
    </row>
    <row r="34" spans="1:7" s="142" customFormat="1" ht="13.5" customHeight="1">
      <c r="A34" s="194" t="s">
        <v>922</v>
      </c>
      <c r="B34" s="164" t="s">
        <v>2227</v>
      </c>
      <c r="C34" s="169">
        <f>IF(F34=100%,'数据-取费表'!M16-SUMIF('数据-取费表'!C:C,"公共配套",'数据-取费表'!M:M),'数据-取费表'!O16-SUMIF('数据-取费表'!C:C,"公共配套",'数据-取费表'!O:O))</f>
        <v>295</v>
      </c>
      <c r="D34" s="166"/>
      <c r="E34" s="169"/>
      <c r="F34" s="215">
        <f>IF('数据-取费表'!B24=0,1,'数据-取费表'!N16)</f>
        <v>1</v>
      </c>
      <c r="G34" s="168" t="s">
        <v>2228</v>
      </c>
    </row>
    <row r="35" spans="1:7" ht="13.5" customHeight="1">
      <c r="A35" s="194" t="s">
        <v>924</v>
      </c>
      <c r="B35" s="164" t="s">
        <v>2229</v>
      </c>
      <c r="C35" s="169">
        <f>ROUND(C34*F35,0)</f>
        <v>9</v>
      </c>
      <c r="D35" s="169"/>
      <c r="E35" s="169"/>
      <c r="F35" s="216">
        <f>'数据-取费表'!B33</f>
        <v>0.03</v>
      </c>
      <c r="G35" s="168" t="s">
        <v>2230</v>
      </c>
    </row>
    <row r="36" spans="1:7" ht="24">
      <c r="A36" s="194" t="s">
        <v>926</v>
      </c>
      <c r="B36" s="164" t="s">
        <v>2231</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2232</v>
      </c>
    </row>
    <row r="37" spans="1:7" s="142" customFormat="1" ht="13.5" customHeight="1">
      <c r="A37" s="194" t="s">
        <v>968</v>
      </c>
      <c r="B37" s="164" t="s">
        <v>2233</v>
      </c>
      <c r="C37" s="207">
        <f>ROUND(E37*D37*F34/10000,0)</f>
        <v>17</v>
      </c>
      <c r="D37" s="166">
        <f>'数据-汇总表'!E3</f>
        <v>842.81</v>
      </c>
      <c r="E37" s="207">
        <f>'数据-取费表'!B35</f>
        <v>200</v>
      </c>
      <c r="F37" s="216"/>
      <c r="G37" s="218" t="s">
        <v>2234</v>
      </c>
    </row>
    <row r="38" spans="1:7" ht="13.5" customHeight="1">
      <c r="A38" s="194" t="s">
        <v>990</v>
      </c>
      <c r="B38" s="164" t="s">
        <v>2187</v>
      </c>
      <c r="C38" s="169">
        <f>ROUND(C34*F38,0)</f>
        <v>4</v>
      </c>
      <c r="D38" s="169"/>
      <c r="E38" s="169"/>
      <c r="F38" s="216">
        <f>'数据-取费表'!B36</f>
        <v>1.4999999999999999E-2</v>
      </c>
      <c r="G38" s="168" t="s">
        <v>2230</v>
      </c>
    </row>
    <row r="39" spans="1:7" s="140" customFormat="1" ht="13.5" customHeight="1">
      <c r="A39" s="183" t="s">
        <v>2195</v>
      </c>
      <c r="B39" s="159" t="s">
        <v>2199</v>
      </c>
      <c r="C39" s="186">
        <f>ROUND(C33*F20,0)</f>
        <v>7</v>
      </c>
      <c r="D39" s="186"/>
      <c r="E39" s="186"/>
      <c r="F39" s="187"/>
      <c r="G39" s="188" t="s">
        <v>2235</v>
      </c>
    </row>
    <row r="40" spans="1:7" s="140" customFormat="1" ht="13.5" customHeight="1">
      <c r="A40" s="183" t="s">
        <v>2198</v>
      </c>
      <c r="B40" s="159" t="s">
        <v>2202</v>
      </c>
      <c r="C40" s="219">
        <f>F21</f>
        <v>0.02</v>
      </c>
      <c r="D40" s="190" t="s">
        <v>2236</v>
      </c>
      <c r="E40" s="186"/>
      <c r="F40" s="187"/>
      <c r="G40" s="191" t="s">
        <v>2237</v>
      </c>
    </row>
    <row r="41" spans="1:7" s="140" customFormat="1" ht="13.5" customHeight="1">
      <c r="A41" s="183" t="s">
        <v>2201</v>
      </c>
      <c r="B41" s="159" t="s">
        <v>2206</v>
      </c>
      <c r="C41" s="186">
        <f ca="1">ROUND(SUM(C42:C43),0)</f>
        <v>7</v>
      </c>
      <c r="D41" s="189">
        <f ca="1">C44</f>
        <v>4.0000000000000002E-4</v>
      </c>
      <c r="E41" s="190" t="s">
        <v>2236</v>
      </c>
      <c r="F41" s="193"/>
      <c r="G41" s="188" t="str">
        <f>IF('数据-取费表'!B22&lt;=1,"单利计息","复利计息")</f>
        <v>单利计息</v>
      </c>
    </row>
    <row r="42" spans="1:7" ht="13.5" customHeight="1">
      <c r="A42" s="194" t="s">
        <v>922</v>
      </c>
      <c r="B42" s="164" t="s">
        <v>2207</v>
      </c>
      <c r="C42" s="196">
        <f ca="1">ROUND(IF('数据-取费表'!B22&lt;=1,C33*F22*'数据-取费表'!B21/2,C33*(POWER((1+F22),'数据-取费表'!B21/2)-1)),0)</f>
        <v>7</v>
      </c>
      <c r="D42" s="196"/>
      <c r="E42" s="196"/>
      <c r="F42" s="197"/>
      <c r="G42" s="3422" t="s">
        <v>2238</v>
      </c>
    </row>
    <row r="43" spans="1:7" ht="13.5" customHeight="1">
      <c r="A43" s="194" t="s">
        <v>924</v>
      </c>
      <c r="B43" s="164" t="s">
        <v>2209</v>
      </c>
      <c r="C43" s="196">
        <f ca="1">ROUND(IF('数据-取费表'!B22&lt;=1,C39*F22*'数据-取费表'!B21/2,C39*(POWER((1+F22),'数据-取费表'!B21/2)-1)),0)</f>
        <v>0</v>
      </c>
      <c r="D43" s="196"/>
      <c r="E43" s="196"/>
      <c r="F43" s="197"/>
      <c r="G43" s="3423"/>
    </row>
    <row r="44" spans="1:7" ht="13.5" customHeight="1">
      <c r="A44" s="194" t="s">
        <v>926</v>
      </c>
      <c r="B44" s="164" t="s">
        <v>2211</v>
      </c>
      <c r="C44" s="196">
        <f ca="1">ROUND(IF('数据-取费表'!B22&lt;=1,C40*F22*'数据-取费表'!B21/2,C40*(POWER((1+F22),'数据-取费表'!B21/2)-1)),4)</f>
        <v>4.0000000000000002E-4</v>
      </c>
      <c r="D44" s="196"/>
      <c r="E44" s="196"/>
      <c r="F44" s="197"/>
      <c r="G44" s="3424"/>
    </row>
    <row r="45" spans="1:7" s="140" customFormat="1" ht="13.5" customHeight="1">
      <c r="A45" s="183" t="s">
        <v>2205</v>
      </c>
      <c r="B45" s="202" t="s">
        <v>2215</v>
      </c>
      <c r="C45" s="203">
        <f>C46</f>
        <v>33</v>
      </c>
      <c r="D45" s="189">
        <f>C47</f>
        <v>2E-3</v>
      </c>
      <c r="E45" s="190" t="s">
        <v>2236</v>
      </c>
      <c r="F45" s="204"/>
      <c r="G45" s="205" t="s">
        <v>2239</v>
      </c>
    </row>
    <row r="46" spans="1:7" s="140" customFormat="1" ht="13.5" customHeight="1">
      <c r="A46" s="194" t="s">
        <v>922</v>
      </c>
      <c r="B46" s="206" t="s">
        <v>2240</v>
      </c>
      <c r="C46" s="207">
        <f>ROUND((C33+C39)*F27,0)</f>
        <v>33</v>
      </c>
      <c r="D46" s="220"/>
      <c r="E46" s="190"/>
      <c r="F46" s="204"/>
      <c r="G46" s="205"/>
    </row>
    <row r="47" spans="1:7" s="140" customFormat="1" ht="13.5" customHeight="1">
      <c r="A47" s="194" t="s">
        <v>924</v>
      </c>
      <c r="B47" s="206" t="s">
        <v>2241</v>
      </c>
      <c r="C47" s="196">
        <f>ROUND(C40*F27,4)</f>
        <v>2E-3</v>
      </c>
      <c r="D47" s="220"/>
      <c r="E47" s="190"/>
      <c r="F47" s="204"/>
      <c r="G47" s="205"/>
    </row>
    <row r="48" spans="1:7" s="140" customFormat="1" ht="13.5" customHeight="1">
      <c r="A48" s="183" t="s">
        <v>2214</v>
      </c>
      <c r="B48" s="159" t="s">
        <v>2220</v>
      </c>
      <c r="C48" s="219">
        <f>F30</f>
        <v>5.5000000000000007E-2</v>
      </c>
      <c r="D48" s="190" t="s">
        <v>2242</v>
      </c>
      <c r="E48" s="186"/>
      <c r="F48" s="193"/>
      <c r="G48" s="191" t="s">
        <v>2243</v>
      </c>
    </row>
    <row r="49" spans="1:7" ht="16.5" customHeight="1">
      <c r="A49" s="183" t="s">
        <v>2219</v>
      </c>
      <c r="B49" s="159" t="s">
        <v>2244</v>
      </c>
      <c r="C49" s="186">
        <f ca="1">ROUND((C33+C39+C41+C45)/(1-C40-D41-D45-C48/(1+'数据-取费表'!B42)),0)</f>
        <v>402</v>
      </c>
      <c r="D49" s="186"/>
      <c r="E49" s="186"/>
      <c r="F49" s="221"/>
      <c r="G49" s="191" t="s">
        <v>2245</v>
      </c>
    </row>
    <row r="50" spans="1:7" s="142" customFormat="1" ht="24">
      <c r="A50" s="183" t="s">
        <v>2246</v>
      </c>
      <c r="B50" s="159" t="s">
        <v>2247</v>
      </c>
      <c r="C50" s="186"/>
      <c r="D50" s="186"/>
      <c r="E50" s="186"/>
      <c r="F50" s="221">
        <f>IF('数据-取费表'!B24=0,'数据-取费表'!N16,1)</f>
        <v>0.88</v>
      </c>
      <c r="G50" s="205" t="s">
        <v>2248</v>
      </c>
    </row>
    <row r="51" spans="1:7" ht="16.5" customHeight="1">
      <c r="A51" s="183" t="s">
        <v>2249</v>
      </c>
      <c r="B51" s="159" t="s">
        <v>2250</v>
      </c>
      <c r="C51" s="186">
        <f ca="1">ROUND(C49*F50,0)</f>
        <v>354</v>
      </c>
      <c r="D51" s="186"/>
      <c r="E51" s="186"/>
      <c r="F51" s="221"/>
      <c r="G51" s="191" t="s">
        <v>2251</v>
      </c>
    </row>
    <row r="52" spans="1:7" s="139" customFormat="1" ht="15.75">
      <c r="A52" s="222" t="s">
        <v>2252</v>
      </c>
      <c r="B52" s="223"/>
      <c r="C52" s="224">
        <f ca="1">C31+C51</f>
        <v>26315</v>
      </c>
      <c r="D52" s="223"/>
      <c r="E52" s="223"/>
      <c r="F52" s="223"/>
      <c r="G52" s="225"/>
    </row>
    <row r="55" spans="1:7" ht="15">
      <c r="B55" s="226" t="s">
        <v>2253</v>
      </c>
      <c r="C55" s="227"/>
    </row>
    <row r="56" spans="1:7">
      <c r="B56" s="228" t="s">
        <v>2254</v>
      </c>
      <c r="C56" s="229">
        <f ca="1">ROUND(C51/C52,3)</f>
        <v>1.2999999999999999E-2</v>
      </c>
    </row>
    <row r="57" spans="1:7">
      <c r="B57" s="228" t="s">
        <v>2255</v>
      </c>
      <c r="C57" s="230">
        <f ca="1">1-C56</f>
        <v>0.98699999999999999</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8" t="s">
        <v>2256</v>
      </c>
      <c r="B1" s="3578"/>
      <c r="C1" s="3578"/>
      <c r="D1" s="3578"/>
      <c r="E1" s="3578"/>
      <c r="F1" s="3578"/>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9" t="s">
        <v>2257</v>
      </c>
      <c r="B2" s="3579"/>
      <c r="C2" s="3579"/>
      <c r="D2" s="3579"/>
      <c r="E2" s="3579"/>
      <c r="F2" s="3579"/>
      <c r="H2" s="121" t="s">
        <v>2258</v>
      </c>
      <c r="I2" s="97" t="s">
        <v>2259</v>
      </c>
      <c r="J2" s="97" t="s">
        <v>2260</v>
      </c>
      <c r="K2" s="97" t="s">
        <v>2261</v>
      </c>
      <c r="L2" s="97" t="s">
        <v>2262</v>
      </c>
      <c r="M2" s="97" t="s">
        <v>2263</v>
      </c>
      <c r="N2" s="97" t="s">
        <v>2264</v>
      </c>
      <c r="O2" s="97" t="s">
        <v>2265</v>
      </c>
      <c r="P2" s="97" t="s">
        <v>2266</v>
      </c>
      <c r="Q2" s="97" t="s">
        <v>2267</v>
      </c>
      <c r="R2" s="97" t="s">
        <v>2268</v>
      </c>
      <c r="S2" s="97" t="s">
        <v>2269</v>
      </c>
    </row>
    <row r="3" spans="1:19" s="118" customFormat="1" ht="19.5" customHeight="1">
      <c r="A3" s="3580" t="s">
        <v>2270</v>
      </c>
      <c r="B3" s="122"/>
      <c r="C3" s="123" t="s">
        <v>1796</v>
      </c>
      <c r="D3" s="123" t="s">
        <v>427</v>
      </c>
      <c r="E3" s="123" t="s">
        <v>1797</v>
      </c>
      <c r="F3" s="123" t="s">
        <v>457</v>
      </c>
      <c r="G3" s="124"/>
      <c r="H3" s="121" t="s">
        <v>2271</v>
      </c>
      <c r="I3" s="97" t="s">
        <v>2272</v>
      </c>
      <c r="J3" s="97" t="s">
        <v>2273</v>
      </c>
      <c r="K3" s="97" t="s">
        <v>2274</v>
      </c>
      <c r="L3" s="97" t="s">
        <v>2275</v>
      </c>
      <c r="M3" s="97" t="s">
        <v>2276</v>
      </c>
      <c r="N3" s="97" t="s">
        <v>2277</v>
      </c>
      <c r="O3" s="97" t="s">
        <v>2278</v>
      </c>
      <c r="P3" s="97" t="s">
        <v>2279</v>
      </c>
      <c r="Q3" s="97" t="s">
        <v>2280</v>
      </c>
      <c r="R3" s="97" t="s">
        <v>2281</v>
      </c>
      <c r="S3" s="97" t="s">
        <v>2282</v>
      </c>
    </row>
    <row r="4" spans="1:19" s="118" customFormat="1" ht="19.5" customHeight="1">
      <c r="A4" s="3581"/>
      <c r="B4" s="125" t="s">
        <v>2283</v>
      </c>
      <c r="C4" s="125" t="s">
        <v>2284</v>
      </c>
      <c r="D4" s="125" t="s">
        <v>2284</v>
      </c>
      <c r="E4" s="125" t="s">
        <v>2284</v>
      </c>
      <c r="F4" s="126" t="s">
        <v>2284</v>
      </c>
      <c r="G4" s="124"/>
      <c r="H4" s="121" t="s">
        <v>2285</v>
      </c>
      <c r="I4" s="97" t="s">
        <v>2286</v>
      </c>
      <c r="J4" s="97" t="s">
        <v>2287</v>
      </c>
      <c r="K4" s="97" t="s">
        <v>2288</v>
      </c>
      <c r="L4" s="97" t="s">
        <v>2289</v>
      </c>
      <c r="M4" s="97" t="s">
        <v>2290</v>
      </c>
      <c r="N4" s="97" t="s">
        <v>2291</v>
      </c>
      <c r="O4" s="97" t="s">
        <v>2292</v>
      </c>
      <c r="P4" s="97" t="s">
        <v>2293</v>
      </c>
      <c r="Q4" s="97" t="s">
        <v>2294</v>
      </c>
      <c r="R4" s="97" t="s">
        <v>2295</v>
      </c>
      <c r="S4" s="97" t="s">
        <v>2296</v>
      </c>
    </row>
    <row r="5" spans="1:19" ht="14.25" customHeight="1">
      <c r="A5" s="93" t="s">
        <v>230</v>
      </c>
      <c r="B5" s="94" t="s">
        <v>2258</v>
      </c>
      <c r="C5" s="94">
        <v>29530</v>
      </c>
      <c r="D5" s="94">
        <v>28130</v>
      </c>
      <c r="E5" s="94">
        <v>27930</v>
      </c>
      <c r="F5" s="127">
        <v>11300</v>
      </c>
      <c r="G5" s="124"/>
      <c r="H5" s="121" t="s">
        <v>2297</v>
      </c>
      <c r="I5" s="97" t="s">
        <v>2298</v>
      </c>
      <c r="J5" s="97" t="s">
        <v>2299</v>
      </c>
      <c r="K5" s="97" t="s">
        <v>2300</v>
      </c>
      <c r="L5" s="97" t="s">
        <v>2301</v>
      </c>
      <c r="M5" s="97" t="s">
        <v>2302</v>
      </c>
      <c r="N5" s="97" t="s">
        <v>2303</v>
      </c>
      <c r="O5" s="97" t="s">
        <v>2304</v>
      </c>
      <c r="P5" s="97" t="s">
        <v>2305</v>
      </c>
      <c r="Q5" s="97" t="s">
        <v>2306</v>
      </c>
      <c r="R5" s="97" t="s">
        <v>2307</v>
      </c>
      <c r="S5" s="97" t="s">
        <v>2308</v>
      </c>
    </row>
    <row r="6" spans="1:19" ht="14.25" customHeight="1">
      <c r="A6" s="93" t="s">
        <v>230</v>
      </c>
      <c r="B6" s="97" t="s">
        <v>2271</v>
      </c>
      <c r="C6" s="97">
        <v>30290</v>
      </c>
      <c r="D6" s="97">
        <v>29210</v>
      </c>
      <c r="E6" s="97">
        <v>28860</v>
      </c>
      <c r="F6" s="128">
        <v>12600</v>
      </c>
      <c r="G6" s="124"/>
      <c r="H6" s="121" t="s">
        <v>2309</v>
      </c>
      <c r="I6" s="97" t="s">
        <v>2310</v>
      </c>
      <c r="J6" s="97" t="s">
        <v>2311</v>
      </c>
      <c r="K6" s="97" t="s">
        <v>2312</v>
      </c>
      <c r="L6" s="97" t="s">
        <v>2313</v>
      </c>
      <c r="M6" s="97" t="s">
        <v>2314</v>
      </c>
      <c r="N6" s="97" t="s">
        <v>2315</v>
      </c>
      <c r="O6" s="97" t="s">
        <v>2316</v>
      </c>
      <c r="P6" s="97" t="s">
        <v>2317</v>
      </c>
      <c r="Q6" s="97" t="s">
        <v>2318</v>
      </c>
      <c r="R6" s="97" t="s">
        <v>2319</v>
      </c>
      <c r="S6" s="97" t="s">
        <v>2320</v>
      </c>
    </row>
    <row r="7" spans="1:19" ht="14.25" customHeight="1">
      <c r="A7" s="93" t="s">
        <v>230</v>
      </c>
      <c r="B7" s="100" t="s">
        <v>2285</v>
      </c>
      <c r="C7" s="97">
        <v>29350</v>
      </c>
      <c r="D7" s="97">
        <v>28410</v>
      </c>
      <c r="E7" s="97">
        <v>27990</v>
      </c>
      <c r="F7" s="128">
        <v>12300</v>
      </c>
      <c r="G7" s="124"/>
      <c r="I7" s="97" t="s">
        <v>2321</v>
      </c>
      <c r="J7" s="97" t="s">
        <v>2322</v>
      </c>
      <c r="K7" s="97" t="s">
        <v>2323</v>
      </c>
      <c r="L7" s="97" t="s">
        <v>2324</v>
      </c>
      <c r="M7" s="97" t="s">
        <v>2325</v>
      </c>
      <c r="N7" s="97" t="s">
        <v>2326</v>
      </c>
      <c r="O7" s="97" t="s">
        <v>2327</v>
      </c>
      <c r="P7" s="97" t="s">
        <v>2328</v>
      </c>
      <c r="Q7" s="97" t="s">
        <v>2329</v>
      </c>
      <c r="R7" s="97" t="s">
        <v>2330</v>
      </c>
      <c r="S7" s="100" t="s">
        <v>2331</v>
      </c>
    </row>
    <row r="8" spans="1:19" ht="14.25" customHeight="1">
      <c r="A8" s="93" t="s">
        <v>230</v>
      </c>
      <c r="B8" s="97" t="s">
        <v>2297</v>
      </c>
      <c r="C8" s="97">
        <v>30890</v>
      </c>
      <c r="D8" s="97">
        <v>29780</v>
      </c>
      <c r="E8" s="97">
        <v>29270</v>
      </c>
      <c r="F8" s="128">
        <v>11600</v>
      </c>
      <c r="G8" s="124"/>
      <c r="I8" s="97" t="s">
        <v>2332</v>
      </c>
      <c r="J8" s="97" t="s">
        <v>2333</v>
      </c>
      <c r="K8" s="97" t="s">
        <v>2334</v>
      </c>
      <c r="L8" s="97" t="s">
        <v>2335</v>
      </c>
      <c r="M8" s="97" t="s">
        <v>2336</v>
      </c>
      <c r="N8" s="97" t="s">
        <v>2337</v>
      </c>
      <c r="O8" s="97" t="s">
        <v>2338</v>
      </c>
      <c r="P8" s="97" t="s">
        <v>2339</v>
      </c>
      <c r="Q8" s="97" t="s">
        <v>2340</v>
      </c>
      <c r="R8" s="97" t="s">
        <v>2341</v>
      </c>
      <c r="S8" s="97" t="s">
        <v>2342</v>
      </c>
    </row>
    <row r="9" spans="1:19" ht="14.25" customHeight="1">
      <c r="A9" s="93" t="s">
        <v>230</v>
      </c>
      <c r="B9" s="102" t="s">
        <v>2309</v>
      </c>
      <c r="C9" s="108">
        <v>28140</v>
      </c>
      <c r="D9" s="108"/>
      <c r="E9" s="108"/>
      <c r="F9" s="129"/>
      <c r="G9" s="124"/>
      <c r="I9" s="97" t="s">
        <v>2343</v>
      </c>
      <c r="J9" s="97" t="s">
        <v>2344</v>
      </c>
      <c r="K9" s="97" t="s">
        <v>2345</v>
      </c>
      <c r="L9" s="97" t="s">
        <v>2346</v>
      </c>
      <c r="M9" s="97" t="s">
        <v>2347</v>
      </c>
      <c r="N9" s="97" t="s">
        <v>2348</v>
      </c>
      <c r="O9" s="97" t="s">
        <v>2349</v>
      </c>
      <c r="P9" s="97" t="s">
        <v>2350</v>
      </c>
      <c r="Q9" s="97" t="s">
        <v>2351</v>
      </c>
      <c r="R9" s="97" t="s">
        <v>2352</v>
      </c>
    </row>
    <row r="10" spans="1:19" ht="14.25" customHeight="1">
      <c r="A10" s="93" t="s">
        <v>241</v>
      </c>
      <c r="B10" s="94" t="s">
        <v>2259</v>
      </c>
      <c r="C10" s="94">
        <v>27450</v>
      </c>
      <c r="D10" s="94">
        <v>26180</v>
      </c>
      <c r="E10" s="94">
        <v>25980</v>
      </c>
      <c r="F10" s="127">
        <v>8910</v>
      </c>
      <c r="G10" s="124"/>
      <c r="I10" s="97" t="s">
        <v>2353</v>
      </c>
      <c r="J10" s="97" t="s">
        <v>2354</v>
      </c>
      <c r="K10" s="97" t="s">
        <v>2355</v>
      </c>
      <c r="L10" s="97" t="s">
        <v>2356</v>
      </c>
      <c r="M10" s="97" t="s">
        <v>2357</v>
      </c>
      <c r="N10" s="97" t="s">
        <v>2358</v>
      </c>
      <c r="O10" s="97" t="s">
        <v>2359</v>
      </c>
      <c r="P10" s="97" t="s">
        <v>2360</v>
      </c>
      <c r="Q10" s="97" t="s">
        <v>2361</v>
      </c>
      <c r="R10" s="97" t="s">
        <v>2362</v>
      </c>
    </row>
    <row r="11" spans="1:19" ht="14.25" customHeight="1">
      <c r="A11" s="93" t="s">
        <v>241</v>
      </c>
      <c r="B11" s="100" t="s">
        <v>2272</v>
      </c>
      <c r="C11" s="97">
        <v>22950</v>
      </c>
      <c r="D11" s="97">
        <v>22630</v>
      </c>
      <c r="E11" s="97">
        <v>22030</v>
      </c>
      <c r="F11" s="130">
        <v>8330</v>
      </c>
      <c r="G11" s="124"/>
      <c r="I11" s="97" t="s">
        <v>2363</v>
      </c>
      <c r="J11" s="97" t="s">
        <v>2364</v>
      </c>
      <c r="K11" s="97" t="s">
        <v>2365</v>
      </c>
      <c r="L11" s="97" t="s">
        <v>2366</v>
      </c>
      <c r="M11" s="97" t="s">
        <v>2367</v>
      </c>
      <c r="N11" s="97" t="s">
        <v>2368</v>
      </c>
      <c r="O11" s="97" t="s">
        <v>2369</v>
      </c>
      <c r="P11" s="97" t="s">
        <v>2370</v>
      </c>
      <c r="Q11" s="97" t="s">
        <v>2371</v>
      </c>
      <c r="R11" s="97" t="s">
        <v>2372</v>
      </c>
    </row>
    <row r="12" spans="1:19" ht="14.25" customHeight="1">
      <c r="A12" s="93" t="s">
        <v>241</v>
      </c>
      <c r="B12" s="100" t="s">
        <v>2286</v>
      </c>
      <c r="C12" s="97">
        <v>24940</v>
      </c>
      <c r="D12" s="97">
        <v>23180</v>
      </c>
      <c r="E12" s="97">
        <v>22910</v>
      </c>
      <c r="F12" s="130">
        <v>7180</v>
      </c>
      <c r="G12" s="124"/>
      <c r="I12" s="97" t="s">
        <v>2373</v>
      </c>
      <c r="J12" s="97" t="s">
        <v>2374</v>
      </c>
      <c r="K12" s="97" t="s">
        <v>2375</v>
      </c>
      <c r="L12" s="97" t="s">
        <v>2376</v>
      </c>
      <c r="M12" s="97" t="s">
        <v>2377</v>
      </c>
      <c r="N12" s="97" t="s">
        <v>2378</v>
      </c>
      <c r="O12" s="97" t="s">
        <v>2379</v>
      </c>
      <c r="P12" s="97" t="s">
        <v>2380</v>
      </c>
      <c r="Q12" s="97" t="s">
        <v>2381</v>
      </c>
      <c r="R12" s="97" t="s">
        <v>2382</v>
      </c>
    </row>
    <row r="13" spans="1:19" ht="14.25" customHeight="1">
      <c r="A13" s="93" t="s">
        <v>241</v>
      </c>
      <c r="B13" s="100" t="s">
        <v>2298</v>
      </c>
      <c r="C13" s="97">
        <v>24140</v>
      </c>
      <c r="D13" s="97">
        <v>22270</v>
      </c>
      <c r="E13" s="97">
        <v>21950</v>
      </c>
      <c r="F13" s="130">
        <v>7600</v>
      </c>
      <c r="G13" s="124"/>
      <c r="I13" s="97" t="s">
        <v>2383</v>
      </c>
      <c r="J13" s="97" t="s">
        <v>2384</v>
      </c>
      <c r="K13" s="97" t="s">
        <v>2385</v>
      </c>
      <c r="L13" s="97" t="s">
        <v>2386</v>
      </c>
      <c r="M13" s="97" t="s">
        <v>2387</v>
      </c>
      <c r="N13" s="97" t="s">
        <v>2388</v>
      </c>
      <c r="O13" s="97" t="s">
        <v>2389</v>
      </c>
      <c r="P13" s="97" t="s">
        <v>2390</v>
      </c>
      <c r="Q13" s="97" t="s">
        <v>2391</v>
      </c>
      <c r="R13" s="97" t="s">
        <v>2392</v>
      </c>
    </row>
    <row r="14" spans="1:19" ht="14.25" customHeight="1">
      <c r="A14" s="93" t="s">
        <v>241</v>
      </c>
      <c r="B14" s="100" t="s">
        <v>2310</v>
      </c>
      <c r="C14" s="97">
        <v>25600</v>
      </c>
      <c r="D14" s="97">
        <v>22260</v>
      </c>
      <c r="E14" s="97">
        <v>22110</v>
      </c>
      <c r="F14" s="130">
        <v>7630</v>
      </c>
      <c r="G14" s="124"/>
      <c r="I14" s="97" t="s">
        <v>2393</v>
      </c>
      <c r="J14" s="97" t="s">
        <v>2394</v>
      </c>
      <c r="K14" s="97" t="s">
        <v>2395</v>
      </c>
      <c r="L14" s="97" t="s">
        <v>2396</v>
      </c>
      <c r="M14" s="97" t="s">
        <v>2397</v>
      </c>
      <c r="N14" s="97" t="s">
        <v>2398</v>
      </c>
      <c r="O14" s="97" t="s">
        <v>2399</v>
      </c>
      <c r="P14" s="97" t="s">
        <v>2400</v>
      </c>
      <c r="Q14" s="97" t="s">
        <v>2401</v>
      </c>
      <c r="R14" s="97" t="s">
        <v>2402</v>
      </c>
    </row>
    <row r="15" spans="1:19" ht="14.25" customHeight="1">
      <c r="A15" s="93" t="s">
        <v>241</v>
      </c>
      <c r="B15" s="100" t="s">
        <v>2321</v>
      </c>
      <c r="C15" s="97">
        <v>24760</v>
      </c>
      <c r="D15" s="97">
        <v>24440</v>
      </c>
      <c r="E15" s="97">
        <v>24130</v>
      </c>
      <c r="F15" s="130">
        <v>9480</v>
      </c>
      <c r="G15" s="124"/>
      <c r="I15" s="97" t="s">
        <v>2403</v>
      </c>
      <c r="J15" s="97" t="s">
        <v>2404</v>
      </c>
      <c r="K15" s="97" t="s">
        <v>2405</v>
      </c>
      <c r="L15" s="97" t="s">
        <v>2406</v>
      </c>
      <c r="M15" s="97" t="s">
        <v>2407</v>
      </c>
      <c r="N15" s="97" t="s">
        <v>2408</v>
      </c>
      <c r="O15" s="97" t="s">
        <v>2409</v>
      </c>
      <c r="P15" s="97" t="s">
        <v>2410</v>
      </c>
      <c r="Q15" s="97" t="s">
        <v>2411</v>
      </c>
      <c r="R15" s="97" t="s">
        <v>2412</v>
      </c>
    </row>
    <row r="16" spans="1:19" ht="14.25" customHeight="1">
      <c r="A16" s="93" t="s">
        <v>241</v>
      </c>
      <c r="B16" s="100" t="s">
        <v>2332</v>
      </c>
      <c r="C16" s="97">
        <v>22220</v>
      </c>
      <c r="D16" s="97">
        <v>22310</v>
      </c>
      <c r="E16" s="97">
        <v>22000</v>
      </c>
      <c r="F16" s="130">
        <v>8900</v>
      </c>
      <c r="G16" s="124"/>
      <c r="I16" s="97" t="s">
        <v>2413</v>
      </c>
      <c r="J16" s="97" t="s">
        <v>2414</v>
      </c>
      <c r="K16" s="97" t="s">
        <v>2415</v>
      </c>
      <c r="L16" s="97" t="s">
        <v>2416</v>
      </c>
      <c r="M16" s="97" t="s">
        <v>2417</v>
      </c>
      <c r="N16" s="97" t="s">
        <v>2418</v>
      </c>
      <c r="O16" s="97" t="s">
        <v>2419</v>
      </c>
      <c r="P16" s="97" t="s">
        <v>2420</v>
      </c>
      <c r="Q16" s="97" t="s">
        <v>2421</v>
      </c>
      <c r="R16" s="97" t="s">
        <v>2422</v>
      </c>
    </row>
    <row r="17" spans="1:18" ht="14.25" customHeight="1">
      <c r="A17" s="93" t="s">
        <v>241</v>
      </c>
      <c r="B17" s="100" t="s">
        <v>2343</v>
      </c>
      <c r="C17" s="97">
        <v>24700</v>
      </c>
      <c r="D17" s="97">
        <v>25150</v>
      </c>
      <c r="E17" s="97">
        <v>24700</v>
      </c>
      <c r="F17" s="131"/>
      <c r="G17" s="124"/>
      <c r="I17" s="97" t="s">
        <v>2423</v>
      </c>
      <c r="J17" s="97" t="s">
        <v>2424</v>
      </c>
      <c r="K17" s="97" t="s">
        <v>2425</v>
      </c>
      <c r="L17" s="97" t="s">
        <v>2426</v>
      </c>
      <c r="M17" s="97" t="s">
        <v>2427</v>
      </c>
      <c r="N17" s="97" t="s">
        <v>2428</v>
      </c>
      <c r="O17" s="97" t="s">
        <v>2429</v>
      </c>
      <c r="P17" s="97" t="s">
        <v>2430</v>
      </c>
      <c r="Q17" s="97" t="s">
        <v>2431</v>
      </c>
      <c r="R17" s="97" t="s">
        <v>2432</v>
      </c>
    </row>
    <row r="18" spans="1:18" ht="14.25" customHeight="1">
      <c r="A18" s="93" t="s">
        <v>241</v>
      </c>
      <c r="B18" s="100" t="s">
        <v>2353</v>
      </c>
      <c r="C18" s="97">
        <v>22350</v>
      </c>
      <c r="D18" s="97">
        <v>24340</v>
      </c>
      <c r="E18" s="97">
        <v>24100</v>
      </c>
      <c r="F18" s="131"/>
      <c r="G18" s="124"/>
      <c r="I18" s="97" t="s">
        <v>2433</v>
      </c>
      <c r="J18" s="97" t="s">
        <v>2434</v>
      </c>
      <c r="K18" s="97" t="s">
        <v>2435</v>
      </c>
      <c r="L18" s="97" t="s">
        <v>2436</v>
      </c>
      <c r="M18" s="97" t="s">
        <v>2437</v>
      </c>
      <c r="N18" s="97" t="s">
        <v>2438</v>
      </c>
      <c r="O18" s="97" t="s">
        <v>2439</v>
      </c>
      <c r="P18" s="97" t="s">
        <v>2440</v>
      </c>
      <c r="Q18" s="97" t="s">
        <v>2441</v>
      </c>
      <c r="R18" s="97" t="s">
        <v>2442</v>
      </c>
    </row>
    <row r="19" spans="1:18" ht="14.25" customHeight="1">
      <c r="A19" s="93" t="s">
        <v>241</v>
      </c>
      <c r="B19" s="100" t="s">
        <v>2363</v>
      </c>
      <c r="C19" s="97">
        <v>23430</v>
      </c>
      <c r="D19" s="97">
        <v>21580</v>
      </c>
      <c r="E19" s="97">
        <v>21350</v>
      </c>
      <c r="F19" s="131"/>
      <c r="G19" s="124"/>
      <c r="I19" s="97" t="s">
        <v>2443</v>
      </c>
      <c r="J19" s="97" t="s">
        <v>2444</v>
      </c>
      <c r="K19" s="97" t="s">
        <v>2445</v>
      </c>
      <c r="L19" s="97" t="s">
        <v>2446</v>
      </c>
      <c r="M19" s="97" t="s">
        <v>2447</v>
      </c>
      <c r="N19" s="97" t="s">
        <v>2448</v>
      </c>
      <c r="O19" s="97" t="s">
        <v>2449</v>
      </c>
      <c r="P19" s="97" t="s">
        <v>2450</v>
      </c>
      <c r="Q19" s="97" t="s">
        <v>2451</v>
      </c>
      <c r="R19" s="97" t="s">
        <v>2452</v>
      </c>
    </row>
    <row r="20" spans="1:18" ht="14.25" customHeight="1">
      <c r="A20" s="93" t="s">
        <v>241</v>
      </c>
      <c r="B20" s="100" t="s">
        <v>2373</v>
      </c>
      <c r="C20" s="97">
        <v>27660</v>
      </c>
      <c r="D20" s="97">
        <v>24240</v>
      </c>
      <c r="E20" s="97">
        <v>24020</v>
      </c>
      <c r="F20" s="131"/>
      <c r="I20" s="97" t="s">
        <v>2453</v>
      </c>
      <c r="J20" s="97" t="s">
        <v>2454</v>
      </c>
      <c r="K20" s="97" t="s">
        <v>2455</v>
      </c>
      <c r="L20" s="97" t="s">
        <v>2456</v>
      </c>
      <c r="M20" s="97" t="s">
        <v>2457</v>
      </c>
      <c r="N20" s="97" t="s">
        <v>2458</v>
      </c>
      <c r="O20" s="97" t="s">
        <v>2459</v>
      </c>
      <c r="P20" s="97" t="s">
        <v>2460</v>
      </c>
      <c r="Q20" s="97" t="s">
        <v>2461</v>
      </c>
      <c r="R20" s="97" t="s">
        <v>2462</v>
      </c>
    </row>
    <row r="21" spans="1:18" ht="14.25" customHeight="1">
      <c r="A21" s="93" t="s">
        <v>241</v>
      </c>
      <c r="B21" s="100" t="s">
        <v>2383</v>
      </c>
      <c r="C21" s="97">
        <v>24720</v>
      </c>
      <c r="D21" s="97">
        <v>21670</v>
      </c>
      <c r="E21" s="97">
        <v>21510</v>
      </c>
      <c r="F21" s="131"/>
      <c r="J21" s="97" t="s">
        <v>2463</v>
      </c>
      <c r="K21" s="97" t="s">
        <v>2464</v>
      </c>
      <c r="L21" s="97" t="s">
        <v>2465</v>
      </c>
      <c r="M21" s="97" t="s">
        <v>2466</v>
      </c>
      <c r="N21" s="97" t="s">
        <v>2467</v>
      </c>
      <c r="O21" s="97" t="s">
        <v>2468</v>
      </c>
      <c r="P21" s="97" t="s">
        <v>2469</v>
      </c>
      <c r="Q21" s="97" t="s">
        <v>2470</v>
      </c>
      <c r="R21" s="97" t="s">
        <v>2471</v>
      </c>
    </row>
    <row r="22" spans="1:18" ht="14.25" customHeight="1">
      <c r="A22" s="93" t="s">
        <v>241</v>
      </c>
      <c r="B22" s="100" t="s">
        <v>2393</v>
      </c>
      <c r="C22" s="97">
        <v>26530</v>
      </c>
      <c r="D22" s="97">
        <v>22980</v>
      </c>
      <c r="E22" s="97">
        <v>22650</v>
      </c>
      <c r="F22" s="131"/>
      <c r="K22" s="97" t="s">
        <v>2472</v>
      </c>
      <c r="L22" s="97" t="s">
        <v>2473</v>
      </c>
      <c r="M22" s="97" t="s">
        <v>2474</v>
      </c>
      <c r="N22" s="97" t="s">
        <v>2475</v>
      </c>
      <c r="O22" s="97" t="s">
        <v>2476</v>
      </c>
      <c r="P22" s="97" t="s">
        <v>2477</v>
      </c>
      <c r="Q22" s="97" t="s">
        <v>2478</v>
      </c>
      <c r="R22" s="100" t="s">
        <v>2479</v>
      </c>
    </row>
    <row r="23" spans="1:18" ht="14.25" customHeight="1">
      <c r="A23" s="93" t="s">
        <v>241</v>
      </c>
      <c r="B23" s="100" t="s">
        <v>2403</v>
      </c>
      <c r="C23" s="97">
        <v>24700</v>
      </c>
      <c r="D23" s="97">
        <v>27290</v>
      </c>
      <c r="E23" s="97">
        <v>26710</v>
      </c>
      <c r="F23" s="131"/>
      <c r="K23" s="97" t="s">
        <v>2480</v>
      </c>
      <c r="L23" s="97" t="s">
        <v>2481</v>
      </c>
      <c r="M23" s="97" t="s">
        <v>2482</v>
      </c>
      <c r="N23" s="97" t="s">
        <v>2483</v>
      </c>
      <c r="O23" s="97" t="s">
        <v>2484</v>
      </c>
      <c r="P23" s="97" t="s">
        <v>2485</v>
      </c>
      <c r="Q23" s="97" t="s">
        <v>2486</v>
      </c>
    </row>
    <row r="24" spans="1:18" ht="14.25" customHeight="1">
      <c r="A24" s="93" t="s">
        <v>241</v>
      </c>
      <c r="B24" s="100" t="s">
        <v>2413</v>
      </c>
      <c r="C24" s="97">
        <v>23070</v>
      </c>
      <c r="D24" s="97">
        <v>24130</v>
      </c>
      <c r="E24" s="97">
        <v>23860</v>
      </c>
      <c r="F24" s="131"/>
      <c r="K24" s="97" t="s">
        <v>2487</v>
      </c>
      <c r="L24" s="97" t="s">
        <v>2488</v>
      </c>
      <c r="M24" s="97" t="s">
        <v>2489</v>
      </c>
      <c r="N24" s="97" t="s">
        <v>2490</v>
      </c>
      <c r="O24" s="97" t="s">
        <v>2491</v>
      </c>
      <c r="P24" s="97" t="s">
        <v>2492</v>
      </c>
      <c r="Q24" s="97" t="s">
        <v>2493</v>
      </c>
    </row>
    <row r="25" spans="1:18" ht="14.25" customHeight="1">
      <c r="A25" s="93" t="s">
        <v>241</v>
      </c>
      <c r="B25" s="100" t="s">
        <v>2423</v>
      </c>
      <c r="C25" s="97">
        <v>27550</v>
      </c>
      <c r="D25" s="97">
        <v>25850</v>
      </c>
      <c r="E25" s="97">
        <v>25340</v>
      </c>
      <c r="F25" s="131"/>
      <c r="K25" s="97" t="s">
        <v>2494</v>
      </c>
      <c r="L25" s="97" t="s">
        <v>2495</v>
      </c>
      <c r="M25" s="97" t="s">
        <v>2496</v>
      </c>
      <c r="N25" s="97" t="s">
        <v>2497</v>
      </c>
      <c r="O25" s="97" t="s">
        <v>2498</v>
      </c>
      <c r="P25" s="97" t="s">
        <v>2499</v>
      </c>
      <c r="Q25" s="97" t="s">
        <v>2500</v>
      </c>
    </row>
    <row r="26" spans="1:18" ht="14.25" customHeight="1">
      <c r="A26" s="93" t="s">
        <v>241</v>
      </c>
      <c r="B26" s="100" t="s">
        <v>2433</v>
      </c>
      <c r="C26" s="97"/>
      <c r="D26" s="97">
        <v>23900</v>
      </c>
      <c r="E26" s="97">
        <v>23590</v>
      </c>
      <c r="F26" s="131"/>
      <c r="K26" s="97" t="s">
        <v>2501</v>
      </c>
      <c r="L26" s="97" t="s">
        <v>2502</v>
      </c>
      <c r="M26" s="97" t="s">
        <v>2503</v>
      </c>
      <c r="N26" s="97" t="s">
        <v>2504</v>
      </c>
      <c r="O26" s="97" t="s">
        <v>2505</v>
      </c>
      <c r="P26" s="97" t="s">
        <v>2506</v>
      </c>
      <c r="Q26" s="97" t="s">
        <v>2507</v>
      </c>
    </row>
    <row r="27" spans="1:18" ht="14.25" customHeight="1">
      <c r="A27" s="93" t="s">
        <v>241</v>
      </c>
      <c r="B27" s="100" t="s">
        <v>2443</v>
      </c>
      <c r="C27" s="97"/>
      <c r="D27" s="97">
        <v>22850</v>
      </c>
      <c r="E27" s="97">
        <v>21920</v>
      </c>
      <c r="F27" s="131"/>
      <c r="K27" s="97" t="s">
        <v>2508</v>
      </c>
      <c r="L27" s="97" t="s">
        <v>2509</v>
      </c>
      <c r="M27" s="97" t="s">
        <v>2510</v>
      </c>
      <c r="N27" s="97" t="s">
        <v>2511</v>
      </c>
      <c r="O27" s="97" t="s">
        <v>2512</v>
      </c>
      <c r="P27" s="97" t="s">
        <v>2513</v>
      </c>
      <c r="Q27" s="97" t="s">
        <v>2514</v>
      </c>
    </row>
    <row r="28" spans="1:18" ht="14.25" customHeight="1">
      <c r="A28" s="101" t="s">
        <v>241</v>
      </c>
      <c r="B28" s="102" t="s">
        <v>2453</v>
      </c>
      <c r="C28" s="108"/>
      <c r="D28" s="108">
        <v>26610</v>
      </c>
      <c r="E28" s="108">
        <v>26370</v>
      </c>
      <c r="F28" s="129"/>
      <c r="K28" s="97" t="s">
        <v>2515</v>
      </c>
      <c r="L28" s="97" t="s">
        <v>2516</v>
      </c>
      <c r="M28" s="97" t="s">
        <v>2517</v>
      </c>
      <c r="N28" s="97" t="s">
        <v>2518</v>
      </c>
      <c r="O28" s="97" t="s">
        <v>2519</v>
      </c>
      <c r="P28" s="97" t="s">
        <v>2520</v>
      </c>
    </row>
    <row r="29" spans="1:18" ht="14.25" customHeight="1">
      <c r="A29" s="93" t="s">
        <v>251</v>
      </c>
      <c r="B29" s="94" t="s">
        <v>2260</v>
      </c>
      <c r="C29" s="94">
        <v>22090</v>
      </c>
      <c r="D29" s="94">
        <v>21860</v>
      </c>
      <c r="E29" s="94">
        <v>19380</v>
      </c>
      <c r="F29" s="127">
        <v>6610</v>
      </c>
      <c r="L29" s="97" t="s">
        <v>2521</v>
      </c>
      <c r="M29" s="97" t="s">
        <v>2522</v>
      </c>
      <c r="N29" s="97" t="s">
        <v>2523</v>
      </c>
      <c r="O29" s="97" t="s">
        <v>2524</v>
      </c>
      <c r="P29" s="97" t="s">
        <v>2525</v>
      </c>
    </row>
    <row r="30" spans="1:18" ht="14.25" customHeight="1">
      <c r="A30" s="93" t="s">
        <v>251</v>
      </c>
      <c r="B30" s="100" t="s">
        <v>2273</v>
      </c>
      <c r="C30" s="97">
        <v>21380</v>
      </c>
      <c r="D30" s="97">
        <v>19930</v>
      </c>
      <c r="E30" s="97">
        <v>19860</v>
      </c>
      <c r="F30" s="130">
        <v>6010</v>
      </c>
      <c r="L30" s="97" t="s">
        <v>2526</v>
      </c>
      <c r="M30" s="97" t="s">
        <v>2527</v>
      </c>
      <c r="N30" s="97" t="s">
        <v>2528</v>
      </c>
      <c r="O30" s="97" t="s">
        <v>2529</v>
      </c>
      <c r="P30" s="97" t="s">
        <v>2530</v>
      </c>
    </row>
    <row r="31" spans="1:18" ht="14.25" customHeight="1">
      <c r="A31" s="93" t="s">
        <v>251</v>
      </c>
      <c r="B31" s="100" t="s">
        <v>2287</v>
      </c>
      <c r="C31" s="97">
        <v>21670</v>
      </c>
      <c r="D31" s="97">
        <v>20660</v>
      </c>
      <c r="E31" s="97">
        <v>20290</v>
      </c>
      <c r="F31" s="130">
        <v>5840</v>
      </c>
      <c r="L31" s="97" t="s">
        <v>2531</v>
      </c>
      <c r="M31" s="97" t="s">
        <v>2532</v>
      </c>
      <c r="N31" s="97" t="s">
        <v>2533</v>
      </c>
      <c r="O31" s="97" t="s">
        <v>2534</v>
      </c>
      <c r="P31" s="97" t="s">
        <v>2535</v>
      </c>
    </row>
    <row r="32" spans="1:18" ht="14.25" customHeight="1">
      <c r="A32" s="93" t="s">
        <v>251</v>
      </c>
      <c r="B32" s="100" t="s">
        <v>2299</v>
      </c>
      <c r="C32" s="97">
        <v>22280</v>
      </c>
      <c r="D32" s="97">
        <v>21800</v>
      </c>
      <c r="E32" s="97">
        <v>17650</v>
      </c>
      <c r="F32" s="130">
        <v>4690</v>
      </c>
      <c r="L32" s="97" t="s">
        <v>2536</v>
      </c>
      <c r="M32" s="97" t="s">
        <v>2537</v>
      </c>
      <c r="N32" s="97" t="s">
        <v>2538</v>
      </c>
      <c r="O32" s="97" t="s">
        <v>2539</v>
      </c>
      <c r="P32" s="97" t="s">
        <v>2540</v>
      </c>
    </row>
    <row r="33" spans="1:16" ht="14.25" customHeight="1">
      <c r="A33" s="93" t="s">
        <v>251</v>
      </c>
      <c r="B33" s="100" t="s">
        <v>2311</v>
      </c>
      <c r="C33" s="97">
        <v>22130</v>
      </c>
      <c r="D33" s="97">
        <v>20460</v>
      </c>
      <c r="E33" s="97">
        <v>18500</v>
      </c>
      <c r="F33" s="130">
        <v>5340</v>
      </c>
      <c r="L33" s="97" t="s">
        <v>2541</v>
      </c>
      <c r="M33" s="97" t="s">
        <v>2542</v>
      </c>
      <c r="N33" s="97" t="s">
        <v>2543</v>
      </c>
      <c r="O33" s="97" t="s">
        <v>2544</v>
      </c>
      <c r="P33" s="97" t="s">
        <v>2545</v>
      </c>
    </row>
    <row r="34" spans="1:16" ht="14.25" customHeight="1">
      <c r="A34" s="93" t="s">
        <v>251</v>
      </c>
      <c r="B34" s="100" t="s">
        <v>2322</v>
      </c>
      <c r="C34" s="97">
        <v>22070</v>
      </c>
      <c r="D34" s="97">
        <v>20110</v>
      </c>
      <c r="E34" s="97">
        <v>18830</v>
      </c>
      <c r="F34" s="130">
        <v>5190</v>
      </c>
      <c r="L34" s="97" t="s">
        <v>2546</v>
      </c>
      <c r="M34" s="97" t="s">
        <v>2547</v>
      </c>
      <c r="N34" s="97" t="s">
        <v>2548</v>
      </c>
      <c r="O34" s="97" t="s">
        <v>2549</v>
      </c>
      <c r="P34" s="97" t="s">
        <v>2550</v>
      </c>
    </row>
    <row r="35" spans="1:16" ht="14.25" customHeight="1">
      <c r="A35" s="93" t="s">
        <v>251</v>
      </c>
      <c r="B35" s="100" t="s">
        <v>2333</v>
      </c>
      <c r="C35" s="97">
        <v>22240</v>
      </c>
      <c r="D35" s="97">
        <v>19550</v>
      </c>
      <c r="E35" s="97">
        <v>19220</v>
      </c>
      <c r="F35" s="130">
        <v>5800</v>
      </c>
      <c r="L35" s="97" t="s">
        <v>2551</v>
      </c>
      <c r="M35" s="97" t="s">
        <v>2552</v>
      </c>
      <c r="N35" s="97" t="s">
        <v>2553</v>
      </c>
      <c r="O35" s="97" t="s">
        <v>2554</v>
      </c>
      <c r="P35" s="97" t="s">
        <v>2555</v>
      </c>
    </row>
    <row r="36" spans="1:16" ht="14.25" customHeight="1">
      <c r="A36" s="93" t="s">
        <v>251</v>
      </c>
      <c r="B36" s="100" t="s">
        <v>2344</v>
      </c>
      <c r="C36" s="97">
        <v>19750</v>
      </c>
      <c r="D36" s="97">
        <v>19790</v>
      </c>
      <c r="E36" s="97">
        <v>18510</v>
      </c>
      <c r="F36" s="130">
        <v>6520</v>
      </c>
      <c r="M36" s="97" t="s">
        <v>2556</v>
      </c>
      <c r="N36" s="97" t="s">
        <v>2557</v>
      </c>
      <c r="O36" s="97" t="s">
        <v>2558</v>
      </c>
      <c r="P36" s="97" t="s">
        <v>2559</v>
      </c>
    </row>
    <row r="37" spans="1:16" ht="14.25" customHeight="1">
      <c r="A37" s="93" t="s">
        <v>251</v>
      </c>
      <c r="B37" s="100" t="s">
        <v>2354</v>
      </c>
      <c r="C37" s="97">
        <v>22380</v>
      </c>
      <c r="D37" s="97">
        <v>18530</v>
      </c>
      <c r="E37" s="97">
        <v>17930</v>
      </c>
      <c r="F37" s="130">
        <v>6270</v>
      </c>
      <c r="M37" s="97" t="s">
        <v>2560</v>
      </c>
      <c r="N37" s="97" t="s">
        <v>2561</v>
      </c>
      <c r="O37" s="97" t="s">
        <v>2562</v>
      </c>
      <c r="P37" s="97" t="s">
        <v>2563</v>
      </c>
    </row>
    <row r="38" spans="1:16" ht="14.25" customHeight="1">
      <c r="A38" s="93" t="s">
        <v>251</v>
      </c>
      <c r="B38" s="100" t="s">
        <v>2364</v>
      </c>
      <c r="C38" s="97">
        <v>20200</v>
      </c>
      <c r="D38" s="97">
        <v>20070</v>
      </c>
      <c r="E38" s="97">
        <v>19950</v>
      </c>
      <c r="F38" s="130"/>
      <c r="M38" s="97" t="s">
        <v>2564</v>
      </c>
      <c r="N38" s="97" t="s">
        <v>2565</v>
      </c>
      <c r="O38" s="97" t="s">
        <v>2566</v>
      </c>
      <c r="P38" s="97" t="s">
        <v>2567</v>
      </c>
    </row>
    <row r="39" spans="1:16" ht="14.25" customHeight="1">
      <c r="A39" s="93" t="s">
        <v>251</v>
      </c>
      <c r="B39" s="100" t="s">
        <v>2374</v>
      </c>
      <c r="C39" s="97">
        <v>19300</v>
      </c>
      <c r="D39" s="97">
        <v>20360</v>
      </c>
      <c r="E39" s="97">
        <v>20230</v>
      </c>
      <c r="F39" s="130"/>
      <c r="M39" s="97" t="s">
        <v>2568</v>
      </c>
      <c r="N39" s="97" t="s">
        <v>2569</v>
      </c>
      <c r="O39" s="97" t="s">
        <v>2570</v>
      </c>
      <c r="P39" s="97" t="s">
        <v>2571</v>
      </c>
    </row>
    <row r="40" spans="1:16" ht="14.25" customHeight="1">
      <c r="A40" s="93" t="s">
        <v>251</v>
      </c>
      <c r="B40" s="100" t="s">
        <v>2384</v>
      </c>
      <c r="C40" s="97">
        <v>20210</v>
      </c>
      <c r="D40" s="97">
        <v>19060</v>
      </c>
      <c r="E40" s="97">
        <v>18890</v>
      </c>
      <c r="F40" s="130"/>
      <c r="M40" s="97" t="s">
        <v>2572</v>
      </c>
      <c r="N40" s="97" t="s">
        <v>2573</v>
      </c>
      <c r="O40" s="97" t="s">
        <v>2574</v>
      </c>
      <c r="P40" s="97" t="s">
        <v>2575</v>
      </c>
    </row>
    <row r="41" spans="1:16" ht="14.25" customHeight="1">
      <c r="A41" s="93" t="s">
        <v>251</v>
      </c>
      <c r="B41" s="100" t="s">
        <v>2394</v>
      </c>
      <c r="C41" s="97">
        <v>20560</v>
      </c>
      <c r="D41" s="97">
        <v>21040</v>
      </c>
      <c r="E41" s="97">
        <v>20740</v>
      </c>
      <c r="F41" s="130"/>
      <c r="M41" s="100" t="s">
        <v>2576</v>
      </c>
      <c r="N41" s="100" t="s">
        <v>2577</v>
      </c>
      <c r="P41" s="100" t="s">
        <v>2578</v>
      </c>
    </row>
    <row r="42" spans="1:16" ht="14.25" customHeight="1">
      <c r="A42" s="93" t="s">
        <v>251</v>
      </c>
      <c r="B42" s="100" t="s">
        <v>2404</v>
      </c>
      <c r="C42" s="97">
        <v>19280</v>
      </c>
      <c r="D42" s="97">
        <v>22940</v>
      </c>
      <c r="E42" s="97">
        <v>22500</v>
      </c>
      <c r="F42" s="130"/>
      <c r="M42" s="97" t="s">
        <v>2579</v>
      </c>
      <c r="N42" s="97" t="s">
        <v>2580</v>
      </c>
      <c r="P42" s="97" t="s">
        <v>2581</v>
      </c>
    </row>
    <row r="43" spans="1:16" ht="14.25" customHeight="1">
      <c r="A43" s="93" t="s">
        <v>251</v>
      </c>
      <c r="B43" s="100" t="s">
        <v>2414</v>
      </c>
      <c r="C43" s="97">
        <v>21520</v>
      </c>
      <c r="D43" s="97">
        <v>19230</v>
      </c>
      <c r="E43" s="97">
        <v>18540</v>
      </c>
      <c r="F43" s="130"/>
      <c r="M43" s="97" t="s">
        <v>2582</v>
      </c>
      <c r="N43" s="97" t="s">
        <v>2583</v>
      </c>
      <c r="P43" s="97" t="s">
        <v>2584</v>
      </c>
    </row>
    <row r="44" spans="1:16" ht="14.25" customHeight="1">
      <c r="A44" s="93" t="s">
        <v>251</v>
      </c>
      <c r="B44" s="100" t="s">
        <v>2424</v>
      </c>
      <c r="C44" s="97">
        <v>23260</v>
      </c>
      <c r="D44" s="97">
        <v>21180</v>
      </c>
      <c r="E44" s="97">
        <v>20730</v>
      </c>
      <c r="F44" s="130"/>
      <c r="M44" s="97" t="s">
        <v>2585</v>
      </c>
      <c r="N44" s="97" t="s">
        <v>2586</v>
      </c>
      <c r="P44" s="97" t="s">
        <v>2587</v>
      </c>
    </row>
    <row r="45" spans="1:16" ht="14.25" customHeight="1">
      <c r="A45" s="93" t="s">
        <v>251</v>
      </c>
      <c r="B45" s="100" t="s">
        <v>2434</v>
      </c>
      <c r="C45" s="97">
        <v>19610</v>
      </c>
      <c r="D45" s="97">
        <v>18090</v>
      </c>
      <c r="E45" s="97">
        <v>17970</v>
      </c>
      <c r="F45" s="130"/>
      <c r="M45" s="97" t="s">
        <v>2588</v>
      </c>
      <c r="N45" s="97" t="s">
        <v>2589</v>
      </c>
      <c r="P45" s="97" t="s">
        <v>2590</v>
      </c>
    </row>
    <row r="46" spans="1:16" ht="14.25" customHeight="1">
      <c r="A46" s="93" t="s">
        <v>251</v>
      </c>
      <c r="B46" s="100" t="s">
        <v>2444</v>
      </c>
      <c r="C46" s="97">
        <v>21660</v>
      </c>
      <c r="D46" s="97">
        <v>19190</v>
      </c>
      <c r="E46" s="97">
        <v>19790</v>
      </c>
      <c r="F46" s="130"/>
      <c r="M46" s="97" t="s">
        <v>2591</v>
      </c>
      <c r="N46" s="97" t="s">
        <v>2592</v>
      </c>
      <c r="P46" s="97" t="s">
        <v>2593</v>
      </c>
    </row>
    <row r="47" spans="1:16" ht="14.25" customHeight="1">
      <c r="A47" s="93" t="s">
        <v>251</v>
      </c>
      <c r="B47" s="100" t="s">
        <v>2454</v>
      </c>
      <c r="C47" s="97">
        <v>18220</v>
      </c>
      <c r="D47" s="97"/>
      <c r="E47" s="97">
        <v>17220</v>
      </c>
      <c r="F47" s="130"/>
      <c r="M47" s="97" t="s">
        <v>2594</v>
      </c>
      <c r="N47" s="97" t="s">
        <v>2595</v>
      </c>
    </row>
    <row r="48" spans="1:16" ht="14.25" customHeight="1">
      <c r="A48" s="93" t="s">
        <v>251</v>
      </c>
      <c r="B48" s="102" t="s">
        <v>2463</v>
      </c>
      <c r="C48" s="108">
        <v>19430</v>
      </c>
      <c r="D48" s="108"/>
      <c r="E48" s="108">
        <v>17830</v>
      </c>
      <c r="F48" s="132"/>
      <c r="M48" s="97" t="s">
        <v>2596</v>
      </c>
      <c r="N48" s="97" t="s">
        <v>2597</v>
      </c>
    </row>
    <row r="49" spans="1:14" ht="14.25" customHeight="1">
      <c r="A49" s="93" t="s">
        <v>259</v>
      </c>
      <c r="B49" s="94" t="s">
        <v>2261</v>
      </c>
      <c r="C49" s="94">
        <v>17090</v>
      </c>
      <c r="D49" s="94">
        <v>16950</v>
      </c>
      <c r="E49" s="94">
        <v>16310</v>
      </c>
      <c r="F49" s="127">
        <v>4540</v>
      </c>
      <c r="M49" s="97" t="s">
        <v>2598</v>
      </c>
      <c r="N49" s="97" t="s">
        <v>2599</v>
      </c>
    </row>
    <row r="50" spans="1:14" ht="14.25" customHeight="1">
      <c r="A50" s="93" t="s">
        <v>259</v>
      </c>
      <c r="B50" s="97" t="s">
        <v>2274</v>
      </c>
      <c r="C50" s="97">
        <v>19040</v>
      </c>
      <c r="D50" s="97">
        <v>16960</v>
      </c>
      <c r="E50" s="97">
        <v>14800</v>
      </c>
      <c r="F50" s="130">
        <v>3940</v>
      </c>
    </row>
    <row r="51" spans="1:14" ht="14.25" customHeight="1">
      <c r="A51" s="93" t="s">
        <v>259</v>
      </c>
      <c r="B51" s="97" t="s">
        <v>2288</v>
      </c>
      <c r="C51" s="97">
        <v>17040</v>
      </c>
      <c r="D51" s="97">
        <v>16930</v>
      </c>
      <c r="E51" s="97">
        <v>15030</v>
      </c>
      <c r="F51" s="130">
        <v>4120</v>
      </c>
    </row>
    <row r="52" spans="1:14" ht="14.25" customHeight="1">
      <c r="A52" s="93" t="s">
        <v>259</v>
      </c>
      <c r="B52" s="97" t="s">
        <v>2300</v>
      </c>
      <c r="C52" s="97">
        <v>17110</v>
      </c>
      <c r="D52" s="97">
        <v>17750</v>
      </c>
      <c r="E52" s="97">
        <v>17310</v>
      </c>
      <c r="F52" s="130">
        <v>3220</v>
      </c>
    </row>
    <row r="53" spans="1:14" ht="14.25" customHeight="1">
      <c r="A53" s="93" t="s">
        <v>259</v>
      </c>
      <c r="B53" s="97" t="s">
        <v>2312</v>
      </c>
      <c r="C53" s="97">
        <v>17810</v>
      </c>
      <c r="D53" s="97">
        <v>17260</v>
      </c>
      <c r="E53" s="97">
        <v>17090</v>
      </c>
      <c r="F53" s="130">
        <v>3520</v>
      </c>
    </row>
    <row r="54" spans="1:14" ht="14.25" customHeight="1">
      <c r="A54" s="93" t="s">
        <v>259</v>
      </c>
      <c r="B54" s="97" t="s">
        <v>2323</v>
      </c>
      <c r="C54" s="97">
        <v>17410</v>
      </c>
      <c r="D54" s="97">
        <v>16780</v>
      </c>
      <c r="E54" s="97">
        <v>16370</v>
      </c>
      <c r="F54" s="130">
        <v>3410</v>
      </c>
    </row>
    <row r="55" spans="1:14" ht="14.25" customHeight="1">
      <c r="A55" s="93" t="s">
        <v>259</v>
      </c>
      <c r="B55" s="97" t="s">
        <v>2334</v>
      </c>
      <c r="C55" s="97">
        <v>16930</v>
      </c>
      <c r="D55" s="97">
        <v>14720</v>
      </c>
      <c r="E55" s="97">
        <v>15000</v>
      </c>
      <c r="F55" s="130">
        <v>3710</v>
      </c>
    </row>
    <row r="56" spans="1:14" ht="14.25" customHeight="1">
      <c r="A56" s="93" t="s">
        <v>259</v>
      </c>
      <c r="B56" s="97" t="s">
        <v>2345</v>
      </c>
      <c r="C56" s="97">
        <v>14930</v>
      </c>
      <c r="D56" s="97">
        <v>15850</v>
      </c>
      <c r="E56" s="97">
        <v>14320</v>
      </c>
      <c r="F56" s="130">
        <v>3960</v>
      </c>
    </row>
    <row r="57" spans="1:14" ht="14.25" customHeight="1">
      <c r="A57" s="93" t="s">
        <v>259</v>
      </c>
      <c r="B57" s="97" t="s">
        <v>2355</v>
      </c>
      <c r="C57" s="97">
        <v>16160</v>
      </c>
      <c r="D57" s="97">
        <v>16190</v>
      </c>
      <c r="E57" s="97">
        <v>15650</v>
      </c>
      <c r="F57" s="130">
        <v>4200</v>
      </c>
    </row>
    <row r="58" spans="1:14" ht="14.25" customHeight="1">
      <c r="A58" s="93" t="s">
        <v>259</v>
      </c>
      <c r="B58" s="97" t="s">
        <v>2365</v>
      </c>
      <c r="C58" s="97">
        <v>16360</v>
      </c>
      <c r="D58" s="97">
        <v>14050</v>
      </c>
      <c r="E58" s="97">
        <v>16070</v>
      </c>
      <c r="F58" s="130">
        <v>3990</v>
      </c>
    </row>
    <row r="59" spans="1:14" ht="14.25" customHeight="1">
      <c r="A59" s="93" t="s">
        <v>259</v>
      </c>
      <c r="B59" s="97" t="s">
        <v>2375</v>
      </c>
      <c r="C59" s="97">
        <v>14160</v>
      </c>
      <c r="D59" s="97">
        <v>16620</v>
      </c>
      <c r="E59" s="97">
        <v>13940</v>
      </c>
      <c r="F59" s="130">
        <v>4260</v>
      </c>
    </row>
    <row r="60" spans="1:14" ht="14.25" customHeight="1">
      <c r="A60" s="93" t="s">
        <v>259</v>
      </c>
      <c r="B60" s="97" t="s">
        <v>2385</v>
      </c>
      <c r="C60" s="97">
        <v>16750</v>
      </c>
      <c r="D60" s="97">
        <v>13910</v>
      </c>
      <c r="E60" s="97">
        <v>16550</v>
      </c>
      <c r="F60" s="130">
        <v>4550</v>
      </c>
    </row>
    <row r="61" spans="1:14" ht="14.25" customHeight="1">
      <c r="A61" s="93" t="s">
        <v>259</v>
      </c>
      <c r="B61" s="97" t="s">
        <v>2395</v>
      </c>
      <c r="C61" s="97">
        <v>14000</v>
      </c>
      <c r="D61" s="97">
        <v>14550</v>
      </c>
      <c r="E61" s="97">
        <v>13860</v>
      </c>
      <c r="F61" s="133"/>
    </row>
    <row r="62" spans="1:14" ht="14.25" customHeight="1">
      <c r="A62" s="93" t="s">
        <v>259</v>
      </c>
      <c r="B62" s="97" t="s">
        <v>2405</v>
      </c>
      <c r="C62" s="97">
        <v>14660</v>
      </c>
      <c r="D62" s="97">
        <v>17450</v>
      </c>
      <c r="E62" s="97">
        <v>14470</v>
      </c>
      <c r="F62" s="133"/>
    </row>
    <row r="63" spans="1:14" ht="14.25" customHeight="1">
      <c r="A63" s="93" t="s">
        <v>259</v>
      </c>
      <c r="B63" s="97" t="s">
        <v>2415</v>
      </c>
      <c r="C63" s="97">
        <v>17610</v>
      </c>
      <c r="D63" s="97">
        <v>16500</v>
      </c>
      <c r="E63" s="97">
        <v>17330</v>
      </c>
      <c r="F63" s="133"/>
    </row>
    <row r="64" spans="1:14" ht="14.25" customHeight="1">
      <c r="A64" s="93" t="s">
        <v>259</v>
      </c>
      <c r="B64" s="97" t="s">
        <v>2425</v>
      </c>
      <c r="C64" s="97">
        <v>16590</v>
      </c>
      <c r="D64" s="97">
        <v>15130</v>
      </c>
      <c r="E64" s="97">
        <v>16420</v>
      </c>
      <c r="F64" s="133"/>
    </row>
    <row r="65" spans="1:6" s="119" customFormat="1" ht="14.25" customHeight="1">
      <c r="A65" s="93" t="s">
        <v>259</v>
      </c>
      <c r="B65" s="97" t="s">
        <v>2435</v>
      </c>
      <c r="C65" s="97">
        <v>15220</v>
      </c>
      <c r="D65" s="97">
        <v>14660</v>
      </c>
      <c r="E65" s="97">
        <v>15060</v>
      </c>
      <c r="F65" s="130"/>
    </row>
    <row r="66" spans="1:6" s="119" customFormat="1" ht="14.25" customHeight="1">
      <c r="A66" s="93" t="s">
        <v>259</v>
      </c>
      <c r="B66" s="97" t="s">
        <v>2445</v>
      </c>
      <c r="C66" s="97">
        <v>14720</v>
      </c>
      <c r="D66" s="97">
        <v>15970</v>
      </c>
      <c r="E66" s="97">
        <v>14610</v>
      </c>
      <c r="F66" s="130"/>
    </row>
    <row r="67" spans="1:6" s="119" customFormat="1" ht="14.25" customHeight="1">
      <c r="A67" s="93" t="s">
        <v>259</v>
      </c>
      <c r="B67" s="97" t="s">
        <v>2455</v>
      </c>
      <c r="C67" s="97">
        <v>16080</v>
      </c>
      <c r="D67" s="97">
        <v>14840</v>
      </c>
      <c r="E67" s="97">
        <v>15630</v>
      </c>
      <c r="F67" s="130"/>
    </row>
    <row r="68" spans="1:6" s="119" customFormat="1" ht="14.25" customHeight="1">
      <c r="A68" s="93" t="s">
        <v>259</v>
      </c>
      <c r="B68" s="97" t="s">
        <v>2464</v>
      </c>
      <c r="C68" s="97">
        <v>14940</v>
      </c>
      <c r="D68" s="97">
        <v>18000</v>
      </c>
      <c r="E68" s="97">
        <v>14040</v>
      </c>
      <c r="F68" s="130"/>
    </row>
    <row r="69" spans="1:6" s="119" customFormat="1" ht="14.25" customHeight="1">
      <c r="A69" s="93" t="s">
        <v>259</v>
      </c>
      <c r="B69" s="97" t="s">
        <v>2472</v>
      </c>
      <c r="C69" s="97">
        <v>18810</v>
      </c>
      <c r="D69" s="97">
        <v>15100</v>
      </c>
      <c r="E69" s="97">
        <v>14710</v>
      </c>
      <c r="F69" s="130"/>
    </row>
    <row r="70" spans="1:6" s="119" customFormat="1" ht="14.25" customHeight="1">
      <c r="A70" s="93" t="s">
        <v>259</v>
      </c>
      <c r="B70" s="97" t="s">
        <v>2480</v>
      </c>
      <c r="C70" s="97">
        <v>18270</v>
      </c>
      <c r="D70" s="97"/>
      <c r="E70" s="97"/>
      <c r="F70" s="130"/>
    </row>
    <row r="71" spans="1:6" s="119" customFormat="1" ht="14.25" customHeight="1">
      <c r="A71" s="93" t="s">
        <v>259</v>
      </c>
      <c r="B71" s="97" t="s">
        <v>2487</v>
      </c>
      <c r="C71" s="97">
        <v>15230</v>
      </c>
      <c r="D71" s="97"/>
      <c r="E71" s="97"/>
      <c r="F71" s="130"/>
    </row>
    <row r="72" spans="1:6" s="119" customFormat="1" ht="14.25" customHeight="1">
      <c r="A72" s="93" t="s">
        <v>259</v>
      </c>
      <c r="B72" s="97" t="s">
        <v>2494</v>
      </c>
      <c r="C72" s="97"/>
      <c r="D72" s="97"/>
      <c r="E72" s="97"/>
      <c r="F72" s="130">
        <v>4120</v>
      </c>
    </row>
    <row r="73" spans="1:6" s="119" customFormat="1" ht="14.25" customHeight="1">
      <c r="A73" s="93" t="s">
        <v>259</v>
      </c>
      <c r="B73" s="97" t="s">
        <v>2501</v>
      </c>
      <c r="C73" s="97"/>
      <c r="D73" s="97"/>
      <c r="E73" s="97"/>
      <c r="F73" s="130">
        <v>3930</v>
      </c>
    </row>
    <row r="74" spans="1:6" s="119" customFormat="1" ht="14.25" customHeight="1">
      <c r="A74" s="93" t="s">
        <v>259</v>
      </c>
      <c r="B74" s="97" t="s">
        <v>2508</v>
      </c>
      <c r="C74" s="97"/>
      <c r="D74" s="97"/>
      <c r="E74" s="97"/>
      <c r="F74" s="130">
        <v>4060</v>
      </c>
    </row>
    <row r="75" spans="1:6" s="119" customFormat="1" ht="14.25" customHeight="1">
      <c r="A75" s="93" t="s">
        <v>259</v>
      </c>
      <c r="B75" s="108" t="s">
        <v>2515</v>
      </c>
      <c r="C75" s="108"/>
      <c r="D75" s="108"/>
      <c r="E75" s="108"/>
      <c r="F75" s="132">
        <v>3750</v>
      </c>
    </row>
    <row r="76" spans="1:6" s="119" customFormat="1" ht="14.25" customHeight="1">
      <c r="A76" s="93" t="s">
        <v>267</v>
      </c>
      <c r="B76" s="94" t="s">
        <v>2262</v>
      </c>
      <c r="C76" s="94">
        <v>14690</v>
      </c>
      <c r="D76" s="94">
        <v>14640</v>
      </c>
      <c r="E76" s="94">
        <v>14590</v>
      </c>
      <c r="F76" s="127">
        <v>3060</v>
      </c>
    </row>
    <row r="77" spans="1:6" s="119" customFormat="1" ht="14.25" customHeight="1">
      <c r="A77" s="93" t="s">
        <v>267</v>
      </c>
      <c r="B77" s="97" t="s">
        <v>2275</v>
      </c>
      <c r="C77" s="97">
        <v>12550</v>
      </c>
      <c r="D77" s="97">
        <v>12480</v>
      </c>
      <c r="E77" s="97">
        <v>12450</v>
      </c>
      <c r="F77" s="130">
        <v>2590</v>
      </c>
    </row>
    <row r="78" spans="1:6" s="119" customFormat="1" ht="14.25" customHeight="1">
      <c r="A78" s="93" t="s">
        <v>267</v>
      </c>
      <c r="B78" s="97" t="s">
        <v>2289</v>
      </c>
      <c r="C78" s="97">
        <v>14360</v>
      </c>
      <c r="D78" s="97">
        <v>14320</v>
      </c>
      <c r="E78" s="97">
        <v>12510</v>
      </c>
      <c r="F78" s="130">
        <v>2700</v>
      </c>
    </row>
    <row r="79" spans="1:6" s="119" customFormat="1" ht="14.25" customHeight="1">
      <c r="A79" s="93" t="s">
        <v>267</v>
      </c>
      <c r="B79" s="97" t="s">
        <v>2301</v>
      </c>
      <c r="C79" s="97">
        <v>12590</v>
      </c>
      <c r="D79" s="97">
        <v>12540</v>
      </c>
      <c r="E79" s="97">
        <v>12350</v>
      </c>
      <c r="F79" s="130">
        <v>2740</v>
      </c>
    </row>
    <row r="80" spans="1:6" s="119" customFormat="1" ht="14.25" customHeight="1">
      <c r="A80" s="93" t="s">
        <v>267</v>
      </c>
      <c r="B80" s="97" t="s">
        <v>2313</v>
      </c>
      <c r="C80" s="97">
        <v>12450</v>
      </c>
      <c r="D80" s="97">
        <v>12370</v>
      </c>
      <c r="E80" s="97">
        <v>10790</v>
      </c>
      <c r="F80" s="130">
        <v>2290</v>
      </c>
    </row>
    <row r="81" spans="1:6" s="119" customFormat="1" ht="14.25" customHeight="1">
      <c r="A81" s="93" t="s">
        <v>267</v>
      </c>
      <c r="B81" s="97" t="s">
        <v>2324</v>
      </c>
      <c r="C81" s="97">
        <v>14210</v>
      </c>
      <c r="D81" s="97">
        <v>14150</v>
      </c>
      <c r="E81" s="97">
        <v>12730</v>
      </c>
      <c r="F81" s="130">
        <v>2240</v>
      </c>
    </row>
    <row r="82" spans="1:6" s="119" customFormat="1" ht="14.25" customHeight="1">
      <c r="A82" s="93" t="s">
        <v>267</v>
      </c>
      <c r="B82" s="97" t="s">
        <v>2335</v>
      </c>
      <c r="C82" s="97">
        <v>10860</v>
      </c>
      <c r="D82" s="97">
        <v>10820</v>
      </c>
      <c r="E82" s="97">
        <v>14720</v>
      </c>
      <c r="F82" s="130">
        <v>2490</v>
      </c>
    </row>
    <row r="83" spans="1:6" s="119" customFormat="1" ht="14.25" customHeight="1">
      <c r="A83" s="93" t="s">
        <v>267</v>
      </c>
      <c r="B83" s="97" t="s">
        <v>2346</v>
      </c>
      <c r="C83" s="97">
        <v>12810</v>
      </c>
      <c r="D83" s="97">
        <v>12760</v>
      </c>
      <c r="E83" s="97">
        <v>14830</v>
      </c>
      <c r="F83" s="130">
        <v>2450</v>
      </c>
    </row>
    <row r="84" spans="1:6" s="119" customFormat="1" ht="14.25" customHeight="1">
      <c r="A84" s="93" t="s">
        <v>267</v>
      </c>
      <c r="B84" s="97" t="s">
        <v>2356</v>
      </c>
      <c r="C84" s="97">
        <v>14950</v>
      </c>
      <c r="D84" s="97">
        <v>14810</v>
      </c>
      <c r="E84" s="97">
        <v>12590</v>
      </c>
      <c r="F84" s="130">
        <v>2540</v>
      </c>
    </row>
    <row r="85" spans="1:6" s="119" customFormat="1" ht="14.25" customHeight="1">
      <c r="A85" s="93" t="s">
        <v>267</v>
      </c>
      <c r="B85" s="97" t="s">
        <v>2366</v>
      </c>
      <c r="C85" s="97">
        <v>14960</v>
      </c>
      <c r="D85" s="97">
        <v>14890</v>
      </c>
      <c r="E85" s="97">
        <v>12840</v>
      </c>
      <c r="F85" s="130">
        <v>2840</v>
      </c>
    </row>
    <row r="86" spans="1:6" s="119" customFormat="1" ht="14.25" customHeight="1">
      <c r="A86" s="93" t="s">
        <v>267</v>
      </c>
      <c r="B86" s="97" t="s">
        <v>2376</v>
      </c>
      <c r="C86" s="97">
        <v>12730</v>
      </c>
      <c r="D86" s="97">
        <v>12660</v>
      </c>
      <c r="E86" s="97">
        <v>13310</v>
      </c>
      <c r="F86" s="130">
        <v>3140</v>
      </c>
    </row>
    <row r="87" spans="1:6" s="119" customFormat="1" ht="14.25" customHeight="1">
      <c r="A87" s="93" t="s">
        <v>267</v>
      </c>
      <c r="B87" s="97" t="s">
        <v>2386</v>
      </c>
      <c r="C87" s="97">
        <v>12940</v>
      </c>
      <c r="D87" s="97">
        <v>12890</v>
      </c>
      <c r="E87" s="97">
        <v>11580</v>
      </c>
      <c r="F87" s="133"/>
    </row>
    <row r="88" spans="1:6" s="119" customFormat="1" ht="14.25" customHeight="1">
      <c r="A88" s="93" t="s">
        <v>267</v>
      </c>
      <c r="B88" s="97" t="s">
        <v>2396</v>
      </c>
      <c r="C88" s="97">
        <v>13430</v>
      </c>
      <c r="D88" s="97">
        <v>13360</v>
      </c>
      <c r="E88" s="97">
        <v>12790</v>
      </c>
      <c r="F88" s="133"/>
    </row>
    <row r="89" spans="1:6" s="119" customFormat="1" ht="14.25" customHeight="1">
      <c r="A89" s="93" t="s">
        <v>267</v>
      </c>
      <c r="B89" s="97" t="s">
        <v>2406</v>
      </c>
      <c r="C89" s="97">
        <v>11680</v>
      </c>
      <c r="D89" s="97">
        <v>11630</v>
      </c>
      <c r="E89" s="97">
        <v>11320</v>
      </c>
      <c r="F89" s="133"/>
    </row>
    <row r="90" spans="1:6" s="119" customFormat="1" ht="14.25" customHeight="1">
      <c r="A90" s="93" t="s">
        <v>267</v>
      </c>
      <c r="B90" s="97" t="s">
        <v>2416</v>
      </c>
      <c r="C90" s="97">
        <v>12890</v>
      </c>
      <c r="D90" s="97">
        <v>12820</v>
      </c>
      <c r="E90" s="97">
        <v>12710</v>
      </c>
      <c r="F90" s="133"/>
    </row>
    <row r="91" spans="1:6" s="119" customFormat="1" ht="14.25" customHeight="1">
      <c r="A91" s="93" t="s">
        <v>267</v>
      </c>
      <c r="B91" s="97" t="s">
        <v>2426</v>
      </c>
      <c r="C91" s="97">
        <v>11410</v>
      </c>
      <c r="D91" s="97">
        <v>11360</v>
      </c>
      <c r="E91" s="97">
        <v>12670</v>
      </c>
      <c r="F91" s="133"/>
    </row>
    <row r="92" spans="1:6" s="119" customFormat="1" ht="14.25" customHeight="1">
      <c r="A92" s="93" t="s">
        <v>267</v>
      </c>
      <c r="B92" s="97" t="s">
        <v>2436</v>
      </c>
      <c r="C92" s="97">
        <v>12770</v>
      </c>
      <c r="D92" s="97">
        <v>12740</v>
      </c>
      <c r="E92" s="97">
        <v>11970</v>
      </c>
      <c r="F92" s="133"/>
    </row>
    <row r="93" spans="1:6" s="119" customFormat="1" ht="14.25" customHeight="1">
      <c r="A93" s="93" t="s">
        <v>267</v>
      </c>
      <c r="B93" s="97" t="s">
        <v>2446</v>
      </c>
      <c r="C93" s="97">
        <v>12740</v>
      </c>
      <c r="D93" s="97">
        <v>12700</v>
      </c>
      <c r="E93" s="97">
        <v>12540</v>
      </c>
      <c r="F93" s="133"/>
    </row>
    <row r="94" spans="1:6" s="119" customFormat="1" ht="14.25" customHeight="1">
      <c r="A94" s="93" t="s">
        <v>267</v>
      </c>
      <c r="B94" s="97" t="s">
        <v>2456</v>
      </c>
      <c r="C94" s="97">
        <v>12020</v>
      </c>
      <c r="D94" s="97">
        <v>11990</v>
      </c>
      <c r="E94" s="97">
        <v>13110</v>
      </c>
      <c r="F94" s="133"/>
    </row>
    <row r="95" spans="1:6" s="119" customFormat="1" ht="14.25" customHeight="1">
      <c r="A95" s="93" t="s">
        <v>267</v>
      </c>
      <c r="B95" s="97" t="s">
        <v>2465</v>
      </c>
      <c r="C95" s="97">
        <v>12620</v>
      </c>
      <c r="D95" s="97">
        <v>12580</v>
      </c>
      <c r="E95" s="97">
        <v>13160</v>
      </c>
      <c r="F95" s="130"/>
    </row>
    <row r="96" spans="1:6" s="119" customFormat="1" ht="14.25" customHeight="1">
      <c r="A96" s="93" t="s">
        <v>267</v>
      </c>
      <c r="B96" s="97" t="s">
        <v>2473</v>
      </c>
      <c r="C96" s="97">
        <v>13200</v>
      </c>
      <c r="D96" s="97">
        <v>13150</v>
      </c>
      <c r="E96" s="97">
        <v>12900</v>
      </c>
      <c r="F96" s="130"/>
    </row>
    <row r="97" spans="1:6" s="119" customFormat="1" ht="14.25" customHeight="1">
      <c r="A97" s="93" t="s">
        <v>267</v>
      </c>
      <c r="B97" s="97" t="s">
        <v>2481</v>
      </c>
      <c r="C97" s="97">
        <v>13270</v>
      </c>
      <c r="D97" s="97">
        <v>13210</v>
      </c>
      <c r="E97" s="97">
        <v>11080</v>
      </c>
      <c r="F97" s="130"/>
    </row>
    <row r="98" spans="1:6" s="119" customFormat="1" ht="14.25" customHeight="1">
      <c r="A98" s="93" t="s">
        <v>267</v>
      </c>
      <c r="B98" s="97" t="s">
        <v>2488</v>
      </c>
      <c r="C98" s="97">
        <v>13010</v>
      </c>
      <c r="D98" s="97">
        <v>12930</v>
      </c>
      <c r="E98" s="97">
        <v>12840</v>
      </c>
      <c r="F98" s="130"/>
    </row>
    <row r="99" spans="1:6" s="119" customFormat="1" ht="14.25" customHeight="1">
      <c r="A99" s="93" t="s">
        <v>267</v>
      </c>
      <c r="B99" s="97" t="s">
        <v>2495</v>
      </c>
      <c r="C99" s="97">
        <v>11190</v>
      </c>
      <c r="D99" s="97">
        <v>11130</v>
      </c>
      <c r="E99" s="97"/>
      <c r="F99" s="130"/>
    </row>
    <row r="100" spans="1:6" s="119" customFormat="1" ht="14.25" customHeight="1">
      <c r="A100" s="93" t="s">
        <v>267</v>
      </c>
      <c r="B100" s="97" t="s">
        <v>2502</v>
      </c>
      <c r="C100" s="97">
        <v>14280</v>
      </c>
      <c r="D100" s="97">
        <v>14180</v>
      </c>
      <c r="E100" s="97"/>
      <c r="F100" s="130"/>
    </row>
    <row r="101" spans="1:6" s="119" customFormat="1" ht="14.25" customHeight="1">
      <c r="A101" s="93" t="s">
        <v>267</v>
      </c>
      <c r="B101" s="97" t="s">
        <v>2509</v>
      </c>
      <c r="C101" s="97">
        <v>12960</v>
      </c>
      <c r="D101" s="97">
        <v>12890</v>
      </c>
      <c r="E101" s="97"/>
      <c r="F101" s="130"/>
    </row>
    <row r="102" spans="1:6" s="119" customFormat="1" ht="14.25" customHeight="1">
      <c r="A102" s="93" t="s">
        <v>267</v>
      </c>
      <c r="B102" s="97" t="s">
        <v>2516</v>
      </c>
      <c r="C102" s="97"/>
      <c r="D102" s="97"/>
      <c r="E102" s="97"/>
      <c r="F102" s="130">
        <v>3100</v>
      </c>
    </row>
    <row r="103" spans="1:6" s="119" customFormat="1" ht="14.25" customHeight="1">
      <c r="A103" s="93" t="s">
        <v>267</v>
      </c>
      <c r="B103" s="97" t="s">
        <v>2521</v>
      </c>
      <c r="C103" s="97"/>
      <c r="D103" s="97"/>
      <c r="E103" s="97"/>
      <c r="F103" s="130">
        <v>2320</v>
      </c>
    </row>
    <row r="104" spans="1:6" s="119" customFormat="1" ht="14.25" customHeight="1">
      <c r="A104" s="93" t="s">
        <v>267</v>
      </c>
      <c r="B104" s="97" t="s">
        <v>2526</v>
      </c>
      <c r="C104" s="97"/>
      <c r="D104" s="97"/>
      <c r="E104" s="97"/>
      <c r="F104" s="130">
        <v>2320</v>
      </c>
    </row>
    <row r="105" spans="1:6" s="119" customFormat="1" ht="14.25" customHeight="1">
      <c r="A105" s="93" t="s">
        <v>267</v>
      </c>
      <c r="B105" s="97" t="s">
        <v>2531</v>
      </c>
      <c r="C105" s="97"/>
      <c r="D105" s="97"/>
      <c r="E105" s="97"/>
      <c r="F105" s="130">
        <v>2320</v>
      </c>
    </row>
    <row r="106" spans="1:6" s="119" customFormat="1" ht="14.25" customHeight="1">
      <c r="A106" s="93" t="s">
        <v>267</v>
      </c>
      <c r="B106" s="97" t="s">
        <v>2536</v>
      </c>
      <c r="C106" s="97"/>
      <c r="D106" s="97"/>
      <c r="E106" s="97"/>
      <c r="F106" s="130">
        <v>2320</v>
      </c>
    </row>
    <row r="107" spans="1:6" s="119" customFormat="1" ht="14.25" customHeight="1">
      <c r="A107" s="93" t="s">
        <v>267</v>
      </c>
      <c r="B107" s="97" t="s">
        <v>2541</v>
      </c>
      <c r="C107" s="97"/>
      <c r="D107" s="97"/>
      <c r="E107" s="97"/>
      <c r="F107" s="130">
        <v>2280</v>
      </c>
    </row>
    <row r="108" spans="1:6" s="119" customFormat="1" ht="14.25" customHeight="1">
      <c r="A108" s="93" t="s">
        <v>267</v>
      </c>
      <c r="B108" s="97" t="s">
        <v>2546</v>
      </c>
      <c r="C108" s="97"/>
      <c r="D108" s="97"/>
      <c r="E108" s="97"/>
      <c r="F108" s="130">
        <v>2280</v>
      </c>
    </row>
    <row r="109" spans="1:6" s="119" customFormat="1" ht="14.25" customHeight="1">
      <c r="A109" s="93" t="s">
        <v>267</v>
      </c>
      <c r="B109" s="108" t="s">
        <v>2551</v>
      </c>
      <c r="C109" s="108"/>
      <c r="D109" s="108"/>
      <c r="E109" s="108"/>
      <c r="F109" s="132">
        <v>2280</v>
      </c>
    </row>
    <row r="110" spans="1:6" s="119" customFormat="1" ht="14.25" customHeight="1">
      <c r="A110" s="93" t="s">
        <v>273</v>
      </c>
      <c r="B110" s="94" t="s">
        <v>2263</v>
      </c>
      <c r="C110" s="94">
        <v>10520</v>
      </c>
      <c r="D110" s="94">
        <v>10490</v>
      </c>
      <c r="E110" s="94">
        <v>10760</v>
      </c>
      <c r="F110" s="127">
        <v>2160</v>
      </c>
    </row>
    <row r="111" spans="1:6" s="119" customFormat="1" ht="14.25" customHeight="1">
      <c r="A111" s="93" t="s">
        <v>273</v>
      </c>
      <c r="B111" s="97" t="s">
        <v>2276</v>
      </c>
      <c r="C111" s="97">
        <v>10090</v>
      </c>
      <c r="D111" s="97">
        <v>10060</v>
      </c>
      <c r="E111" s="97">
        <v>10300</v>
      </c>
      <c r="F111" s="130">
        <v>2010</v>
      </c>
    </row>
    <row r="112" spans="1:6" s="119" customFormat="1" ht="14.25" customHeight="1">
      <c r="A112" s="93" t="s">
        <v>273</v>
      </c>
      <c r="B112" s="97" t="s">
        <v>2290</v>
      </c>
      <c r="C112" s="97">
        <v>9910</v>
      </c>
      <c r="D112" s="97">
        <v>9850</v>
      </c>
      <c r="E112" s="97">
        <v>9960</v>
      </c>
      <c r="F112" s="130">
        <v>2090</v>
      </c>
    </row>
    <row r="113" spans="1:6" s="119" customFormat="1" ht="14.25" customHeight="1">
      <c r="A113" s="93" t="s">
        <v>273</v>
      </c>
      <c r="B113" s="97" t="s">
        <v>2302</v>
      </c>
      <c r="C113" s="97">
        <v>11430</v>
      </c>
      <c r="D113" s="97">
        <v>11400</v>
      </c>
      <c r="E113" s="97">
        <v>11710</v>
      </c>
      <c r="F113" s="130">
        <v>2050</v>
      </c>
    </row>
    <row r="114" spans="1:6" s="119" customFormat="1" ht="14.25" customHeight="1">
      <c r="A114" s="93" t="s">
        <v>273</v>
      </c>
      <c r="B114" s="97" t="s">
        <v>2314</v>
      </c>
      <c r="C114" s="97">
        <v>11390</v>
      </c>
      <c r="D114" s="97">
        <v>11350</v>
      </c>
      <c r="E114" s="97">
        <v>11640</v>
      </c>
      <c r="F114" s="130">
        <v>1620</v>
      </c>
    </row>
    <row r="115" spans="1:6" s="119" customFormat="1" ht="14.25" customHeight="1">
      <c r="A115" s="93" t="s">
        <v>273</v>
      </c>
      <c r="B115" s="97" t="s">
        <v>2325</v>
      </c>
      <c r="C115" s="97">
        <v>9930</v>
      </c>
      <c r="D115" s="97">
        <v>9900</v>
      </c>
      <c r="E115" s="97">
        <v>10160</v>
      </c>
      <c r="F115" s="130">
        <v>1580</v>
      </c>
    </row>
    <row r="116" spans="1:6" s="119" customFormat="1" ht="14.25" customHeight="1">
      <c r="A116" s="93" t="s">
        <v>273</v>
      </c>
      <c r="B116" s="97" t="s">
        <v>2336</v>
      </c>
      <c r="C116" s="97">
        <v>9150</v>
      </c>
      <c r="D116" s="97">
        <v>9120</v>
      </c>
      <c r="E116" s="97">
        <v>9380</v>
      </c>
      <c r="F116" s="130">
        <v>1750</v>
      </c>
    </row>
    <row r="117" spans="1:6" s="119" customFormat="1" ht="14.25" customHeight="1">
      <c r="A117" s="93" t="s">
        <v>273</v>
      </c>
      <c r="B117" s="97" t="s">
        <v>2347</v>
      </c>
      <c r="C117" s="97">
        <v>10680</v>
      </c>
      <c r="D117" s="97">
        <v>10650</v>
      </c>
      <c r="E117" s="97">
        <v>10970</v>
      </c>
      <c r="F117" s="130">
        <v>1730</v>
      </c>
    </row>
    <row r="118" spans="1:6" s="119" customFormat="1" ht="14.25" customHeight="1">
      <c r="A118" s="93" t="s">
        <v>273</v>
      </c>
      <c r="B118" s="97" t="s">
        <v>2357</v>
      </c>
      <c r="C118" s="97">
        <v>10080</v>
      </c>
      <c r="D118" s="97">
        <v>10050</v>
      </c>
      <c r="E118" s="97">
        <v>10350</v>
      </c>
      <c r="F118" s="130">
        <v>1920</v>
      </c>
    </row>
    <row r="119" spans="1:6" s="119" customFormat="1" ht="14.25" customHeight="1">
      <c r="A119" s="93" t="s">
        <v>273</v>
      </c>
      <c r="B119" s="97" t="s">
        <v>2367</v>
      </c>
      <c r="C119" s="97">
        <v>9450</v>
      </c>
      <c r="D119" s="97">
        <v>9410</v>
      </c>
      <c r="E119" s="97">
        <v>9680</v>
      </c>
      <c r="F119" s="130">
        <v>1880</v>
      </c>
    </row>
    <row r="120" spans="1:6" s="119" customFormat="1" ht="14.25" customHeight="1">
      <c r="A120" s="93" t="s">
        <v>273</v>
      </c>
      <c r="B120" s="97" t="s">
        <v>2377</v>
      </c>
      <c r="C120" s="97">
        <v>8730</v>
      </c>
      <c r="D120" s="97">
        <v>8700</v>
      </c>
      <c r="E120" s="97">
        <v>8950</v>
      </c>
      <c r="F120" s="130">
        <v>1830</v>
      </c>
    </row>
    <row r="121" spans="1:6" s="119" customFormat="1" ht="14.25" customHeight="1">
      <c r="A121" s="93" t="s">
        <v>273</v>
      </c>
      <c r="B121" s="97" t="s">
        <v>2387</v>
      </c>
      <c r="C121" s="97">
        <v>10070</v>
      </c>
      <c r="D121" s="97">
        <v>10040</v>
      </c>
      <c r="E121" s="97">
        <v>10270</v>
      </c>
      <c r="F121" s="130">
        <v>1960</v>
      </c>
    </row>
    <row r="122" spans="1:6" s="119" customFormat="1" ht="14.25" customHeight="1">
      <c r="A122" s="93" t="s">
        <v>273</v>
      </c>
      <c r="B122" s="97" t="s">
        <v>2397</v>
      </c>
      <c r="C122" s="97">
        <v>10500</v>
      </c>
      <c r="D122" s="97">
        <v>10470</v>
      </c>
      <c r="E122" s="97">
        <v>10780</v>
      </c>
      <c r="F122" s="130">
        <v>2180</v>
      </c>
    </row>
    <row r="123" spans="1:6" s="119" customFormat="1" ht="14.25" customHeight="1">
      <c r="A123" s="93" t="s">
        <v>273</v>
      </c>
      <c r="B123" s="97" t="s">
        <v>2407</v>
      </c>
      <c r="C123" s="97">
        <v>10390</v>
      </c>
      <c r="D123" s="97">
        <v>10360</v>
      </c>
      <c r="E123" s="97">
        <v>10660</v>
      </c>
      <c r="F123" s="130">
        <v>2040</v>
      </c>
    </row>
    <row r="124" spans="1:6" s="119" customFormat="1" ht="14.25" customHeight="1">
      <c r="A124" s="93" t="s">
        <v>273</v>
      </c>
      <c r="B124" s="97" t="s">
        <v>2417</v>
      </c>
      <c r="C124" s="97">
        <v>10390</v>
      </c>
      <c r="D124" s="97">
        <v>10360</v>
      </c>
      <c r="E124" s="97">
        <v>10680</v>
      </c>
      <c r="F124" s="133"/>
    </row>
    <row r="125" spans="1:6" s="119" customFormat="1" ht="14.25" customHeight="1">
      <c r="A125" s="93" t="s">
        <v>273</v>
      </c>
      <c r="B125" s="97" t="s">
        <v>2427</v>
      </c>
      <c r="C125" s="97">
        <v>10440</v>
      </c>
      <c r="D125" s="97">
        <v>10410</v>
      </c>
      <c r="E125" s="97">
        <v>10710</v>
      </c>
      <c r="F125" s="133"/>
    </row>
    <row r="126" spans="1:6" s="119" customFormat="1" ht="14.25" customHeight="1">
      <c r="A126" s="93" t="s">
        <v>273</v>
      </c>
      <c r="B126" s="97" t="s">
        <v>2437</v>
      </c>
      <c r="C126" s="97">
        <v>10780</v>
      </c>
      <c r="D126" s="97">
        <v>10750</v>
      </c>
      <c r="E126" s="97">
        <v>11080</v>
      </c>
      <c r="F126" s="133"/>
    </row>
    <row r="127" spans="1:6" s="119" customFormat="1" ht="14.25" customHeight="1">
      <c r="A127" s="93" t="s">
        <v>273</v>
      </c>
      <c r="B127" s="97" t="s">
        <v>2447</v>
      </c>
      <c r="C127" s="97">
        <v>10100</v>
      </c>
      <c r="D127" s="97">
        <v>10070</v>
      </c>
      <c r="E127" s="97">
        <v>10350</v>
      </c>
      <c r="F127" s="133"/>
    </row>
    <row r="128" spans="1:6" s="119" customFormat="1" ht="14.25" customHeight="1">
      <c r="A128" s="93" t="s">
        <v>273</v>
      </c>
      <c r="B128" s="97" t="s">
        <v>2457</v>
      </c>
      <c r="C128" s="97">
        <v>9200</v>
      </c>
      <c r="D128" s="97">
        <v>9160</v>
      </c>
      <c r="E128" s="97">
        <v>9660</v>
      </c>
      <c r="F128" s="133"/>
    </row>
    <row r="129" spans="1:6" s="119" customFormat="1" ht="14.25" customHeight="1">
      <c r="A129" s="93" t="s">
        <v>273</v>
      </c>
      <c r="B129" s="97" t="s">
        <v>2466</v>
      </c>
      <c r="C129" s="97">
        <v>10340</v>
      </c>
      <c r="D129" s="97">
        <v>10310</v>
      </c>
      <c r="E129" s="97">
        <v>10580</v>
      </c>
      <c r="F129" s="133"/>
    </row>
    <row r="130" spans="1:6" s="119" customFormat="1" ht="14.25" customHeight="1">
      <c r="A130" s="93" t="s">
        <v>273</v>
      </c>
      <c r="B130" s="97" t="s">
        <v>2474</v>
      </c>
      <c r="C130" s="97">
        <v>9680</v>
      </c>
      <c r="D130" s="97">
        <v>9660</v>
      </c>
      <c r="E130" s="97">
        <v>9950</v>
      </c>
      <c r="F130" s="133"/>
    </row>
    <row r="131" spans="1:6" s="119" customFormat="1" ht="14.25" customHeight="1">
      <c r="A131" s="93" t="s">
        <v>273</v>
      </c>
      <c r="B131" s="97" t="s">
        <v>2482</v>
      </c>
      <c r="C131" s="97">
        <v>9540</v>
      </c>
      <c r="D131" s="97">
        <v>9510</v>
      </c>
      <c r="E131" s="97">
        <v>9790</v>
      </c>
      <c r="F131" s="133"/>
    </row>
    <row r="132" spans="1:6" s="119" customFormat="1" ht="14.25" customHeight="1">
      <c r="A132" s="93" t="s">
        <v>273</v>
      </c>
      <c r="B132" s="97" t="s">
        <v>2489</v>
      </c>
      <c r="C132" s="97">
        <v>9320</v>
      </c>
      <c r="D132" s="97">
        <v>9290</v>
      </c>
      <c r="E132" s="97">
        <v>9570</v>
      </c>
      <c r="F132" s="133"/>
    </row>
    <row r="133" spans="1:6" s="119" customFormat="1" ht="14.25" customHeight="1">
      <c r="A133" s="93" t="s">
        <v>273</v>
      </c>
      <c r="B133" s="97" t="s">
        <v>2496</v>
      </c>
      <c r="C133" s="97">
        <v>10310</v>
      </c>
      <c r="D133" s="97">
        <v>10280</v>
      </c>
      <c r="E133" s="97">
        <v>10530</v>
      </c>
      <c r="F133" s="133"/>
    </row>
    <row r="134" spans="1:6" s="119" customFormat="1" ht="14.25" customHeight="1">
      <c r="A134" s="93" t="s">
        <v>273</v>
      </c>
      <c r="B134" s="97" t="s">
        <v>2503</v>
      </c>
      <c r="C134" s="97">
        <v>10370</v>
      </c>
      <c r="D134" s="97">
        <v>10310</v>
      </c>
      <c r="E134" s="97">
        <v>10240</v>
      </c>
      <c r="F134" s="130">
        <v>2060</v>
      </c>
    </row>
    <row r="135" spans="1:6" s="119" customFormat="1" ht="14.25" customHeight="1">
      <c r="A135" s="93" t="s">
        <v>273</v>
      </c>
      <c r="B135" s="97" t="s">
        <v>2510</v>
      </c>
      <c r="C135" s="97">
        <v>9300</v>
      </c>
      <c r="D135" s="97">
        <v>9270</v>
      </c>
      <c r="E135" s="97">
        <v>9350</v>
      </c>
      <c r="F135" s="133"/>
    </row>
    <row r="136" spans="1:6" s="119" customFormat="1" ht="14.25" customHeight="1">
      <c r="A136" s="93" t="s">
        <v>273</v>
      </c>
      <c r="B136" s="97" t="s">
        <v>2517</v>
      </c>
      <c r="C136" s="97">
        <v>10160</v>
      </c>
      <c r="D136" s="97">
        <v>10110</v>
      </c>
      <c r="E136" s="97">
        <v>10080</v>
      </c>
      <c r="F136" s="133"/>
    </row>
    <row r="137" spans="1:6" s="119" customFormat="1" ht="14.25" customHeight="1">
      <c r="A137" s="93" t="s">
        <v>273</v>
      </c>
      <c r="B137" s="97" t="s">
        <v>2522</v>
      </c>
      <c r="C137" s="97">
        <v>9200</v>
      </c>
      <c r="D137" s="97">
        <v>9170</v>
      </c>
      <c r="E137" s="97">
        <v>9450</v>
      </c>
      <c r="F137" s="133"/>
    </row>
    <row r="138" spans="1:6" s="119" customFormat="1" ht="14.25" customHeight="1">
      <c r="A138" s="93" t="s">
        <v>273</v>
      </c>
      <c r="B138" s="97" t="s">
        <v>2527</v>
      </c>
      <c r="C138" s="97">
        <v>9690</v>
      </c>
      <c r="D138" s="97">
        <v>9660</v>
      </c>
      <c r="E138" s="97">
        <v>9840</v>
      </c>
      <c r="F138" s="133"/>
    </row>
    <row r="139" spans="1:6" s="119" customFormat="1" ht="14.25" customHeight="1">
      <c r="A139" s="93" t="s">
        <v>273</v>
      </c>
      <c r="B139" s="97" t="s">
        <v>2532</v>
      </c>
      <c r="C139" s="97">
        <v>10290</v>
      </c>
      <c r="D139" s="97">
        <v>10260</v>
      </c>
      <c r="E139" s="97">
        <v>10550</v>
      </c>
      <c r="F139" s="130">
        <v>1700</v>
      </c>
    </row>
    <row r="140" spans="1:6" s="119" customFormat="1" ht="14.25" customHeight="1">
      <c r="A140" s="93" t="s">
        <v>273</v>
      </c>
      <c r="B140" s="97" t="s">
        <v>2537</v>
      </c>
      <c r="C140" s="97">
        <v>9740</v>
      </c>
      <c r="D140" s="97">
        <v>9710</v>
      </c>
      <c r="E140" s="97">
        <v>10000</v>
      </c>
      <c r="F140" s="130">
        <v>2000</v>
      </c>
    </row>
    <row r="141" spans="1:6" s="119" customFormat="1" ht="14.25" customHeight="1">
      <c r="A141" s="93" t="s">
        <v>273</v>
      </c>
      <c r="B141" s="97" t="s">
        <v>2542</v>
      </c>
      <c r="C141" s="97">
        <v>9810</v>
      </c>
      <c r="D141" s="97">
        <v>9770</v>
      </c>
      <c r="E141" s="97">
        <v>10060</v>
      </c>
      <c r="F141" s="133"/>
    </row>
    <row r="142" spans="1:6" s="119" customFormat="1" ht="14.25" customHeight="1">
      <c r="A142" s="93" t="s">
        <v>273</v>
      </c>
      <c r="B142" s="97" t="s">
        <v>2547</v>
      </c>
      <c r="C142" s="97">
        <v>9300</v>
      </c>
      <c r="D142" s="97">
        <v>9270</v>
      </c>
      <c r="E142" s="97">
        <v>9530</v>
      </c>
      <c r="F142" s="133"/>
    </row>
    <row r="143" spans="1:6" s="119" customFormat="1" ht="14.25" customHeight="1">
      <c r="A143" s="93" t="s">
        <v>273</v>
      </c>
      <c r="B143" s="97" t="s">
        <v>2552</v>
      </c>
      <c r="C143" s="97">
        <v>10080</v>
      </c>
      <c r="D143" s="97">
        <v>10050</v>
      </c>
      <c r="E143" s="97">
        <v>10340</v>
      </c>
      <c r="F143" s="133"/>
    </row>
    <row r="144" spans="1:6" s="119" customFormat="1" ht="14.25" customHeight="1">
      <c r="A144" s="93" t="s">
        <v>273</v>
      </c>
      <c r="B144" s="97" t="s">
        <v>2556</v>
      </c>
      <c r="C144" s="97">
        <v>9820</v>
      </c>
      <c r="D144" s="97">
        <v>9750</v>
      </c>
      <c r="E144" s="97">
        <v>9900</v>
      </c>
      <c r="F144" s="133"/>
    </row>
    <row r="145" spans="1:6" s="119" customFormat="1" ht="14.25" customHeight="1">
      <c r="A145" s="93" t="s">
        <v>273</v>
      </c>
      <c r="B145" s="97" t="s">
        <v>2560</v>
      </c>
      <c r="C145" s="97"/>
      <c r="D145" s="97"/>
      <c r="E145" s="97"/>
      <c r="F145" s="130">
        <v>1740</v>
      </c>
    </row>
    <row r="146" spans="1:6" s="119" customFormat="1" ht="14.25" customHeight="1">
      <c r="A146" s="93" t="s">
        <v>273</v>
      </c>
      <c r="B146" s="97" t="s">
        <v>2564</v>
      </c>
      <c r="C146" s="97"/>
      <c r="D146" s="97"/>
      <c r="E146" s="97"/>
      <c r="F146" s="130">
        <v>1740</v>
      </c>
    </row>
    <row r="147" spans="1:6" s="119" customFormat="1" ht="14.25" customHeight="1">
      <c r="A147" s="93" t="s">
        <v>273</v>
      </c>
      <c r="B147" s="97" t="s">
        <v>2568</v>
      </c>
      <c r="C147" s="97"/>
      <c r="D147" s="97"/>
      <c r="E147" s="97"/>
      <c r="F147" s="130">
        <v>1740</v>
      </c>
    </row>
    <row r="148" spans="1:6" s="119" customFormat="1" ht="14.25" customHeight="1">
      <c r="A148" s="93" t="s">
        <v>273</v>
      </c>
      <c r="B148" s="97" t="s">
        <v>2572</v>
      </c>
      <c r="C148" s="97"/>
      <c r="D148" s="97"/>
      <c r="E148" s="97"/>
      <c r="F148" s="130">
        <v>1740</v>
      </c>
    </row>
    <row r="149" spans="1:6" s="119" customFormat="1" ht="14.25" customHeight="1">
      <c r="A149" s="93" t="s">
        <v>273</v>
      </c>
      <c r="B149" s="97" t="s">
        <v>2576</v>
      </c>
      <c r="C149" s="97"/>
      <c r="D149" s="97"/>
      <c r="E149" s="97"/>
      <c r="F149" s="130">
        <v>1740</v>
      </c>
    </row>
    <row r="150" spans="1:6" s="119" customFormat="1" ht="14.25" customHeight="1">
      <c r="A150" s="93" t="s">
        <v>273</v>
      </c>
      <c r="B150" s="97" t="s">
        <v>2579</v>
      </c>
      <c r="C150" s="97"/>
      <c r="D150" s="97"/>
      <c r="E150" s="97"/>
      <c r="F150" s="130">
        <v>1610</v>
      </c>
    </row>
    <row r="151" spans="1:6" s="119" customFormat="1" ht="14.25" customHeight="1">
      <c r="A151" s="93" t="s">
        <v>273</v>
      </c>
      <c r="B151" s="97" t="s">
        <v>2582</v>
      </c>
      <c r="C151" s="97"/>
      <c r="D151" s="97"/>
      <c r="E151" s="97"/>
      <c r="F151" s="130">
        <v>1610</v>
      </c>
    </row>
    <row r="152" spans="1:6" s="119" customFormat="1" ht="14.25" customHeight="1">
      <c r="A152" s="93" t="s">
        <v>273</v>
      </c>
      <c r="B152" s="97" t="s">
        <v>2585</v>
      </c>
      <c r="C152" s="97"/>
      <c r="D152" s="97"/>
      <c r="E152" s="97"/>
      <c r="F152" s="130">
        <v>1610</v>
      </c>
    </row>
    <row r="153" spans="1:6" s="119" customFormat="1" ht="14.25" customHeight="1">
      <c r="A153" s="93" t="s">
        <v>273</v>
      </c>
      <c r="B153" s="97" t="s">
        <v>2588</v>
      </c>
      <c r="C153" s="97"/>
      <c r="D153" s="97"/>
      <c r="E153" s="97"/>
      <c r="F153" s="130">
        <v>1610</v>
      </c>
    </row>
    <row r="154" spans="1:6" s="119" customFormat="1" ht="14.25" customHeight="1">
      <c r="A154" s="93" t="s">
        <v>273</v>
      </c>
      <c r="B154" s="97" t="s">
        <v>2591</v>
      </c>
      <c r="C154" s="97"/>
      <c r="D154" s="97"/>
      <c r="E154" s="97"/>
      <c r="F154" s="130">
        <v>1610</v>
      </c>
    </row>
    <row r="155" spans="1:6" s="119" customFormat="1" ht="14.25" customHeight="1">
      <c r="A155" s="93" t="s">
        <v>273</v>
      </c>
      <c r="B155" s="97" t="s">
        <v>2594</v>
      </c>
      <c r="C155" s="97"/>
      <c r="D155" s="97"/>
      <c r="E155" s="97"/>
      <c r="F155" s="130">
        <v>1800</v>
      </c>
    </row>
    <row r="156" spans="1:6" s="119" customFormat="1" ht="14.25" customHeight="1">
      <c r="A156" s="93" t="s">
        <v>273</v>
      </c>
      <c r="B156" s="97" t="s">
        <v>2596</v>
      </c>
      <c r="C156" s="97"/>
      <c r="D156" s="97"/>
      <c r="E156" s="97"/>
      <c r="F156" s="130">
        <v>1910</v>
      </c>
    </row>
    <row r="157" spans="1:6" s="119" customFormat="1" ht="14.25" customHeight="1">
      <c r="A157" s="93" t="s">
        <v>273</v>
      </c>
      <c r="B157" s="108" t="s">
        <v>2598</v>
      </c>
      <c r="C157" s="108"/>
      <c r="D157" s="108"/>
      <c r="E157" s="108"/>
      <c r="F157" s="132">
        <v>1500</v>
      </c>
    </row>
    <row r="158" spans="1:6" s="119" customFormat="1" ht="14.25" customHeight="1">
      <c r="A158" s="93" t="s">
        <v>278</v>
      </c>
      <c r="B158" s="94" t="s">
        <v>2264</v>
      </c>
      <c r="C158" s="94">
        <v>8170</v>
      </c>
      <c r="D158" s="94">
        <v>8140</v>
      </c>
      <c r="E158" s="94">
        <v>8590</v>
      </c>
      <c r="F158" s="127">
        <v>1450</v>
      </c>
    </row>
    <row r="159" spans="1:6" s="119" customFormat="1" ht="14.25" customHeight="1">
      <c r="A159" s="93" t="s">
        <v>278</v>
      </c>
      <c r="B159" s="97" t="s">
        <v>2277</v>
      </c>
      <c r="C159" s="97">
        <v>7410</v>
      </c>
      <c r="D159" s="97">
        <v>7370</v>
      </c>
      <c r="E159" s="97">
        <v>8030</v>
      </c>
      <c r="F159" s="130">
        <v>1510</v>
      </c>
    </row>
    <row r="160" spans="1:6" s="119" customFormat="1" ht="14.25" customHeight="1">
      <c r="A160" s="93" t="s">
        <v>278</v>
      </c>
      <c r="B160" s="97" t="s">
        <v>2291</v>
      </c>
      <c r="C160" s="97">
        <v>7240</v>
      </c>
      <c r="D160" s="97">
        <v>7210</v>
      </c>
      <c r="E160" s="97">
        <v>7860</v>
      </c>
      <c r="F160" s="130">
        <v>1370</v>
      </c>
    </row>
    <row r="161" spans="1:6" s="119" customFormat="1" ht="14.25" customHeight="1">
      <c r="A161" s="93" t="s">
        <v>278</v>
      </c>
      <c r="B161" s="97" t="s">
        <v>2303</v>
      </c>
      <c r="C161" s="97">
        <v>7720</v>
      </c>
      <c r="D161" s="97">
        <v>7690</v>
      </c>
      <c r="E161" s="97">
        <v>8200</v>
      </c>
      <c r="F161" s="130">
        <v>1190</v>
      </c>
    </row>
    <row r="162" spans="1:6" s="119" customFormat="1" ht="14.25" customHeight="1">
      <c r="A162" s="93" t="s">
        <v>278</v>
      </c>
      <c r="B162" s="97" t="s">
        <v>2315</v>
      </c>
      <c r="C162" s="97">
        <v>6900</v>
      </c>
      <c r="D162" s="97">
        <v>6870</v>
      </c>
      <c r="E162" s="97">
        <v>7500</v>
      </c>
      <c r="F162" s="130">
        <v>1390</v>
      </c>
    </row>
    <row r="163" spans="1:6" s="119" customFormat="1" ht="14.25" customHeight="1">
      <c r="A163" s="93" t="s">
        <v>278</v>
      </c>
      <c r="B163" s="97" t="s">
        <v>2326</v>
      </c>
      <c r="C163" s="97">
        <v>7120</v>
      </c>
      <c r="D163" s="97">
        <v>7090</v>
      </c>
      <c r="E163" s="97">
        <v>7690</v>
      </c>
      <c r="F163" s="130">
        <v>1230</v>
      </c>
    </row>
    <row r="164" spans="1:6" s="119" customFormat="1" ht="14.25" customHeight="1">
      <c r="A164" s="93" t="s">
        <v>278</v>
      </c>
      <c r="B164" s="97" t="s">
        <v>2337</v>
      </c>
      <c r="C164" s="97">
        <v>6560</v>
      </c>
      <c r="D164" s="97">
        <v>6530</v>
      </c>
      <c r="E164" s="97">
        <v>7110</v>
      </c>
      <c r="F164" s="130">
        <v>1340</v>
      </c>
    </row>
    <row r="165" spans="1:6" s="119" customFormat="1" ht="14.25" customHeight="1">
      <c r="A165" s="93" t="s">
        <v>278</v>
      </c>
      <c r="B165" s="97" t="s">
        <v>2348</v>
      </c>
      <c r="C165" s="97">
        <v>7450</v>
      </c>
      <c r="D165" s="97">
        <v>7430</v>
      </c>
      <c r="E165" s="97">
        <v>8110</v>
      </c>
      <c r="F165" s="130">
        <v>1290</v>
      </c>
    </row>
    <row r="166" spans="1:6" s="119" customFormat="1" ht="14.25" customHeight="1">
      <c r="A166" s="93" t="s">
        <v>278</v>
      </c>
      <c r="B166" s="97" t="s">
        <v>2358</v>
      </c>
      <c r="C166" s="97">
        <v>7490</v>
      </c>
      <c r="D166" s="97">
        <v>7460</v>
      </c>
      <c r="E166" s="97">
        <v>8150</v>
      </c>
      <c r="F166" s="130">
        <v>1350</v>
      </c>
    </row>
    <row r="167" spans="1:6" s="119" customFormat="1" ht="14.25" customHeight="1">
      <c r="A167" s="93" t="s">
        <v>278</v>
      </c>
      <c r="B167" s="97" t="s">
        <v>2368</v>
      </c>
      <c r="C167" s="97">
        <v>7540</v>
      </c>
      <c r="D167" s="97">
        <v>7510</v>
      </c>
      <c r="E167" s="97">
        <v>8030</v>
      </c>
      <c r="F167" s="133"/>
    </row>
    <row r="168" spans="1:6" s="119" customFormat="1" ht="14.25" customHeight="1">
      <c r="A168" s="93" t="s">
        <v>278</v>
      </c>
      <c r="B168" s="97" t="s">
        <v>2378</v>
      </c>
      <c r="C168" s="97">
        <v>7210</v>
      </c>
      <c r="D168" s="97">
        <v>7180</v>
      </c>
      <c r="E168" s="97">
        <v>7830</v>
      </c>
      <c r="F168" s="133"/>
    </row>
    <row r="169" spans="1:6" s="119" customFormat="1" ht="14.25" customHeight="1">
      <c r="A169" s="93" t="s">
        <v>278</v>
      </c>
      <c r="B169" s="97" t="s">
        <v>2388</v>
      </c>
      <c r="C169" s="97">
        <v>7040</v>
      </c>
      <c r="D169" s="97">
        <v>7020</v>
      </c>
      <c r="E169" s="97">
        <v>7670</v>
      </c>
      <c r="F169" s="133"/>
    </row>
    <row r="170" spans="1:6" s="119" customFormat="1" ht="14.25" customHeight="1">
      <c r="A170" s="93" t="s">
        <v>278</v>
      </c>
      <c r="B170" s="97" t="s">
        <v>2398</v>
      </c>
      <c r="C170" s="97">
        <v>8040</v>
      </c>
      <c r="D170" s="97">
        <v>7190</v>
      </c>
      <c r="E170" s="97">
        <v>7850</v>
      </c>
      <c r="F170" s="133"/>
    </row>
    <row r="171" spans="1:6" s="119" customFormat="1" ht="14.25" customHeight="1">
      <c r="A171" s="93" t="s">
        <v>278</v>
      </c>
      <c r="B171" s="97" t="s">
        <v>2408</v>
      </c>
      <c r="C171" s="97">
        <v>7860</v>
      </c>
      <c r="D171" s="97">
        <v>7720</v>
      </c>
      <c r="E171" s="97">
        <v>8150</v>
      </c>
      <c r="F171" s="130">
        <v>1110</v>
      </c>
    </row>
    <row r="172" spans="1:6" s="119" customFormat="1" ht="14.25" customHeight="1">
      <c r="A172" s="93" t="s">
        <v>278</v>
      </c>
      <c r="B172" s="97" t="s">
        <v>2418</v>
      </c>
      <c r="C172" s="97">
        <v>7210</v>
      </c>
      <c r="D172" s="97">
        <v>7170</v>
      </c>
      <c r="E172" s="97">
        <v>7320</v>
      </c>
      <c r="F172" s="133"/>
    </row>
    <row r="173" spans="1:6" s="119" customFormat="1" ht="14.25" customHeight="1">
      <c r="A173" s="93" t="s">
        <v>278</v>
      </c>
      <c r="B173" s="97" t="s">
        <v>2428</v>
      </c>
      <c r="C173" s="97">
        <v>6860</v>
      </c>
      <c r="D173" s="97">
        <v>6810</v>
      </c>
      <c r="E173" s="97">
        <v>7440</v>
      </c>
      <c r="F173" s="133"/>
    </row>
    <row r="174" spans="1:6" s="119" customFormat="1" ht="14.25" customHeight="1">
      <c r="A174" s="93" t="s">
        <v>278</v>
      </c>
      <c r="B174" s="97" t="s">
        <v>2438</v>
      </c>
      <c r="C174" s="97">
        <v>7120</v>
      </c>
      <c r="D174" s="97">
        <v>7090</v>
      </c>
      <c r="E174" s="97">
        <v>7500</v>
      </c>
      <c r="F174" s="130">
        <v>1490</v>
      </c>
    </row>
    <row r="175" spans="1:6" s="119" customFormat="1" ht="14.25" customHeight="1">
      <c r="A175" s="93" t="s">
        <v>278</v>
      </c>
      <c r="B175" s="97" t="s">
        <v>2448</v>
      </c>
      <c r="C175" s="97">
        <v>7850</v>
      </c>
      <c r="D175" s="97">
        <v>7820</v>
      </c>
      <c r="E175" s="97">
        <v>8120</v>
      </c>
      <c r="F175" s="130">
        <v>1530</v>
      </c>
    </row>
    <row r="176" spans="1:6" s="119" customFormat="1" ht="14.25" customHeight="1">
      <c r="A176" s="93" t="s">
        <v>278</v>
      </c>
      <c r="B176" s="97" t="s">
        <v>2458</v>
      </c>
      <c r="C176" s="97">
        <v>7620</v>
      </c>
      <c r="D176" s="97">
        <v>7570</v>
      </c>
      <c r="E176" s="97">
        <v>7990</v>
      </c>
      <c r="F176" s="130">
        <v>1480</v>
      </c>
    </row>
    <row r="177" spans="1:6" s="119" customFormat="1" ht="14.25" customHeight="1">
      <c r="A177" s="93" t="s">
        <v>278</v>
      </c>
      <c r="B177" s="97" t="s">
        <v>2467</v>
      </c>
      <c r="C177" s="97">
        <v>8590</v>
      </c>
      <c r="D177" s="97">
        <v>8570</v>
      </c>
      <c r="E177" s="97">
        <v>8740</v>
      </c>
      <c r="F177" s="130">
        <v>1540</v>
      </c>
    </row>
    <row r="178" spans="1:6" s="119" customFormat="1" ht="14.25" customHeight="1">
      <c r="A178" s="93" t="s">
        <v>278</v>
      </c>
      <c r="B178" s="97" t="s">
        <v>2475</v>
      </c>
      <c r="C178" s="97">
        <v>7510</v>
      </c>
      <c r="D178" s="97">
        <v>7470</v>
      </c>
      <c r="E178" s="97">
        <v>8090</v>
      </c>
      <c r="F178" s="130">
        <v>1320</v>
      </c>
    </row>
    <row r="179" spans="1:6" s="119" customFormat="1" ht="14.25" customHeight="1">
      <c r="A179" s="93" t="s">
        <v>278</v>
      </c>
      <c r="B179" s="97" t="s">
        <v>2483</v>
      </c>
      <c r="C179" s="97">
        <v>6380</v>
      </c>
      <c r="D179" s="97">
        <v>6340</v>
      </c>
      <c r="E179" s="97">
        <v>6810</v>
      </c>
      <c r="F179" s="133"/>
    </row>
    <row r="180" spans="1:6" s="119" customFormat="1" ht="14.25" customHeight="1">
      <c r="A180" s="93" t="s">
        <v>278</v>
      </c>
      <c r="B180" s="97" t="s">
        <v>2490</v>
      </c>
      <c r="C180" s="97">
        <v>7830</v>
      </c>
      <c r="D180" s="97">
        <v>7800</v>
      </c>
      <c r="E180" s="97">
        <v>7780</v>
      </c>
      <c r="F180" s="130">
        <v>1440</v>
      </c>
    </row>
    <row r="181" spans="1:6" s="119" customFormat="1" ht="14.25" customHeight="1">
      <c r="A181" s="93" t="s">
        <v>278</v>
      </c>
      <c r="B181" s="97" t="s">
        <v>2497</v>
      </c>
      <c r="C181" s="97">
        <v>7110</v>
      </c>
      <c r="D181" s="97">
        <v>7080</v>
      </c>
      <c r="E181" s="97">
        <v>7730</v>
      </c>
      <c r="F181" s="130">
        <v>1350</v>
      </c>
    </row>
    <row r="182" spans="1:6" s="119" customFormat="1" ht="14.25" customHeight="1">
      <c r="A182" s="93" t="s">
        <v>278</v>
      </c>
      <c r="B182" s="97" t="s">
        <v>2504</v>
      </c>
      <c r="C182" s="97">
        <v>7310</v>
      </c>
      <c r="D182" s="97">
        <v>7280</v>
      </c>
      <c r="E182" s="97">
        <v>7950</v>
      </c>
      <c r="F182" s="130">
        <v>1220</v>
      </c>
    </row>
    <row r="183" spans="1:6" s="119" customFormat="1" ht="14.25" customHeight="1">
      <c r="A183" s="93" t="s">
        <v>278</v>
      </c>
      <c r="B183" s="97" t="s">
        <v>2511</v>
      </c>
      <c r="C183" s="97">
        <v>7470</v>
      </c>
      <c r="D183" s="97">
        <v>7440</v>
      </c>
      <c r="E183" s="97">
        <v>7880</v>
      </c>
      <c r="F183" s="133"/>
    </row>
    <row r="184" spans="1:6" s="119" customFormat="1" ht="14.25" customHeight="1">
      <c r="A184" s="93" t="s">
        <v>278</v>
      </c>
      <c r="B184" s="97" t="s">
        <v>2518</v>
      </c>
      <c r="C184" s="97">
        <v>6960</v>
      </c>
      <c r="D184" s="97">
        <v>6930</v>
      </c>
      <c r="E184" s="97">
        <v>7570</v>
      </c>
      <c r="F184" s="133"/>
    </row>
    <row r="185" spans="1:6" s="119" customFormat="1" ht="14.25" customHeight="1">
      <c r="A185" s="93" t="s">
        <v>278</v>
      </c>
      <c r="B185" s="97" t="s">
        <v>2523</v>
      </c>
      <c r="C185" s="97">
        <v>7260</v>
      </c>
      <c r="D185" s="97">
        <v>7230</v>
      </c>
      <c r="E185" s="97">
        <v>7710</v>
      </c>
      <c r="F185" s="130">
        <v>1360</v>
      </c>
    </row>
    <row r="186" spans="1:6" s="119" customFormat="1" ht="14.25" customHeight="1">
      <c r="A186" s="93" t="s">
        <v>278</v>
      </c>
      <c r="B186" s="97" t="s">
        <v>2528</v>
      </c>
      <c r="C186" s="97"/>
      <c r="D186" s="97"/>
      <c r="E186" s="97"/>
      <c r="F186" s="130">
        <v>1560</v>
      </c>
    </row>
    <row r="187" spans="1:6" s="119" customFormat="1" ht="14.25" customHeight="1">
      <c r="A187" s="93" t="s">
        <v>278</v>
      </c>
      <c r="B187" s="97" t="s">
        <v>2533</v>
      </c>
      <c r="C187" s="97"/>
      <c r="D187" s="97"/>
      <c r="E187" s="97"/>
      <c r="F187" s="130">
        <v>1560</v>
      </c>
    </row>
    <row r="188" spans="1:6" s="119" customFormat="1" ht="14.25" customHeight="1">
      <c r="A188" s="93" t="s">
        <v>278</v>
      </c>
      <c r="B188" s="97" t="s">
        <v>2538</v>
      </c>
      <c r="C188" s="97"/>
      <c r="D188" s="97"/>
      <c r="E188" s="97"/>
      <c r="F188" s="130">
        <v>1560</v>
      </c>
    </row>
    <row r="189" spans="1:6" s="119" customFormat="1" ht="14.25" customHeight="1">
      <c r="A189" s="93" t="s">
        <v>278</v>
      </c>
      <c r="B189" s="97" t="s">
        <v>2543</v>
      </c>
      <c r="C189" s="97"/>
      <c r="D189" s="97"/>
      <c r="E189" s="97"/>
      <c r="F189" s="130">
        <v>1320</v>
      </c>
    </row>
    <row r="190" spans="1:6" s="119" customFormat="1" ht="14.25" customHeight="1">
      <c r="A190" s="93" t="s">
        <v>278</v>
      </c>
      <c r="B190" s="97" t="s">
        <v>2548</v>
      </c>
      <c r="C190" s="97"/>
      <c r="D190" s="97"/>
      <c r="E190" s="97"/>
      <c r="F190" s="130">
        <v>1320</v>
      </c>
    </row>
    <row r="191" spans="1:6" s="119" customFormat="1" ht="14.25" customHeight="1">
      <c r="A191" s="93" t="s">
        <v>278</v>
      </c>
      <c r="B191" s="97" t="s">
        <v>2553</v>
      </c>
      <c r="C191" s="97"/>
      <c r="D191" s="97"/>
      <c r="E191" s="97"/>
      <c r="F191" s="130">
        <v>1320</v>
      </c>
    </row>
    <row r="192" spans="1:6" s="119" customFormat="1" ht="14.25" customHeight="1">
      <c r="A192" s="93" t="s">
        <v>278</v>
      </c>
      <c r="B192" s="97" t="s">
        <v>2557</v>
      </c>
      <c r="C192" s="97"/>
      <c r="D192" s="97"/>
      <c r="E192" s="97"/>
      <c r="F192" s="130">
        <v>1100</v>
      </c>
    </row>
    <row r="193" spans="1:6" s="119" customFormat="1" ht="14.25" customHeight="1">
      <c r="A193" s="93" t="s">
        <v>278</v>
      </c>
      <c r="B193" s="97" t="s">
        <v>2561</v>
      </c>
      <c r="C193" s="97"/>
      <c r="D193" s="97"/>
      <c r="E193" s="97"/>
      <c r="F193" s="130">
        <v>1100</v>
      </c>
    </row>
    <row r="194" spans="1:6" s="119" customFormat="1" ht="14.25" customHeight="1">
      <c r="A194" s="93" t="s">
        <v>278</v>
      </c>
      <c r="B194" s="97" t="s">
        <v>2565</v>
      </c>
      <c r="C194" s="97"/>
      <c r="D194" s="97"/>
      <c r="E194" s="97"/>
      <c r="F194" s="130">
        <v>1080</v>
      </c>
    </row>
    <row r="195" spans="1:6" s="119" customFormat="1" ht="14.25" customHeight="1">
      <c r="A195" s="93" t="s">
        <v>278</v>
      </c>
      <c r="B195" s="97" t="s">
        <v>2569</v>
      </c>
      <c r="C195" s="97"/>
      <c r="D195" s="97"/>
      <c r="E195" s="97"/>
      <c r="F195" s="130">
        <v>1270</v>
      </c>
    </row>
    <row r="196" spans="1:6" s="119" customFormat="1" ht="14.25" customHeight="1">
      <c r="A196" s="93" t="s">
        <v>278</v>
      </c>
      <c r="B196" s="97" t="s">
        <v>2573</v>
      </c>
      <c r="C196" s="97"/>
      <c r="D196" s="97"/>
      <c r="E196" s="97"/>
      <c r="F196" s="130">
        <v>1150</v>
      </c>
    </row>
    <row r="197" spans="1:6" s="119" customFormat="1" ht="14.25" customHeight="1">
      <c r="A197" s="93" t="s">
        <v>278</v>
      </c>
      <c r="B197" s="97" t="s">
        <v>2577</v>
      </c>
      <c r="C197" s="97"/>
      <c r="D197" s="97"/>
      <c r="E197" s="97"/>
      <c r="F197" s="130">
        <v>1330</v>
      </c>
    </row>
    <row r="198" spans="1:6" s="119" customFormat="1" ht="14.25" customHeight="1">
      <c r="A198" s="93" t="s">
        <v>278</v>
      </c>
      <c r="B198" s="97" t="s">
        <v>2580</v>
      </c>
      <c r="C198" s="97"/>
      <c r="D198" s="97"/>
      <c r="E198" s="97"/>
      <c r="F198" s="130">
        <v>1170</v>
      </c>
    </row>
    <row r="199" spans="1:6" s="119" customFormat="1" ht="14.25" customHeight="1">
      <c r="A199" s="93" t="s">
        <v>278</v>
      </c>
      <c r="B199" s="97" t="s">
        <v>2583</v>
      </c>
      <c r="C199" s="97"/>
      <c r="D199" s="97"/>
      <c r="E199" s="97"/>
      <c r="F199" s="130">
        <v>1120</v>
      </c>
    </row>
    <row r="200" spans="1:6" s="119" customFormat="1" ht="14.25" customHeight="1">
      <c r="A200" s="93" t="s">
        <v>278</v>
      </c>
      <c r="B200" s="97" t="s">
        <v>2586</v>
      </c>
      <c r="C200" s="97"/>
      <c r="D200" s="97"/>
      <c r="E200" s="97"/>
      <c r="F200" s="130">
        <v>1120</v>
      </c>
    </row>
    <row r="201" spans="1:6" s="119" customFormat="1" ht="14.25" customHeight="1">
      <c r="A201" s="93" t="s">
        <v>278</v>
      </c>
      <c r="B201" s="97" t="s">
        <v>2589</v>
      </c>
      <c r="C201" s="97"/>
      <c r="D201" s="97"/>
      <c r="E201" s="97"/>
      <c r="F201" s="130">
        <v>1540</v>
      </c>
    </row>
    <row r="202" spans="1:6" s="119" customFormat="1" ht="14.25" customHeight="1">
      <c r="A202" s="93" t="s">
        <v>278</v>
      </c>
      <c r="B202" s="97" t="s">
        <v>2592</v>
      </c>
      <c r="C202" s="97"/>
      <c r="D202" s="97"/>
      <c r="E202" s="97"/>
      <c r="F202" s="130">
        <v>1310</v>
      </c>
    </row>
    <row r="203" spans="1:6" s="119" customFormat="1" ht="14.25" customHeight="1">
      <c r="A203" s="93" t="s">
        <v>278</v>
      </c>
      <c r="B203" s="97" t="s">
        <v>2595</v>
      </c>
      <c r="C203" s="97"/>
      <c r="D203" s="97"/>
      <c r="E203" s="97"/>
      <c r="F203" s="130">
        <v>1310</v>
      </c>
    </row>
    <row r="204" spans="1:6" s="119" customFormat="1" ht="14.25" customHeight="1">
      <c r="A204" s="93" t="s">
        <v>278</v>
      </c>
      <c r="B204" s="97" t="s">
        <v>2597</v>
      </c>
      <c r="C204" s="97"/>
      <c r="D204" s="97"/>
      <c r="E204" s="97"/>
      <c r="F204" s="130">
        <v>1080</v>
      </c>
    </row>
    <row r="205" spans="1:6" s="119" customFormat="1" ht="14.25" customHeight="1">
      <c r="A205" s="93" t="s">
        <v>278</v>
      </c>
      <c r="B205" s="97" t="s">
        <v>2599</v>
      </c>
      <c r="C205" s="97"/>
      <c r="D205" s="97"/>
      <c r="E205" s="97"/>
      <c r="F205" s="130">
        <v>1080</v>
      </c>
    </row>
    <row r="206" spans="1:6" s="119" customFormat="1" ht="14.25" customHeight="1">
      <c r="A206" s="93" t="s">
        <v>283</v>
      </c>
      <c r="B206" s="94" t="s">
        <v>2265</v>
      </c>
      <c r="C206" s="94">
        <v>5450</v>
      </c>
      <c r="D206" s="94">
        <v>5430</v>
      </c>
      <c r="E206" s="94">
        <v>5700</v>
      </c>
      <c r="F206" s="127">
        <v>1020</v>
      </c>
    </row>
    <row r="207" spans="1:6" s="119" customFormat="1" ht="14.25" customHeight="1">
      <c r="A207" s="93" t="s">
        <v>283</v>
      </c>
      <c r="B207" s="97" t="s">
        <v>2278</v>
      </c>
      <c r="C207" s="97">
        <v>5860</v>
      </c>
      <c r="D207" s="97">
        <v>5820</v>
      </c>
      <c r="E207" s="97">
        <v>6050</v>
      </c>
      <c r="F207" s="130">
        <v>1080</v>
      </c>
    </row>
    <row r="208" spans="1:6" s="119" customFormat="1" ht="14.25" customHeight="1">
      <c r="A208" s="93" t="s">
        <v>283</v>
      </c>
      <c r="B208" s="97" t="s">
        <v>2292</v>
      </c>
      <c r="C208" s="97">
        <v>4630</v>
      </c>
      <c r="D208" s="97">
        <v>4600</v>
      </c>
      <c r="E208" s="97">
        <v>4840</v>
      </c>
      <c r="F208" s="130">
        <v>900</v>
      </c>
    </row>
    <row r="209" spans="1:6" s="119" customFormat="1" ht="14.25" customHeight="1">
      <c r="A209" s="93" t="s">
        <v>283</v>
      </c>
      <c r="B209" s="97" t="s">
        <v>2304</v>
      </c>
      <c r="C209" s="97">
        <v>5320</v>
      </c>
      <c r="D209" s="97">
        <v>5270</v>
      </c>
      <c r="E209" s="97">
        <v>5540</v>
      </c>
      <c r="F209" s="130">
        <v>980</v>
      </c>
    </row>
    <row r="210" spans="1:6" s="119" customFormat="1" ht="14.25" customHeight="1">
      <c r="A210" s="93" t="s">
        <v>283</v>
      </c>
      <c r="B210" s="97" t="s">
        <v>2316</v>
      </c>
      <c r="C210" s="97">
        <v>5760</v>
      </c>
      <c r="D210" s="97">
        <v>5710</v>
      </c>
      <c r="E210" s="97">
        <v>6010</v>
      </c>
      <c r="F210" s="130">
        <v>870</v>
      </c>
    </row>
    <row r="211" spans="1:6" s="119" customFormat="1" ht="14.25" customHeight="1">
      <c r="A211" s="93" t="s">
        <v>283</v>
      </c>
      <c r="B211" s="97" t="s">
        <v>2327</v>
      </c>
      <c r="C211" s="97">
        <v>4160</v>
      </c>
      <c r="D211" s="97">
        <v>4100</v>
      </c>
      <c r="E211" s="97">
        <v>4270</v>
      </c>
      <c r="F211" s="130">
        <v>790</v>
      </c>
    </row>
    <row r="212" spans="1:6" s="119" customFormat="1" ht="14.25" customHeight="1">
      <c r="A212" s="93" t="s">
        <v>283</v>
      </c>
      <c r="B212" s="97" t="s">
        <v>2338</v>
      </c>
      <c r="C212" s="97">
        <v>4880</v>
      </c>
      <c r="D212" s="97">
        <v>4850</v>
      </c>
      <c r="E212" s="97">
        <v>5110</v>
      </c>
      <c r="F212" s="130">
        <v>940</v>
      </c>
    </row>
    <row r="213" spans="1:6" s="119" customFormat="1" ht="14.25" customHeight="1">
      <c r="A213" s="93" t="s">
        <v>283</v>
      </c>
      <c r="B213" s="97" t="s">
        <v>2349</v>
      </c>
      <c r="C213" s="97">
        <v>4640</v>
      </c>
      <c r="D213" s="97">
        <v>4590</v>
      </c>
      <c r="E213" s="97">
        <v>4700</v>
      </c>
      <c r="F213" s="130">
        <v>1030</v>
      </c>
    </row>
    <row r="214" spans="1:6" s="119" customFormat="1" ht="14.25" customHeight="1">
      <c r="A214" s="93" t="s">
        <v>283</v>
      </c>
      <c r="B214" s="97" t="s">
        <v>2359</v>
      </c>
      <c r="C214" s="97">
        <v>4540</v>
      </c>
      <c r="D214" s="97">
        <v>4490</v>
      </c>
      <c r="E214" s="97">
        <v>4610</v>
      </c>
      <c r="F214" s="133"/>
    </row>
    <row r="215" spans="1:6" s="119" customFormat="1" ht="14.25" customHeight="1">
      <c r="A215" s="93" t="s">
        <v>283</v>
      </c>
      <c r="B215" s="97" t="s">
        <v>2369</v>
      </c>
      <c r="C215" s="97">
        <v>5280</v>
      </c>
      <c r="D215" s="97">
        <v>5250</v>
      </c>
      <c r="E215" s="97">
        <v>5520</v>
      </c>
      <c r="F215" s="130">
        <v>1000</v>
      </c>
    </row>
    <row r="216" spans="1:6" s="119" customFormat="1" ht="14.25" customHeight="1">
      <c r="A216" s="93" t="s">
        <v>283</v>
      </c>
      <c r="B216" s="97" t="s">
        <v>2379</v>
      </c>
      <c r="C216" s="97">
        <v>5100</v>
      </c>
      <c r="D216" s="97">
        <v>5050</v>
      </c>
      <c r="E216" s="97">
        <v>5300</v>
      </c>
      <c r="F216" s="130">
        <v>950</v>
      </c>
    </row>
    <row r="217" spans="1:6" s="119" customFormat="1" ht="14.25" customHeight="1">
      <c r="A217" s="93" t="s">
        <v>283</v>
      </c>
      <c r="B217" s="97" t="s">
        <v>2389</v>
      </c>
      <c r="C217" s="97">
        <v>5370</v>
      </c>
      <c r="D217" s="97">
        <v>5320</v>
      </c>
      <c r="E217" s="97">
        <v>5410</v>
      </c>
      <c r="F217" s="130">
        <v>950</v>
      </c>
    </row>
    <row r="218" spans="1:6" s="119" customFormat="1" ht="14.25" customHeight="1">
      <c r="A218" s="93" t="s">
        <v>283</v>
      </c>
      <c r="B218" s="97" t="s">
        <v>2399</v>
      </c>
      <c r="C218" s="97">
        <v>5540</v>
      </c>
      <c r="D218" s="97">
        <v>5480</v>
      </c>
      <c r="E218" s="97">
        <v>5740</v>
      </c>
      <c r="F218" s="130">
        <v>1020</v>
      </c>
    </row>
    <row r="219" spans="1:6" s="119" customFormat="1" ht="14.25" customHeight="1">
      <c r="A219" s="93" t="s">
        <v>283</v>
      </c>
      <c r="B219" s="97" t="s">
        <v>2409</v>
      </c>
      <c r="C219" s="97">
        <v>5140</v>
      </c>
      <c r="D219" s="97">
        <v>5100</v>
      </c>
      <c r="E219" s="97">
        <v>5350</v>
      </c>
      <c r="F219" s="130">
        <v>1120</v>
      </c>
    </row>
    <row r="220" spans="1:6" s="119" customFormat="1" ht="14.25" customHeight="1">
      <c r="A220" s="93" t="s">
        <v>283</v>
      </c>
      <c r="B220" s="97" t="s">
        <v>2419</v>
      </c>
      <c r="C220" s="97">
        <v>5040</v>
      </c>
      <c r="D220" s="97">
        <v>5000</v>
      </c>
      <c r="E220" s="97">
        <v>5240</v>
      </c>
      <c r="F220" s="130">
        <v>980</v>
      </c>
    </row>
    <row r="221" spans="1:6" s="119" customFormat="1" ht="14.25" customHeight="1">
      <c r="A221" s="93" t="s">
        <v>283</v>
      </c>
      <c r="B221" s="97" t="s">
        <v>2429</v>
      </c>
      <c r="C221" s="136"/>
      <c r="D221" s="136"/>
      <c r="E221" s="136"/>
      <c r="F221" s="130">
        <v>1070</v>
      </c>
    </row>
    <row r="222" spans="1:6" s="119" customFormat="1" ht="14.25" customHeight="1">
      <c r="A222" s="93" t="s">
        <v>283</v>
      </c>
      <c r="B222" s="97" t="s">
        <v>2439</v>
      </c>
      <c r="C222" s="136"/>
      <c r="D222" s="136"/>
      <c r="E222" s="136"/>
      <c r="F222" s="130">
        <v>870</v>
      </c>
    </row>
    <row r="223" spans="1:6" s="119" customFormat="1" ht="14.25" customHeight="1">
      <c r="A223" s="93" t="s">
        <v>283</v>
      </c>
      <c r="B223" s="97" t="s">
        <v>2449</v>
      </c>
      <c r="C223" s="136"/>
      <c r="D223" s="136"/>
      <c r="E223" s="136"/>
      <c r="F223" s="130">
        <v>940</v>
      </c>
    </row>
    <row r="224" spans="1:6" s="119" customFormat="1" ht="14.25" customHeight="1">
      <c r="A224" s="93" t="s">
        <v>283</v>
      </c>
      <c r="B224" s="97" t="s">
        <v>2459</v>
      </c>
      <c r="C224" s="136"/>
      <c r="D224" s="136"/>
      <c r="E224" s="136"/>
      <c r="F224" s="130">
        <v>990</v>
      </c>
    </row>
    <row r="225" spans="1:6" s="119" customFormat="1" ht="14.25" customHeight="1">
      <c r="A225" s="93" t="s">
        <v>283</v>
      </c>
      <c r="B225" s="97" t="s">
        <v>2468</v>
      </c>
      <c r="C225" s="97">
        <v>5730</v>
      </c>
      <c r="D225" s="97">
        <v>5680</v>
      </c>
      <c r="E225" s="97">
        <v>6020</v>
      </c>
      <c r="F225" s="130">
        <v>1000</v>
      </c>
    </row>
    <row r="226" spans="1:6" s="119" customFormat="1" ht="14.25" customHeight="1">
      <c r="A226" s="93" t="s">
        <v>283</v>
      </c>
      <c r="B226" s="97" t="s">
        <v>2476</v>
      </c>
      <c r="C226" s="97">
        <v>4970</v>
      </c>
      <c r="D226" s="97">
        <v>4940</v>
      </c>
      <c r="E226" s="97">
        <v>5180</v>
      </c>
      <c r="F226" s="130">
        <v>960</v>
      </c>
    </row>
    <row r="227" spans="1:6" s="119" customFormat="1" ht="14.25" customHeight="1">
      <c r="A227" s="93" t="s">
        <v>283</v>
      </c>
      <c r="B227" s="97" t="s">
        <v>2484</v>
      </c>
      <c r="C227" s="97">
        <v>5550</v>
      </c>
      <c r="D227" s="97">
        <v>5500</v>
      </c>
      <c r="E227" s="97">
        <v>5780</v>
      </c>
      <c r="F227" s="130">
        <v>940</v>
      </c>
    </row>
    <row r="228" spans="1:6" s="119" customFormat="1" ht="14.25" customHeight="1">
      <c r="A228" s="93" t="s">
        <v>283</v>
      </c>
      <c r="B228" s="97" t="s">
        <v>2491</v>
      </c>
      <c r="C228" s="97">
        <v>5460</v>
      </c>
      <c r="D228" s="97">
        <v>5420</v>
      </c>
      <c r="E228" s="97">
        <v>5690</v>
      </c>
      <c r="F228" s="130">
        <v>910</v>
      </c>
    </row>
    <row r="229" spans="1:6" s="119" customFormat="1" ht="14.25" customHeight="1">
      <c r="A229" s="93" t="s">
        <v>283</v>
      </c>
      <c r="B229" s="97" t="s">
        <v>2498</v>
      </c>
      <c r="C229" s="97">
        <v>5310</v>
      </c>
      <c r="D229" s="97">
        <v>5270</v>
      </c>
      <c r="E229" s="97">
        <v>5510</v>
      </c>
      <c r="F229" s="133"/>
    </row>
    <row r="230" spans="1:6" s="119" customFormat="1" ht="14.25" customHeight="1">
      <c r="A230" s="93" t="s">
        <v>283</v>
      </c>
      <c r="B230" s="97" t="s">
        <v>2505</v>
      </c>
      <c r="C230" s="97">
        <v>4540</v>
      </c>
      <c r="D230" s="97">
        <v>4500</v>
      </c>
      <c r="E230" s="97">
        <v>4730</v>
      </c>
      <c r="F230" s="133"/>
    </row>
    <row r="231" spans="1:6" s="119" customFormat="1" ht="14.25" customHeight="1">
      <c r="A231" s="93" t="s">
        <v>283</v>
      </c>
      <c r="B231" s="97" t="s">
        <v>2512</v>
      </c>
      <c r="C231" s="97">
        <v>4480</v>
      </c>
      <c r="D231" s="97">
        <v>4410</v>
      </c>
      <c r="E231" s="97">
        <v>4640</v>
      </c>
      <c r="F231" s="133"/>
    </row>
    <row r="232" spans="1:6" s="119" customFormat="1" ht="14.25" customHeight="1">
      <c r="A232" s="93" t="s">
        <v>283</v>
      </c>
      <c r="B232" s="97" t="s">
        <v>2519</v>
      </c>
      <c r="C232" s="97">
        <v>5670</v>
      </c>
      <c r="D232" s="97">
        <v>5600</v>
      </c>
      <c r="E232" s="97">
        <v>5890</v>
      </c>
      <c r="F232" s="130">
        <v>1150</v>
      </c>
    </row>
    <row r="233" spans="1:6" s="119" customFormat="1" ht="14.25" customHeight="1">
      <c r="A233" s="93" t="s">
        <v>283</v>
      </c>
      <c r="B233" s="97" t="s">
        <v>2524</v>
      </c>
      <c r="C233" s="97">
        <v>4590</v>
      </c>
      <c r="D233" s="97">
        <v>4500</v>
      </c>
      <c r="E233" s="97">
        <v>4600</v>
      </c>
      <c r="F233" s="133"/>
    </row>
    <row r="234" spans="1:6" s="119" customFormat="1" ht="14.25" customHeight="1">
      <c r="A234" s="93" t="s">
        <v>283</v>
      </c>
      <c r="B234" s="97" t="s">
        <v>2529</v>
      </c>
      <c r="C234" s="97">
        <v>3990</v>
      </c>
      <c r="D234" s="97">
        <v>3950</v>
      </c>
      <c r="E234" s="97">
        <v>4180</v>
      </c>
      <c r="F234" s="133"/>
    </row>
    <row r="235" spans="1:6" s="119" customFormat="1" ht="14.25" customHeight="1">
      <c r="A235" s="93" t="s">
        <v>283</v>
      </c>
      <c r="B235" s="97" t="s">
        <v>2534</v>
      </c>
      <c r="C235" s="97">
        <v>5590</v>
      </c>
      <c r="D235" s="97">
        <v>5540</v>
      </c>
      <c r="E235" s="97">
        <v>5810</v>
      </c>
      <c r="F235" s="130">
        <v>970</v>
      </c>
    </row>
    <row r="236" spans="1:6" s="119" customFormat="1" ht="14.25" customHeight="1">
      <c r="A236" s="93" t="s">
        <v>283</v>
      </c>
      <c r="B236" s="97" t="s">
        <v>2539</v>
      </c>
      <c r="C236" s="97"/>
      <c r="D236" s="97"/>
      <c r="E236" s="97"/>
      <c r="F236" s="130">
        <v>1020</v>
      </c>
    </row>
    <row r="237" spans="1:6" s="119" customFormat="1" ht="14.25" customHeight="1">
      <c r="A237" s="93" t="s">
        <v>283</v>
      </c>
      <c r="B237" s="97" t="s">
        <v>2544</v>
      </c>
      <c r="C237" s="97"/>
      <c r="D237" s="97"/>
      <c r="E237" s="97"/>
      <c r="F237" s="130">
        <v>960</v>
      </c>
    </row>
    <row r="238" spans="1:6" s="119" customFormat="1" ht="14.25" customHeight="1">
      <c r="A238" s="93" t="s">
        <v>283</v>
      </c>
      <c r="B238" s="97" t="s">
        <v>2549</v>
      </c>
      <c r="C238" s="97"/>
      <c r="D238" s="97"/>
      <c r="E238" s="97"/>
      <c r="F238" s="130">
        <v>960</v>
      </c>
    </row>
    <row r="239" spans="1:6" s="119" customFormat="1" ht="14.25" customHeight="1">
      <c r="A239" s="93" t="s">
        <v>283</v>
      </c>
      <c r="B239" s="97" t="s">
        <v>2554</v>
      </c>
      <c r="C239" s="97"/>
      <c r="D239" s="97"/>
      <c r="E239" s="97"/>
      <c r="F239" s="130">
        <v>960</v>
      </c>
    </row>
    <row r="240" spans="1:6" s="119" customFormat="1" ht="14.25" customHeight="1">
      <c r="A240" s="93" t="s">
        <v>283</v>
      </c>
      <c r="B240" s="97" t="s">
        <v>2558</v>
      </c>
      <c r="C240" s="97"/>
      <c r="D240" s="97"/>
      <c r="E240" s="97"/>
      <c r="F240" s="130">
        <v>990</v>
      </c>
    </row>
    <row r="241" spans="1:6" s="119" customFormat="1" ht="14.25" customHeight="1">
      <c r="A241" s="93" t="s">
        <v>283</v>
      </c>
      <c r="B241" s="97" t="s">
        <v>2562</v>
      </c>
      <c r="C241" s="97"/>
      <c r="D241" s="97"/>
      <c r="E241" s="97"/>
      <c r="F241" s="130">
        <v>1000</v>
      </c>
    </row>
    <row r="242" spans="1:6" s="119" customFormat="1" ht="14.25" customHeight="1">
      <c r="A242" s="93" t="s">
        <v>283</v>
      </c>
      <c r="B242" s="97" t="s">
        <v>2566</v>
      </c>
      <c r="C242" s="97"/>
      <c r="D242" s="97"/>
      <c r="E242" s="97"/>
      <c r="F242" s="130">
        <v>980</v>
      </c>
    </row>
    <row r="243" spans="1:6" s="119" customFormat="1" ht="14.25" customHeight="1">
      <c r="A243" s="93" t="s">
        <v>283</v>
      </c>
      <c r="B243" s="97" t="s">
        <v>2570</v>
      </c>
      <c r="C243" s="97"/>
      <c r="D243" s="97"/>
      <c r="E243" s="97"/>
      <c r="F243" s="130">
        <v>970</v>
      </c>
    </row>
    <row r="244" spans="1:6" s="119" customFormat="1" ht="14.25" customHeight="1">
      <c r="A244" s="93" t="s">
        <v>283</v>
      </c>
      <c r="B244" s="108" t="s">
        <v>2574</v>
      </c>
      <c r="C244" s="108"/>
      <c r="D244" s="108"/>
      <c r="E244" s="108"/>
      <c r="F244" s="132">
        <v>970</v>
      </c>
    </row>
    <row r="245" spans="1:6" s="119" customFormat="1" ht="14.25" customHeight="1">
      <c r="A245" s="93" t="s">
        <v>286</v>
      </c>
      <c r="B245" s="94" t="s">
        <v>2266</v>
      </c>
      <c r="C245" s="94">
        <v>4050</v>
      </c>
      <c r="D245" s="94">
        <v>4020</v>
      </c>
      <c r="E245" s="94">
        <v>4160</v>
      </c>
      <c r="F245" s="127">
        <v>840</v>
      </c>
    </row>
    <row r="246" spans="1:6" s="119" customFormat="1" ht="14.25" customHeight="1">
      <c r="A246" s="93" t="s">
        <v>286</v>
      </c>
      <c r="B246" s="97" t="s">
        <v>2279</v>
      </c>
      <c r="C246" s="97">
        <v>4010</v>
      </c>
      <c r="D246" s="97">
        <v>3960</v>
      </c>
      <c r="E246" s="97">
        <v>4130</v>
      </c>
      <c r="F246" s="130">
        <v>840</v>
      </c>
    </row>
    <row r="247" spans="1:6" s="119" customFormat="1" ht="14.25" customHeight="1">
      <c r="A247" s="93" t="s">
        <v>286</v>
      </c>
      <c r="B247" s="97" t="s">
        <v>2293</v>
      </c>
      <c r="C247" s="97">
        <v>3170</v>
      </c>
      <c r="D247" s="97">
        <v>3140</v>
      </c>
      <c r="E247" s="97">
        <v>3270</v>
      </c>
      <c r="F247" s="130">
        <v>640</v>
      </c>
    </row>
    <row r="248" spans="1:6" s="119" customFormat="1" ht="14.25" customHeight="1">
      <c r="A248" s="93" t="s">
        <v>286</v>
      </c>
      <c r="B248" s="97" t="s">
        <v>2305</v>
      </c>
      <c r="C248" s="97">
        <v>3140</v>
      </c>
      <c r="D248" s="97">
        <v>3120</v>
      </c>
      <c r="E248" s="97">
        <v>3240</v>
      </c>
      <c r="F248" s="130">
        <v>620</v>
      </c>
    </row>
    <row r="249" spans="1:6" s="119" customFormat="1" ht="14.25" customHeight="1">
      <c r="A249" s="93" t="s">
        <v>286</v>
      </c>
      <c r="B249" s="97" t="s">
        <v>2317</v>
      </c>
      <c r="C249" s="97">
        <v>3200</v>
      </c>
      <c r="D249" s="97">
        <v>3100</v>
      </c>
      <c r="E249" s="97">
        <v>3230</v>
      </c>
      <c r="F249" s="130">
        <v>750</v>
      </c>
    </row>
    <row r="250" spans="1:6" s="119" customFormat="1" ht="14.25" customHeight="1">
      <c r="A250" s="93" t="s">
        <v>286</v>
      </c>
      <c r="B250" s="97" t="s">
        <v>2328</v>
      </c>
      <c r="C250" s="97">
        <v>4060</v>
      </c>
      <c r="D250" s="97">
        <v>4000</v>
      </c>
      <c r="E250" s="97">
        <v>4140</v>
      </c>
      <c r="F250" s="130">
        <v>790</v>
      </c>
    </row>
    <row r="251" spans="1:6" s="119" customFormat="1" ht="14.25" customHeight="1">
      <c r="A251" s="93" t="s">
        <v>286</v>
      </c>
      <c r="B251" s="97" t="s">
        <v>2339</v>
      </c>
      <c r="C251" s="97">
        <v>3990</v>
      </c>
      <c r="D251" s="97">
        <v>3970</v>
      </c>
      <c r="E251" s="97">
        <v>4110</v>
      </c>
      <c r="F251" s="130">
        <v>730</v>
      </c>
    </row>
    <row r="252" spans="1:6" s="119" customFormat="1" ht="14.25" customHeight="1">
      <c r="A252" s="93" t="s">
        <v>286</v>
      </c>
      <c r="B252" s="97" t="s">
        <v>2350</v>
      </c>
      <c r="C252" s="97">
        <v>3560</v>
      </c>
      <c r="D252" s="97">
        <v>3530</v>
      </c>
      <c r="E252" s="97">
        <v>3650</v>
      </c>
      <c r="F252" s="130">
        <v>750</v>
      </c>
    </row>
    <row r="253" spans="1:6" s="119" customFormat="1" ht="14.25" customHeight="1">
      <c r="A253" s="93" t="s">
        <v>286</v>
      </c>
      <c r="B253" s="97" t="s">
        <v>2360</v>
      </c>
      <c r="C253" s="97">
        <v>3780</v>
      </c>
      <c r="D253" s="97">
        <v>3750</v>
      </c>
      <c r="E253" s="97">
        <v>3870</v>
      </c>
      <c r="F253" s="130">
        <v>770</v>
      </c>
    </row>
    <row r="254" spans="1:6" s="119" customFormat="1" ht="14.25" customHeight="1">
      <c r="A254" s="93" t="s">
        <v>286</v>
      </c>
      <c r="B254" s="97" t="s">
        <v>2370</v>
      </c>
      <c r="C254" s="136"/>
      <c r="D254" s="136"/>
      <c r="E254" s="136"/>
      <c r="F254" s="130">
        <v>740</v>
      </c>
    </row>
    <row r="255" spans="1:6" s="119" customFormat="1" ht="14.25" customHeight="1">
      <c r="A255" s="93" t="s">
        <v>286</v>
      </c>
      <c r="B255" s="97" t="s">
        <v>2380</v>
      </c>
      <c r="C255" s="136"/>
      <c r="D255" s="136"/>
      <c r="E255" s="136"/>
      <c r="F255" s="130">
        <v>760</v>
      </c>
    </row>
    <row r="256" spans="1:6" s="119" customFormat="1" ht="14.25" customHeight="1">
      <c r="A256" s="93" t="s">
        <v>286</v>
      </c>
      <c r="B256" s="97" t="s">
        <v>2390</v>
      </c>
      <c r="C256" s="97">
        <v>3760</v>
      </c>
      <c r="D256" s="97">
        <v>3730</v>
      </c>
      <c r="E256" s="97">
        <v>3870</v>
      </c>
      <c r="F256" s="130">
        <v>830</v>
      </c>
    </row>
    <row r="257" spans="1:6" s="119" customFormat="1" ht="14.25" customHeight="1">
      <c r="A257" s="93" t="s">
        <v>286</v>
      </c>
      <c r="B257" s="97" t="s">
        <v>2400</v>
      </c>
      <c r="C257" s="97">
        <v>3570</v>
      </c>
      <c r="D257" s="97">
        <v>3540</v>
      </c>
      <c r="E257" s="97">
        <v>3650</v>
      </c>
      <c r="F257" s="130">
        <v>790</v>
      </c>
    </row>
    <row r="258" spans="1:6" s="119" customFormat="1" ht="14.25" customHeight="1">
      <c r="A258" s="93" t="s">
        <v>286</v>
      </c>
      <c r="B258" s="97" t="s">
        <v>2410</v>
      </c>
      <c r="C258" s="97">
        <v>3410</v>
      </c>
      <c r="D258" s="97">
        <v>3380</v>
      </c>
      <c r="E258" s="97">
        <v>3500</v>
      </c>
      <c r="F258" s="130">
        <v>830</v>
      </c>
    </row>
    <row r="259" spans="1:6" s="119" customFormat="1" ht="14.25" customHeight="1">
      <c r="A259" s="93" t="s">
        <v>286</v>
      </c>
      <c r="B259" s="97" t="s">
        <v>2420</v>
      </c>
      <c r="C259" s="97">
        <v>3870</v>
      </c>
      <c r="D259" s="97">
        <v>3840</v>
      </c>
      <c r="E259" s="97">
        <v>3970</v>
      </c>
      <c r="F259" s="130">
        <v>830</v>
      </c>
    </row>
    <row r="260" spans="1:6" s="119" customFormat="1" ht="14.25" customHeight="1">
      <c r="A260" s="93" t="s">
        <v>286</v>
      </c>
      <c r="B260" s="97" t="s">
        <v>2430</v>
      </c>
      <c r="C260" s="97">
        <v>3700</v>
      </c>
      <c r="D260" s="97">
        <v>3660</v>
      </c>
      <c r="E260" s="97">
        <v>3810</v>
      </c>
      <c r="F260" s="130">
        <v>790</v>
      </c>
    </row>
    <row r="261" spans="1:6" s="119" customFormat="1" ht="14.25" customHeight="1">
      <c r="A261" s="93" t="s">
        <v>286</v>
      </c>
      <c r="B261" s="97" t="s">
        <v>2440</v>
      </c>
      <c r="C261" s="97">
        <v>3470</v>
      </c>
      <c r="D261" s="97">
        <v>3430</v>
      </c>
      <c r="E261" s="97">
        <v>3640</v>
      </c>
      <c r="F261" s="130">
        <v>760</v>
      </c>
    </row>
    <row r="262" spans="1:6" s="119" customFormat="1" ht="14.25" customHeight="1">
      <c r="A262" s="93" t="s">
        <v>286</v>
      </c>
      <c r="B262" s="97" t="s">
        <v>2450</v>
      </c>
      <c r="C262" s="97">
        <v>3510</v>
      </c>
      <c r="D262" s="97">
        <v>3470</v>
      </c>
      <c r="E262" s="97">
        <v>3680</v>
      </c>
      <c r="F262" s="133"/>
    </row>
    <row r="263" spans="1:6" s="119" customFormat="1" ht="14.25" customHeight="1">
      <c r="A263" s="93" t="s">
        <v>286</v>
      </c>
      <c r="B263" s="97" t="s">
        <v>2460</v>
      </c>
      <c r="C263" s="97">
        <v>3960</v>
      </c>
      <c r="D263" s="97">
        <v>3930</v>
      </c>
      <c r="E263" s="97">
        <v>4070</v>
      </c>
      <c r="F263" s="130">
        <v>830</v>
      </c>
    </row>
    <row r="264" spans="1:6" s="119" customFormat="1" ht="14.25" customHeight="1">
      <c r="A264" s="93" t="s">
        <v>286</v>
      </c>
      <c r="B264" s="97" t="s">
        <v>2469</v>
      </c>
      <c r="C264" s="97">
        <v>4010</v>
      </c>
      <c r="D264" s="97">
        <v>3980</v>
      </c>
      <c r="E264" s="97">
        <v>4150</v>
      </c>
      <c r="F264" s="130">
        <v>760</v>
      </c>
    </row>
    <row r="265" spans="1:6" s="119" customFormat="1" ht="14.25" customHeight="1">
      <c r="A265" s="93" t="s">
        <v>286</v>
      </c>
      <c r="B265" s="97" t="s">
        <v>2477</v>
      </c>
      <c r="C265" s="97">
        <v>3910</v>
      </c>
      <c r="D265" s="97">
        <v>3890</v>
      </c>
      <c r="E265" s="97">
        <v>4040</v>
      </c>
      <c r="F265" s="130">
        <v>780</v>
      </c>
    </row>
    <row r="266" spans="1:6" s="119" customFormat="1" ht="14.25" customHeight="1">
      <c r="A266" s="93" t="s">
        <v>286</v>
      </c>
      <c r="B266" s="97" t="s">
        <v>2485</v>
      </c>
      <c r="C266" s="97">
        <v>3930</v>
      </c>
      <c r="D266" s="97">
        <v>3900</v>
      </c>
      <c r="E266" s="97">
        <v>4080</v>
      </c>
      <c r="F266" s="130">
        <v>770</v>
      </c>
    </row>
    <row r="267" spans="1:6" s="119" customFormat="1" ht="14.25" customHeight="1">
      <c r="A267" s="93" t="s">
        <v>286</v>
      </c>
      <c r="B267" s="97" t="s">
        <v>2492</v>
      </c>
      <c r="C267" s="97">
        <v>3800</v>
      </c>
      <c r="D267" s="97">
        <v>3780</v>
      </c>
      <c r="E267" s="97">
        <v>3930</v>
      </c>
      <c r="F267" s="133"/>
    </row>
    <row r="268" spans="1:6" s="119" customFormat="1" ht="14.25" customHeight="1">
      <c r="A268" s="93" t="s">
        <v>286</v>
      </c>
      <c r="B268" s="97" t="s">
        <v>2499</v>
      </c>
      <c r="C268" s="97">
        <v>3460</v>
      </c>
      <c r="D268" s="97">
        <v>3430</v>
      </c>
      <c r="E268" s="97">
        <v>3560</v>
      </c>
      <c r="F268" s="130">
        <v>840</v>
      </c>
    </row>
    <row r="269" spans="1:6" s="119" customFormat="1" ht="14.25" customHeight="1">
      <c r="A269" s="93" t="s">
        <v>286</v>
      </c>
      <c r="B269" s="97" t="s">
        <v>2506</v>
      </c>
      <c r="C269" s="97">
        <v>3210</v>
      </c>
      <c r="D269" s="97">
        <v>3190</v>
      </c>
      <c r="E269" s="97">
        <v>3310</v>
      </c>
      <c r="F269" s="130">
        <v>730</v>
      </c>
    </row>
    <row r="270" spans="1:6" s="119" customFormat="1" ht="14.25" customHeight="1">
      <c r="A270" s="93" t="s">
        <v>286</v>
      </c>
      <c r="B270" s="97" t="s">
        <v>2513</v>
      </c>
      <c r="C270" s="97">
        <v>3240</v>
      </c>
      <c r="D270" s="97">
        <v>3210</v>
      </c>
      <c r="E270" s="97">
        <v>3390</v>
      </c>
      <c r="F270" s="130">
        <v>820</v>
      </c>
    </row>
    <row r="271" spans="1:6" s="119" customFormat="1" ht="14.25" customHeight="1">
      <c r="A271" s="93" t="s">
        <v>286</v>
      </c>
      <c r="B271" s="97" t="s">
        <v>2520</v>
      </c>
      <c r="C271" s="97">
        <v>3300</v>
      </c>
      <c r="D271" s="97">
        <v>3270</v>
      </c>
      <c r="E271" s="97">
        <v>3380</v>
      </c>
      <c r="F271" s="130">
        <v>750</v>
      </c>
    </row>
    <row r="272" spans="1:6" s="119" customFormat="1" ht="14.25" customHeight="1">
      <c r="A272" s="93" t="s">
        <v>286</v>
      </c>
      <c r="B272" s="97" t="s">
        <v>2525</v>
      </c>
      <c r="C272" s="136"/>
      <c r="D272" s="136"/>
      <c r="E272" s="136"/>
      <c r="F272" s="130">
        <v>740</v>
      </c>
    </row>
    <row r="273" spans="1:6" s="119" customFormat="1" ht="14.25" customHeight="1">
      <c r="A273" s="93" t="s">
        <v>286</v>
      </c>
      <c r="B273" s="97" t="s">
        <v>2530</v>
      </c>
      <c r="C273" s="97">
        <v>3130</v>
      </c>
      <c r="D273" s="97">
        <v>3100</v>
      </c>
      <c r="E273" s="97">
        <v>3230</v>
      </c>
      <c r="F273" s="130">
        <v>700</v>
      </c>
    </row>
    <row r="274" spans="1:6" s="119" customFormat="1" ht="14.25" customHeight="1">
      <c r="A274" s="93" t="s">
        <v>286</v>
      </c>
      <c r="B274" s="97" t="s">
        <v>2535</v>
      </c>
      <c r="C274" s="97">
        <v>3460</v>
      </c>
      <c r="D274" s="97">
        <v>3430</v>
      </c>
      <c r="E274" s="97">
        <v>3560</v>
      </c>
      <c r="F274" s="130">
        <v>690</v>
      </c>
    </row>
    <row r="275" spans="1:6" s="119" customFormat="1" ht="14.25" customHeight="1">
      <c r="A275" s="93" t="s">
        <v>286</v>
      </c>
      <c r="B275" s="97" t="s">
        <v>2540</v>
      </c>
      <c r="C275" s="97">
        <v>4040</v>
      </c>
      <c r="D275" s="97">
        <v>4020</v>
      </c>
      <c r="E275" s="97">
        <v>4160</v>
      </c>
      <c r="F275" s="130">
        <v>820</v>
      </c>
    </row>
    <row r="276" spans="1:6" s="119" customFormat="1" ht="14.25" customHeight="1">
      <c r="A276" s="93" t="s">
        <v>286</v>
      </c>
      <c r="B276" s="97" t="s">
        <v>2545</v>
      </c>
      <c r="C276" s="97">
        <v>3270</v>
      </c>
      <c r="D276" s="97">
        <v>3240</v>
      </c>
      <c r="E276" s="97">
        <v>3350</v>
      </c>
      <c r="F276" s="130">
        <v>680</v>
      </c>
    </row>
    <row r="277" spans="1:6" s="119" customFormat="1" ht="14.25" customHeight="1">
      <c r="A277" s="93" t="s">
        <v>286</v>
      </c>
      <c r="B277" s="97" t="s">
        <v>2550</v>
      </c>
      <c r="C277" s="97">
        <v>2930</v>
      </c>
      <c r="D277" s="97">
        <v>2900</v>
      </c>
      <c r="E277" s="97">
        <v>3000</v>
      </c>
      <c r="F277" s="130">
        <v>640</v>
      </c>
    </row>
    <row r="278" spans="1:6" s="119" customFormat="1" ht="14.25" customHeight="1">
      <c r="A278" s="93" t="s">
        <v>286</v>
      </c>
      <c r="B278" s="97" t="s">
        <v>2555</v>
      </c>
      <c r="C278" s="97">
        <v>4080</v>
      </c>
      <c r="D278" s="97">
        <v>4030</v>
      </c>
      <c r="E278" s="97">
        <v>4140</v>
      </c>
      <c r="F278" s="130">
        <v>850</v>
      </c>
    </row>
    <row r="279" spans="1:6" s="119" customFormat="1" ht="14.25" customHeight="1">
      <c r="A279" s="93" t="s">
        <v>286</v>
      </c>
      <c r="B279" s="97" t="s">
        <v>2559</v>
      </c>
      <c r="C279" s="97"/>
      <c r="D279" s="97"/>
      <c r="E279" s="97"/>
      <c r="F279" s="130">
        <v>760</v>
      </c>
    </row>
    <row r="280" spans="1:6" s="119" customFormat="1" ht="14.25" customHeight="1">
      <c r="A280" s="93" t="s">
        <v>286</v>
      </c>
      <c r="B280" s="97" t="s">
        <v>2563</v>
      </c>
      <c r="C280" s="97"/>
      <c r="D280" s="97"/>
      <c r="E280" s="97"/>
      <c r="F280" s="130">
        <v>760</v>
      </c>
    </row>
    <row r="281" spans="1:6" s="119" customFormat="1" ht="14.25" customHeight="1">
      <c r="A281" s="93" t="s">
        <v>286</v>
      </c>
      <c r="B281" s="97" t="s">
        <v>2567</v>
      </c>
      <c r="C281" s="97"/>
      <c r="D281" s="97"/>
      <c r="E281" s="97"/>
      <c r="F281" s="130">
        <v>780</v>
      </c>
    </row>
    <row r="282" spans="1:6" s="119" customFormat="1" ht="14.25" customHeight="1">
      <c r="A282" s="93" t="s">
        <v>286</v>
      </c>
      <c r="B282" s="97" t="s">
        <v>2571</v>
      </c>
      <c r="C282" s="97"/>
      <c r="D282" s="97"/>
      <c r="E282" s="97"/>
      <c r="F282" s="130">
        <v>730</v>
      </c>
    </row>
    <row r="283" spans="1:6" s="119" customFormat="1" ht="14.25" customHeight="1">
      <c r="A283" s="93" t="s">
        <v>286</v>
      </c>
      <c r="B283" s="97" t="s">
        <v>2575</v>
      </c>
      <c r="C283" s="97"/>
      <c r="D283" s="97"/>
      <c r="E283" s="97"/>
      <c r="F283" s="130">
        <v>770</v>
      </c>
    </row>
    <row r="284" spans="1:6" s="119" customFormat="1" ht="14.25" customHeight="1">
      <c r="A284" s="93" t="s">
        <v>286</v>
      </c>
      <c r="B284" s="97" t="s">
        <v>2578</v>
      </c>
      <c r="C284" s="97"/>
      <c r="D284" s="97"/>
      <c r="E284" s="97"/>
      <c r="F284" s="130">
        <v>640</v>
      </c>
    </row>
    <row r="285" spans="1:6" s="119" customFormat="1" ht="14.25" customHeight="1">
      <c r="A285" s="93" t="s">
        <v>286</v>
      </c>
      <c r="B285" s="97" t="s">
        <v>2581</v>
      </c>
      <c r="C285" s="97"/>
      <c r="D285" s="97"/>
      <c r="E285" s="97"/>
      <c r="F285" s="130">
        <v>640</v>
      </c>
    </row>
    <row r="286" spans="1:6" s="119" customFormat="1" ht="14.25" customHeight="1">
      <c r="A286" s="93" t="s">
        <v>286</v>
      </c>
      <c r="B286" s="97" t="s">
        <v>2584</v>
      </c>
      <c r="C286" s="97"/>
      <c r="D286" s="97"/>
      <c r="E286" s="97"/>
      <c r="F286" s="130">
        <v>850</v>
      </c>
    </row>
    <row r="287" spans="1:6" s="119" customFormat="1" ht="14.25" customHeight="1">
      <c r="A287" s="93" t="s">
        <v>286</v>
      </c>
      <c r="B287" s="97" t="s">
        <v>2587</v>
      </c>
      <c r="C287" s="97"/>
      <c r="D287" s="97"/>
      <c r="E287" s="97"/>
      <c r="F287" s="130">
        <v>760</v>
      </c>
    </row>
    <row r="288" spans="1:6" s="119" customFormat="1" ht="14.25" customHeight="1">
      <c r="A288" s="93" t="s">
        <v>286</v>
      </c>
      <c r="B288" s="97" t="s">
        <v>2590</v>
      </c>
      <c r="C288" s="97"/>
      <c r="D288" s="97"/>
      <c r="E288" s="97"/>
      <c r="F288" s="130">
        <v>830</v>
      </c>
    </row>
    <row r="289" spans="1:6" s="119" customFormat="1" ht="14.25" customHeight="1">
      <c r="A289" s="93" t="s">
        <v>286</v>
      </c>
      <c r="B289" s="108" t="s">
        <v>2593</v>
      </c>
      <c r="C289" s="108"/>
      <c r="D289" s="108"/>
      <c r="E289" s="108"/>
      <c r="F289" s="132">
        <v>680</v>
      </c>
    </row>
    <row r="290" spans="1:6" s="119" customFormat="1" ht="14.25" customHeight="1">
      <c r="A290" s="93" t="s">
        <v>289</v>
      </c>
      <c r="B290" s="94" t="s">
        <v>2267</v>
      </c>
      <c r="C290" s="94">
        <v>2770</v>
      </c>
      <c r="D290" s="94">
        <v>2740</v>
      </c>
      <c r="E290" s="94">
        <v>2720</v>
      </c>
      <c r="F290" s="137"/>
    </row>
    <row r="291" spans="1:6" s="119" customFormat="1" ht="14.25" customHeight="1">
      <c r="A291" s="93" t="s">
        <v>289</v>
      </c>
      <c r="B291" s="97" t="s">
        <v>2280</v>
      </c>
      <c r="C291" s="97">
        <v>2670</v>
      </c>
      <c r="D291" s="97">
        <v>2640</v>
      </c>
      <c r="E291" s="97">
        <v>2620</v>
      </c>
      <c r="F291" s="133"/>
    </row>
    <row r="292" spans="1:6" s="119" customFormat="1" ht="14.25" customHeight="1">
      <c r="A292" s="93" t="s">
        <v>289</v>
      </c>
      <c r="B292" s="97" t="s">
        <v>2294</v>
      </c>
      <c r="C292" s="97">
        <v>2180</v>
      </c>
      <c r="D292" s="97">
        <v>2140</v>
      </c>
      <c r="E292" s="97">
        <v>2120</v>
      </c>
      <c r="F292" s="130">
        <v>490</v>
      </c>
    </row>
    <row r="293" spans="1:6" s="119" customFormat="1" ht="14.25" customHeight="1">
      <c r="A293" s="93" t="s">
        <v>289</v>
      </c>
      <c r="B293" s="97" t="s">
        <v>2600</v>
      </c>
      <c r="C293" s="97"/>
      <c r="D293" s="97"/>
      <c r="E293" s="97"/>
      <c r="F293" s="130">
        <v>470</v>
      </c>
    </row>
    <row r="294" spans="1:6" s="119" customFormat="1" ht="14.25" customHeight="1">
      <c r="A294" s="93" t="s">
        <v>289</v>
      </c>
      <c r="B294" s="97" t="s">
        <v>2306</v>
      </c>
      <c r="C294" s="97">
        <v>2730</v>
      </c>
      <c r="D294" s="97">
        <v>2700</v>
      </c>
      <c r="E294" s="97">
        <v>2680</v>
      </c>
      <c r="F294" s="130">
        <v>490</v>
      </c>
    </row>
    <row r="295" spans="1:6" s="119" customFormat="1" ht="14.25" customHeight="1">
      <c r="A295" s="93" t="s">
        <v>289</v>
      </c>
      <c r="B295" s="97" t="s">
        <v>2318</v>
      </c>
      <c r="C295" s="97">
        <v>2380</v>
      </c>
      <c r="D295" s="97">
        <v>2350</v>
      </c>
      <c r="E295" s="97">
        <v>2330</v>
      </c>
      <c r="F295" s="130">
        <v>530</v>
      </c>
    </row>
    <row r="296" spans="1:6" s="119" customFormat="1" ht="14.25" customHeight="1">
      <c r="A296" s="93" t="s">
        <v>289</v>
      </c>
      <c r="B296" s="97" t="s">
        <v>2329</v>
      </c>
      <c r="C296" s="97">
        <v>2650</v>
      </c>
      <c r="D296" s="97">
        <v>2620</v>
      </c>
      <c r="E296" s="97">
        <v>2590</v>
      </c>
      <c r="F296" s="130">
        <v>590</v>
      </c>
    </row>
    <row r="297" spans="1:6" s="119" customFormat="1" ht="14.25" customHeight="1">
      <c r="A297" s="93" t="s">
        <v>289</v>
      </c>
      <c r="B297" s="97" t="s">
        <v>2340</v>
      </c>
      <c r="C297" s="97">
        <v>2700</v>
      </c>
      <c r="D297" s="97">
        <v>2670</v>
      </c>
      <c r="E297" s="97">
        <v>2650</v>
      </c>
      <c r="F297" s="130">
        <v>630</v>
      </c>
    </row>
    <row r="298" spans="1:6" s="119" customFormat="1" ht="14.25" customHeight="1">
      <c r="A298" s="93" t="s">
        <v>289</v>
      </c>
      <c r="B298" s="97" t="s">
        <v>2351</v>
      </c>
      <c r="C298" s="97">
        <v>2650</v>
      </c>
      <c r="D298" s="97">
        <v>2620</v>
      </c>
      <c r="E298" s="97">
        <v>2590</v>
      </c>
      <c r="F298" s="130">
        <v>640</v>
      </c>
    </row>
    <row r="299" spans="1:6" s="119" customFormat="1" ht="14.25" customHeight="1">
      <c r="A299" s="93" t="s">
        <v>289</v>
      </c>
      <c r="B299" s="97" t="s">
        <v>2361</v>
      </c>
      <c r="C299" s="97">
        <v>2500</v>
      </c>
      <c r="D299" s="97">
        <v>2480</v>
      </c>
      <c r="E299" s="97">
        <v>2460</v>
      </c>
      <c r="F299" s="133"/>
    </row>
    <row r="300" spans="1:6" s="119" customFormat="1" ht="14.25" customHeight="1">
      <c r="A300" s="93" t="s">
        <v>289</v>
      </c>
      <c r="B300" s="97" t="s">
        <v>2371</v>
      </c>
      <c r="C300" s="97">
        <v>2760</v>
      </c>
      <c r="D300" s="97">
        <v>2730</v>
      </c>
      <c r="E300" s="97">
        <v>2700</v>
      </c>
      <c r="F300" s="130">
        <v>630</v>
      </c>
    </row>
    <row r="301" spans="1:6" s="119" customFormat="1" ht="14.25" customHeight="1">
      <c r="A301" s="93" t="s">
        <v>289</v>
      </c>
      <c r="B301" s="97" t="s">
        <v>2381</v>
      </c>
      <c r="C301" s="97">
        <v>2510</v>
      </c>
      <c r="D301" s="97">
        <v>2480</v>
      </c>
      <c r="E301" s="97">
        <v>2460</v>
      </c>
      <c r="F301" s="133"/>
    </row>
    <row r="302" spans="1:6" s="119" customFormat="1" ht="14.25" customHeight="1">
      <c r="A302" s="93" t="s">
        <v>289</v>
      </c>
      <c r="B302" s="97" t="s">
        <v>2391</v>
      </c>
      <c r="C302" s="97">
        <v>2480</v>
      </c>
      <c r="D302" s="97">
        <v>2450</v>
      </c>
      <c r="E302" s="97">
        <v>2420</v>
      </c>
      <c r="F302" s="130">
        <v>600</v>
      </c>
    </row>
    <row r="303" spans="1:6" s="119" customFormat="1" ht="14.25" customHeight="1">
      <c r="A303" s="93" t="s">
        <v>289</v>
      </c>
      <c r="B303" s="97" t="s">
        <v>2401</v>
      </c>
      <c r="C303" s="97">
        <v>2270</v>
      </c>
      <c r="D303" s="97">
        <v>2240</v>
      </c>
      <c r="E303" s="97">
        <v>2210</v>
      </c>
      <c r="F303" s="130">
        <v>540</v>
      </c>
    </row>
    <row r="304" spans="1:6" s="119" customFormat="1" ht="14.25" customHeight="1">
      <c r="A304" s="93" t="s">
        <v>289</v>
      </c>
      <c r="B304" s="97" t="s">
        <v>2411</v>
      </c>
      <c r="C304" s="97">
        <v>2310</v>
      </c>
      <c r="D304" s="97">
        <v>2290</v>
      </c>
      <c r="E304" s="97">
        <v>2270</v>
      </c>
      <c r="F304" s="133"/>
    </row>
    <row r="305" spans="1:6" s="119" customFormat="1" ht="14.25" customHeight="1">
      <c r="A305" s="93" t="s">
        <v>289</v>
      </c>
      <c r="B305" s="97" t="s">
        <v>2421</v>
      </c>
      <c r="C305" s="97">
        <v>2490</v>
      </c>
      <c r="D305" s="97">
        <v>2470</v>
      </c>
      <c r="E305" s="97">
        <v>2440</v>
      </c>
      <c r="F305" s="130">
        <v>560</v>
      </c>
    </row>
    <row r="306" spans="1:6" s="119" customFormat="1" ht="14.25" customHeight="1">
      <c r="A306" s="93" t="s">
        <v>289</v>
      </c>
      <c r="B306" s="97" t="s">
        <v>2431</v>
      </c>
      <c r="C306" s="97">
        <v>2420</v>
      </c>
      <c r="D306" s="97">
        <v>2400</v>
      </c>
      <c r="E306" s="97">
        <v>2380</v>
      </c>
      <c r="F306" s="133"/>
    </row>
    <row r="307" spans="1:6" s="119" customFormat="1" ht="14.25" customHeight="1">
      <c r="A307" s="93" t="s">
        <v>289</v>
      </c>
      <c r="B307" s="97" t="s">
        <v>2441</v>
      </c>
      <c r="C307" s="97">
        <v>2770</v>
      </c>
      <c r="D307" s="97">
        <v>2740</v>
      </c>
      <c r="E307" s="97">
        <v>2710</v>
      </c>
      <c r="F307" s="130">
        <v>650</v>
      </c>
    </row>
    <row r="308" spans="1:6" s="119" customFormat="1" ht="14.25" customHeight="1">
      <c r="A308" s="93" t="s">
        <v>289</v>
      </c>
      <c r="B308" s="97" t="s">
        <v>2451</v>
      </c>
      <c r="C308" s="97">
        <v>2610</v>
      </c>
      <c r="D308" s="97">
        <v>2580</v>
      </c>
      <c r="E308" s="97">
        <v>2550</v>
      </c>
      <c r="F308" s="130">
        <v>580</v>
      </c>
    </row>
    <row r="309" spans="1:6" s="119" customFormat="1" ht="14.25" customHeight="1">
      <c r="A309" s="93" t="s">
        <v>289</v>
      </c>
      <c r="B309" s="97" t="s">
        <v>2461</v>
      </c>
      <c r="C309" s="97">
        <v>2690</v>
      </c>
      <c r="D309" s="97">
        <v>2670</v>
      </c>
      <c r="E309" s="97">
        <v>2650</v>
      </c>
      <c r="F309" s="133"/>
    </row>
    <row r="310" spans="1:6" s="119" customFormat="1" ht="14.25" customHeight="1">
      <c r="A310" s="93" t="s">
        <v>289</v>
      </c>
      <c r="B310" s="97" t="s">
        <v>2470</v>
      </c>
      <c r="C310" s="97">
        <v>2360</v>
      </c>
      <c r="D310" s="97">
        <v>2330</v>
      </c>
      <c r="E310" s="97">
        <v>2310</v>
      </c>
      <c r="F310" s="130">
        <v>560</v>
      </c>
    </row>
    <row r="311" spans="1:6" s="119" customFormat="1" ht="14.25" customHeight="1">
      <c r="A311" s="93" t="s">
        <v>289</v>
      </c>
      <c r="B311" s="97" t="s">
        <v>2478</v>
      </c>
      <c r="C311" s="97">
        <v>1970</v>
      </c>
      <c r="D311" s="97">
        <v>1950</v>
      </c>
      <c r="E311" s="97">
        <v>1920</v>
      </c>
      <c r="F311" s="130">
        <v>470</v>
      </c>
    </row>
    <row r="312" spans="1:6" s="119" customFormat="1" ht="14.25" customHeight="1">
      <c r="A312" s="93" t="s">
        <v>289</v>
      </c>
      <c r="B312" s="97" t="s">
        <v>2486</v>
      </c>
      <c r="C312" s="97">
        <v>2230</v>
      </c>
      <c r="D312" s="97">
        <v>2200</v>
      </c>
      <c r="E312" s="97">
        <v>2170</v>
      </c>
      <c r="F312" s="130">
        <v>460</v>
      </c>
    </row>
    <row r="313" spans="1:6" s="119" customFormat="1" ht="14.25" customHeight="1">
      <c r="A313" s="93" t="s">
        <v>289</v>
      </c>
      <c r="B313" s="97" t="s">
        <v>2493</v>
      </c>
      <c r="C313" s="97">
        <v>2770</v>
      </c>
      <c r="D313" s="97">
        <v>2740</v>
      </c>
      <c r="E313" s="97">
        <v>2710</v>
      </c>
      <c r="F313" s="130">
        <v>610</v>
      </c>
    </row>
    <row r="314" spans="1:6" s="119" customFormat="1" ht="14.25" customHeight="1">
      <c r="A314" s="93" t="s">
        <v>289</v>
      </c>
      <c r="B314" s="97" t="s">
        <v>2500</v>
      </c>
      <c r="C314" s="97"/>
      <c r="D314" s="97"/>
      <c r="E314" s="97"/>
      <c r="F314" s="130">
        <v>490</v>
      </c>
    </row>
    <row r="315" spans="1:6" s="119" customFormat="1" ht="14.25" customHeight="1">
      <c r="A315" s="93" t="s">
        <v>289</v>
      </c>
      <c r="B315" s="97" t="s">
        <v>2507</v>
      </c>
      <c r="C315" s="97"/>
      <c r="D315" s="97"/>
      <c r="E315" s="97"/>
      <c r="F315" s="130">
        <v>520</v>
      </c>
    </row>
    <row r="316" spans="1:6" s="119" customFormat="1" ht="14.25" customHeight="1">
      <c r="A316" s="93" t="s">
        <v>289</v>
      </c>
      <c r="B316" s="108" t="s">
        <v>2514</v>
      </c>
      <c r="C316" s="108"/>
      <c r="D316" s="108"/>
      <c r="E316" s="108"/>
      <c r="F316" s="132">
        <v>460</v>
      </c>
    </row>
    <row r="317" spans="1:6" s="119" customFormat="1" ht="14.25" customHeight="1">
      <c r="A317" s="93" t="s">
        <v>292</v>
      </c>
      <c r="B317" s="94" t="s">
        <v>2268</v>
      </c>
      <c r="C317" s="94">
        <v>1200</v>
      </c>
      <c r="D317" s="94">
        <v>1180</v>
      </c>
      <c r="E317" s="94">
        <v>1160</v>
      </c>
      <c r="F317" s="127">
        <v>370</v>
      </c>
    </row>
    <row r="318" spans="1:6" s="119" customFormat="1" ht="14.25" customHeight="1">
      <c r="A318" s="93" t="s">
        <v>292</v>
      </c>
      <c r="B318" s="97" t="s">
        <v>2281</v>
      </c>
      <c r="C318" s="97">
        <v>1090</v>
      </c>
      <c r="D318" s="97">
        <v>1060</v>
      </c>
      <c r="E318" s="97">
        <v>1040</v>
      </c>
      <c r="F318" s="133"/>
    </row>
    <row r="319" spans="1:6" s="119" customFormat="1" ht="14.25" customHeight="1">
      <c r="A319" s="93" t="s">
        <v>292</v>
      </c>
      <c r="B319" s="97" t="s">
        <v>2295</v>
      </c>
      <c r="C319" s="97">
        <v>1520</v>
      </c>
      <c r="D319" s="97">
        <v>1470</v>
      </c>
      <c r="E319" s="97">
        <v>1440</v>
      </c>
      <c r="F319" s="130">
        <v>370</v>
      </c>
    </row>
    <row r="320" spans="1:6" s="119" customFormat="1" ht="14.25" customHeight="1">
      <c r="A320" s="93" t="s">
        <v>292</v>
      </c>
      <c r="B320" s="97" t="s">
        <v>2307</v>
      </c>
      <c r="C320" s="97">
        <v>1360</v>
      </c>
      <c r="D320" s="97">
        <v>1300</v>
      </c>
      <c r="E320" s="97">
        <v>1270</v>
      </c>
      <c r="F320" s="133"/>
    </row>
    <row r="321" spans="1:6" s="119" customFormat="1" ht="14.25" customHeight="1">
      <c r="A321" s="93" t="s">
        <v>292</v>
      </c>
      <c r="B321" s="97" t="s">
        <v>2319</v>
      </c>
      <c r="C321" s="97">
        <v>1750</v>
      </c>
      <c r="D321" s="97">
        <v>1690</v>
      </c>
      <c r="E321" s="97">
        <v>1660</v>
      </c>
      <c r="F321" s="133"/>
    </row>
    <row r="322" spans="1:6" s="119" customFormat="1" ht="14.25" customHeight="1">
      <c r="A322" s="93" t="s">
        <v>292</v>
      </c>
      <c r="B322" s="97" t="s">
        <v>2330</v>
      </c>
      <c r="C322" s="97">
        <v>1650</v>
      </c>
      <c r="D322" s="97">
        <v>1610</v>
      </c>
      <c r="E322" s="97">
        <v>1580</v>
      </c>
      <c r="F322" s="130">
        <v>500</v>
      </c>
    </row>
    <row r="323" spans="1:6" s="119" customFormat="1" ht="14.25" customHeight="1">
      <c r="A323" s="93" t="s">
        <v>292</v>
      </c>
      <c r="B323" s="97" t="s">
        <v>2341</v>
      </c>
      <c r="C323" s="97">
        <v>1780</v>
      </c>
      <c r="D323" s="97">
        <v>1740</v>
      </c>
      <c r="E323" s="97">
        <v>1720</v>
      </c>
      <c r="F323" s="133"/>
    </row>
    <row r="324" spans="1:6" s="119" customFormat="1" ht="14.25" customHeight="1">
      <c r="A324" s="93" t="s">
        <v>292</v>
      </c>
      <c r="B324" s="97" t="s">
        <v>2352</v>
      </c>
      <c r="C324" s="97">
        <v>1650</v>
      </c>
      <c r="D324" s="97">
        <v>1610</v>
      </c>
      <c r="E324" s="97">
        <v>1580</v>
      </c>
      <c r="F324" s="133"/>
    </row>
    <row r="325" spans="1:6" s="119" customFormat="1" ht="14.25" customHeight="1">
      <c r="A325" s="93" t="s">
        <v>292</v>
      </c>
      <c r="B325" s="97" t="s">
        <v>2362</v>
      </c>
      <c r="C325" s="97">
        <v>1330</v>
      </c>
      <c r="D325" s="97">
        <v>1270</v>
      </c>
      <c r="E325" s="97">
        <v>1240</v>
      </c>
      <c r="F325" s="130">
        <v>430</v>
      </c>
    </row>
    <row r="326" spans="1:6" s="119" customFormat="1" ht="14.25" customHeight="1">
      <c r="A326" s="93" t="s">
        <v>292</v>
      </c>
      <c r="B326" s="97" t="s">
        <v>2372</v>
      </c>
      <c r="C326" s="97">
        <v>1470</v>
      </c>
      <c r="D326" s="97">
        <v>1430</v>
      </c>
      <c r="E326" s="97">
        <v>1400</v>
      </c>
      <c r="F326" s="133"/>
    </row>
    <row r="327" spans="1:6" s="119" customFormat="1" ht="14.25" customHeight="1">
      <c r="A327" s="93" t="s">
        <v>292</v>
      </c>
      <c r="B327" s="97" t="s">
        <v>2382</v>
      </c>
      <c r="C327" s="97">
        <v>1420</v>
      </c>
      <c r="D327" s="97">
        <v>1380</v>
      </c>
      <c r="E327" s="97">
        <v>1360</v>
      </c>
      <c r="F327" s="130">
        <v>420</v>
      </c>
    </row>
    <row r="328" spans="1:6" s="119" customFormat="1" ht="14.25" customHeight="1">
      <c r="A328" s="93" t="s">
        <v>292</v>
      </c>
      <c r="B328" s="97" t="s">
        <v>2392</v>
      </c>
      <c r="C328" s="97">
        <v>1400</v>
      </c>
      <c r="D328" s="97">
        <v>1360</v>
      </c>
      <c r="E328" s="97">
        <v>1330</v>
      </c>
      <c r="F328" s="130">
        <v>460</v>
      </c>
    </row>
    <row r="329" spans="1:6" s="119" customFormat="1" ht="14.25" customHeight="1">
      <c r="A329" s="93" t="s">
        <v>292</v>
      </c>
      <c r="B329" s="97" t="s">
        <v>2402</v>
      </c>
      <c r="C329" s="97">
        <v>1640</v>
      </c>
      <c r="D329" s="97">
        <v>1610</v>
      </c>
      <c r="E329" s="97">
        <v>1580</v>
      </c>
      <c r="F329" s="130">
        <v>410</v>
      </c>
    </row>
    <row r="330" spans="1:6" s="119" customFormat="1" ht="14.25" customHeight="1">
      <c r="A330" s="93" t="s">
        <v>292</v>
      </c>
      <c r="B330" s="97" t="s">
        <v>2412</v>
      </c>
      <c r="C330" s="97">
        <v>1260</v>
      </c>
      <c r="D330" s="97">
        <v>1220</v>
      </c>
      <c r="E330" s="97">
        <v>1200</v>
      </c>
      <c r="F330" s="133"/>
    </row>
    <row r="331" spans="1:6" s="119" customFormat="1" ht="14.25" customHeight="1">
      <c r="A331" s="93" t="s">
        <v>292</v>
      </c>
      <c r="B331" s="97" t="s">
        <v>2422</v>
      </c>
      <c r="C331" s="97">
        <v>1620</v>
      </c>
      <c r="D331" s="97">
        <v>1560</v>
      </c>
      <c r="E331" s="97">
        <v>1530</v>
      </c>
      <c r="F331" s="130">
        <v>490</v>
      </c>
    </row>
    <row r="332" spans="1:6" s="119" customFormat="1" ht="14.25" customHeight="1">
      <c r="A332" s="93" t="s">
        <v>292</v>
      </c>
      <c r="B332" s="97" t="s">
        <v>2432</v>
      </c>
      <c r="C332" s="97">
        <v>1520</v>
      </c>
      <c r="D332" s="97">
        <v>1470</v>
      </c>
      <c r="E332" s="97">
        <v>1440</v>
      </c>
      <c r="F332" s="130">
        <v>440</v>
      </c>
    </row>
    <row r="333" spans="1:6" s="119" customFormat="1" ht="14.25" customHeight="1">
      <c r="A333" s="93" t="s">
        <v>292</v>
      </c>
      <c r="B333" s="97" t="s">
        <v>2442</v>
      </c>
      <c r="C333" s="97">
        <v>1370</v>
      </c>
      <c r="D333" s="97">
        <v>1320</v>
      </c>
      <c r="E333" s="97">
        <v>1300</v>
      </c>
      <c r="F333" s="130">
        <v>460</v>
      </c>
    </row>
    <row r="334" spans="1:6" s="119" customFormat="1" ht="14.25" customHeight="1">
      <c r="A334" s="93" t="s">
        <v>292</v>
      </c>
      <c r="B334" s="97" t="s">
        <v>2452</v>
      </c>
      <c r="C334" s="97">
        <v>1410</v>
      </c>
      <c r="D334" s="97">
        <v>1340</v>
      </c>
      <c r="E334" s="97">
        <v>1310</v>
      </c>
      <c r="F334" s="130">
        <v>410</v>
      </c>
    </row>
    <row r="335" spans="1:6" s="119" customFormat="1" ht="14.25" customHeight="1">
      <c r="A335" s="93" t="s">
        <v>292</v>
      </c>
      <c r="B335" s="97" t="s">
        <v>2462</v>
      </c>
      <c r="C335" s="97">
        <v>1260</v>
      </c>
      <c r="D335" s="97">
        <v>1220</v>
      </c>
      <c r="E335" s="97">
        <v>1200</v>
      </c>
      <c r="F335" s="133"/>
    </row>
    <row r="336" spans="1:6" s="119" customFormat="1" ht="14.25" customHeight="1">
      <c r="A336" s="93" t="s">
        <v>292</v>
      </c>
      <c r="B336" s="97" t="s">
        <v>2471</v>
      </c>
      <c r="C336" s="97">
        <v>1160</v>
      </c>
      <c r="D336" s="97">
        <v>1140</v>
      </c>
      <c r="E336" s="97">
        <v>1120</v>
      </c>
      <c r="F336" s="130">
        <v>430</v>
      </c>
    </row>
    <row r="337" spans="1:6" s="119" customFormat="1" ht="14.25" customHeight="1">
      <c r="A337" s="93" t="s">
        <v>292</v>
      </c>
      <c r="B337" s="108" t="s">
        <v>2479</v>
      </c>
      <c r="C337" s="108"/>
      <c r="D337" s="108"/>
      <c r="E337" s="108"/>
      <c r="F337" s="132">
        <v>380</v>
      </c>
    </row>
    <row r="338" spans="1:6" s="119" customFormat="1" ht="14.25" customHeight="1">
      <c r="A338" s="93" t="s">
        <v>295</v>
      </c>
      <c r="B338" s="94" t="s">
        <v>2269</v>
      </c>
      <c r="C338" s="94">
        <v>880</v>
      </c>
      <c r="D338" s="94">
        <v>850</v>
      </c>
      <c r="E338" s="94">
        <v>830</v>
      </c>
      <c r="F338" s="137"/>
    </row>
    <row r="339" spans="1:6" s="119" customFormat="1" ht="14.25" customHeight="1">
      <c r="A339" s="93" t="s">
        <v>295</v>
      </c>
      <c r="B339" s="97" t="s">
        <v>2282</v>
      </c>
      <c r="C339" s="97">
        <v>830</v>
      </c>
      <c r="D339" s="97">
        <v>800</v>
      </c>
      <c r="E339" s="97">
        <v>780</v>
      </c>
      <c r="F339" s="133"/>
    </row>
    <row r="340" spans="1:6" s="119" customFormat="1" ht="14.25" customHeight="1">
      <c r="A340" s="93" t="s">
        <v>295</v>
      </c>
      <c r="B340" s="97" t="s">
        <v>2296</v>
      </c>
      <c r="C340" s="97">
        <v>980</v>
      </c>
      <c r="D340" s="97">
        <v>950</v>
      </c>
      <c r="E340" s="97">
        <v>920</v>
      </c>
      <c r="F340" s="133"/>
    </row>
    <row r="341" spans="1:6" s="119" customFormat="1" ht="14.25" customHeight="1">
      <c r="A341" s="93" t="s">
        <v>295</v>
      </c>
      <c r="B341" s="97" t="s">
        <v>2308</v>
      </c>
      <c r="C341" s="97">
        <v>760</v>
      </c>
      <c r="D341" s="97">
        <v>720</v>
      </c>
      <c r="E341" s="97">
        <v>690</v>
      </c>
      <c r="F341" s="130">
        <v>350</v>
      </c>
    </row>
    <row r="342" spans="1:6" s="119" customFormat="1" ht="14.25" customHeight="1">
      <c r="A342" s="93" t="s">
        <v>295</v>
      </c>
      <c r="B342" s="97" t="s">
        <v>2320</v>
      </c>
      <c r="C342" s="97">
        <v>910</v>
      </c>
      <c r="D342" s="97">
        <v>870</v>
      </c>
      <c r="E342" s="97">
        <v>850</v>
      </c>
      <c r="F342" s="130">
        <v>370</v>
      </c>
    </row>
    <row r="343" spans="1:6" s="119" customFormat="1" ht="14.25" customHeight="1">
      <c r="A343" s="93" t="s">
        <v>295</v>
      </c>
      <c r="B343" s="97" t="s">
        <v>2331</v>
      </c>
      <c r="C343" s="97">
        <v>800</v>
      </c>
      <c r="D343" s="97">
        <v>760</v>
      </c>
      <c r="E343" s="97">
        <v>730</v>
      </c>
      <c r="F343" s="130">
        <v>340</v>
      </c>
    </row>
    <row r="344" spans="1:6" s="119" customFormat="1" ht="14.25" customHeight="1">
      <c r="A344" s="93" t="s">
        <v>295</v>
      </c>
      <c r="B344" s="108" t="s">
        <v>2342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8" t="s">
        <v>2601</v>
      </c>
      <c r="B1" s="3578"/>
    </row>
    <row r="2" spans="1:6">
      <c r="A2" s="89"/>
      <c r="B2" s="89"/>
    </row>
    <row r="3" spans="1:6">
      <c r="A3" s="89"/>
      <c r="B3" s="89"/>
      <c r="C3" s="90" t="s">
        <v>1796</v>
      </c>
      <c r="D3" s="90" t="s">
        <v>427</v>
      </c>
      <c r="E3" s="90" t="s">
        <v>1797</v>
      </c>
      <c r="F3" s="90" t="s">
        <v>457</v>
      </c>
    </row>
    <row r="4" spans="1:6">
      <c r="A4" s="91" t="s">
        <v>2270</v>
      </c>
      <c r="B4" s="92" t="s">
        <v>2283</v>
      </c>
      <c r="C4" s="90"/>
      <c r="D4" s="90"/>
      <c r="E4" s="90"/>
      <c r="F4" s="90"/>
    </row>
    <row r="5" spans="1:6">
      <c r="A5" s="93" t="s">
        <v>230</v>
      </c>
      <c r="B5" s="94" t="s">
        <v>2258</v>
      </c>
      <c r="C5" s="95">
        <v>8.8999999999999996E-2</v>
      </c>
      <c r="D5" s="95">
        <v>7.3999999999999996E-2</v>
      </c>
      <c r="E5" s="95">
        <v>7.4999999999999997E-2</v>
      </c>
      <c r="F5" s="96">
        <v>0.1</v>
      </c>
    </row>
    <row r="6" spans="1:6">
      <c r="A6" s="93" t="s">
        <v>230</v>
      </c>
      <c r="B6" s="97" t="s">
        <v>2271</v>
      </c>
      <c r="C6" s="98">
        <v>0.1</v>
      </c>
      <c r="D6" s="98">
        <v>9.0999999999999998E-2</v>
      </c>
      <c r="E6" s="98">
        <v>9.0999999999999998E-2</v>
      </c>
      <c r="F6" s="99">
        <v>0.1</v>
      </c>
    </row>
    <row r="7" spans="1:6">
      <c r="A7" s="93" t="s">
        <v>230</v>
      </c>
      <c r="B7" s="100" t="s">
        <v>2285</v>
      </c>
      <c r="C7" s="98">
        <v>8.5999999999999993E-2</v>
      </c>
      <c r="D7" s="98">
        <v>9.6000000000000002E-2</v>
      </c>
      <c r="E7" s="98">
        <v>7.5999999999999998E-2</v>
      </c>
      <c r="F7" s="99">
        <v>0.1</v>
      </c>
    </row>
    <row r="8" spans="1:6">
      <c r="A8" s="93" t="s">
        <v>230</v>
      </c>
      <c r="B8" s="97" t="s">
        <v>2297</v>
      </c>
      <c r="C8" s="98">
        <v>9.9000000000000005E-2</v>
      </c>
      <c r="D8" s="98">
        <v>9.8000000000000004E-2</v>
      </c>
      <c r="E8" s="98">
        <v>9.8000000000000004E-2</v>
      </c>
      <c r="F8" s="99">
        <v>0.1</v>
      </c>
    </row>
    <row r="9" spans="1:6">
      <c r="A9" s="101" t="s">
        <v>230</v>
      </c>
      <c r="B9" s="102" t="s">
        <v>2309</v>
      </c>
      <c r="C9" s="103">
        <v>0.05</v>
      </c>
      <c r="D9" s="104"/>
      <c r="E9" s="104"/>
      <c r="F9" s="105"/>
    </row>
    <row r="10" spans="1:6">
      <c r="A10" s="93" t="s">
        <v>241</v>
      </c>
      <c r="B10" s="94" t="s">
        <v>2259</v>
      </c>
      <c r="C10" s="95">
        <v>8.8999999999999996E-2</v>
      </c>
      <c r="D10" s="95">
        <v>7.2999999999999995E-2</v>
      </c>
      <c r="E10" s="95">
        <v>8.2000000000000003E-2</v>
      </c>
      <c r="F10" s="96">
        <v>0.1</v>
      </c>
    </row>
    <row r="11" spans="1:6">
      <c r="A11" s="93" t="s">
        <v>241</v>
      </c>
      <c r="B11" s="100" t="s">
        <v>2272</v>
      </c>
      <c r="C11" s="98">
        <v>8.8999999999999996E-2</v>
      </c>
      <c r="D11" s="98">
        <v>7.2999999999999995E-2</v>
      </c>
      <c r="E11" s="98">
        <v>8.2000000000000003E-2</v>
      </c>
      <c r="F11" s="99">
        <v>0.1</v>
      </c>
    </row>
    <row r="12" spans="1:6">
      <c r="A12" s="93" t="s">
        <v>241</v>
      </c>
      <c r="B12" s="100" t="s">
        <v>2286</v>
      </c>
      <c r="C12" s="98">
        <v>6.0999999999999999E-2</v>
      </c>
      <c r="D12" s="98">
        <v>7.0999999999999994E-2</v>
      </c>
      <c r="E12" s="98">
        <v>9.6000000000000002E-2</v>
      </c>
      <c r="F12" s="99">
        <v>0.1</v>
      </c>
    </row>
    <row r="13" spans="1:6">
      <c r="A13" s="93" t="s">
        <v>241</v>
      </c>
      <c r="B13" s="100" t="s">
        <v>2298</v>
      </c>
      <c r="C13" s="98">
        <v>6.9000000000000006E-2</v>
      </c>
      <c r="D13" s="98">
        <v>6.5000000000000002E-2</v>
      </c>
      <c r="E13" s="98">
        <v>6.6000000000000003E-2</v>
      </c>
      <c r="F13" s="99">
        <v>0.1</v>
      </c>
    </row>
    <row r="14" spans="1:6">
      <c r="A14" s="93" t="s">
        <v>241</v>
      </c>
      <c r="B14" s="100" t="s">
        <v>2310</v>
      </c>
      <c r="C14" s="98">
        <v>0.1</v>
      </c>
      <c r="D14" s="98">
        <v>6.5000000000000002E-2</v>
      </c>
      <c r="E14" s="98">
        <v>7.0000000000000007E-2</v>
      </c>
      <c r="F14" s="99">
        <v>0.1</v>
      </c>
    </row>
    <row r="15" spans="1:6">
      <c r="A15" s="93" t="s">
        <v>241</v>
      </c>
      <c r="B15" s="100" t="s">
        <v>2321</v>
      </c>
      <c r="C15" s="98">
        <v>9.8000000000000004E-2</v>
      </c>
      <c r="D15" s="98">
        <v>8.8999999999999996E-2</v>
      </c>
      <c r="E15" s="98">
        <v>8.8999999999999996E-2</v>
      </c>
      <c r="F15" s="99">
        <v>0.1</v>
      </c>
    </row>
    <row r="16" spans="1:6">
      <c r="A16" s="93" t="s">
        <v>241</v>
      </c>
      <c r="B16" s="100" t="s">
        <v>2332</v>
      </c>
      <c r="C16" s="98">
        <v>7.0000000000000007E-2</v>
      </c>
      <c r="D16" s="98">
        <v>9.2999999999999999E-2</v>
      </c>
      <c r="E16" s="98">
        <v>9.6000000000000002E-2</v>
      </c>
      <c r="F16" s="99">
        <v>0.1</v>
      </c>
    </row>
    <row r="17" spans="1:6">
      <c r="A17" s="93" t="s">
        <v>241</v>
      </c>
      <c r="B17" s="100" t="s">
        <v>2343</v>
      </c>
      <c r="C17" s="98">
        <v>9.5000000000000001E-2</v>
      </c>
      <c r="D17" s="98">
        <v>0.1</v>
      </c>
      <c r="E17" s="98">
        <v>0.1</v>
      </c>
      <c r="F17" s="106"/>
    </row>
    <row r="18" spans="1:6">
      <c r="A18" s="93" t="s">
        <v>241</v>
      </c>
      <c r="B18" s="100" t="s">
        <v>2353</v>
      </c>
      <c r="C18" s="98">
        <v>7.3999999999999996E-2</v>
      </c>
      <c r="D18" s="98">
        <v>9.9000000000000005E-2</v>
      </c>
      <c r="E18" s="98">
        <v>0.1</v>
      </c>
      <c r="F18" s="106"/>
    </row>
    <row r="19" spans="1:6">
      <c r="A19" s="93" t="s">
        <v>241</v>
      </c>
      <c r="B19" s="100" t="s">
        <v>2363</v>
      </c>
      <c r="C19" s="98">
        <v>9.9000000000000005E-2</v>
      </c>
      <c r="D19" s="98">
        <v>7.5999999999999998E-2</v>
      </c>
      <c r="E19" s="98">
        <v>8.6999999999999994E-2</v>
      </c>
      <c r="F19" s="106"/>
    </row>
    <row r="20" spans="1:6">
      <c r="A20" s="93" t="s">
        <v>241</v>
      </c>
      <c r="B20" s="100" t="s">
        <v>2373</v>
      </c>
      <c r="C20" s="98">
        <v>9.8000000000000004E-2</v>
      </c>
      <c r="D20" s="98">
        <v>8.5000000000000006E-2</v>
      </c>
      <c r="E20" s="98">
        <v>8.2000000000000003E-2</v>
      </c>
      <c r="F20" s="106"/>
    </row>
    <row r="21" spans="1:6">
      <c r="A21" s="93" t="s">
        <v>241</v>
      </c>
      <c r="B21" s="100" t="s">
        <v>2383</v>
      </c>
      <c r="C21" s="98">
        <v>6.6000000000000003E-2</v>
      </c>
      <c r="D21" s="98">
        <v>6.4000000000000001E-2</v>
      </c>
      <c r="E21" s="98">
        <v>6.5000000000000002E-2</v>
      </c>
      <c r="F21" s="106"/>
    </row>
    <row r="22" spans="1:6">
      <c r="A22" s="93" t="s">
        <v>241</v>
      </c>
      <c r="B22" s="100" t="s">
        <v>2393</v>
      </c>
      <c r="C22" s="98">
        <v>0.08</v>
      </c>
      <c r="D22" s="98">
        <v>9.8000000000000004E-2</v>
      </c>
      <c r="E22" s="98">
        <v>9.8000000000000004E-2</v>
      </c>
      <c r="F22" s="106"/>
    </row>
    <row r="23" spans="1:6">
      <c r="A23" s="93" t="s">
        <v>241</v>
      </c>
      <c r="B23" s="100" t="s">
        <v>2403</v>
      </c>
      <c r="C23" s="98">
        <v>9.9000000000000005E-2</v>
      </c>
      <c r="D23" s="98">
        <v>9.8000000000000004E-2</v>
      </c>
      <c r="E23" s="98">
        <v>9.0999999999999998E-2</v>
      </c>
      <c r="F23" s="106"/>
    </row>
    <row r="24" spans="1:6">
      <c r="A24" s="93" t="s">
        <v>241</v>
      </c>
      <c r="B24" s="100" t="s">
        <v>2413</v>
      </c>
      <c r="C24" s="98">
        <v>8.8999999999999996E-2</v>
      </c>
      <c r="D24" s="98">
        <v>9.7000000000000003E-2</v>
      </c>
      <c r="E24" s="98">
        <v>7.0000000000000007E-2</v>
      </c>
      <c r="F24" s="106"/>
    </row>
    <row r="25" spans="1:6">
      <c r="A25" s="93" t="s">
        <v>241</v>
      </c>
      <c r="B25" s="100" t="s">
        <v>2423</v>
      </c>
      <c r="C25" s="98">
        <v>8.8999999999999996E-2</v>
      </c>
      <c r="D25" s="98">
        <v>0.1</v>
      </c>
      <c r="E25" s="98">
        <v>8.1000000000000003E-2</v>
      </c>
      <c r="F25" s="106"/>
    </row>
    <row r="26" spans="1:6">
      <c r="A26" s="93" t="s">
        <v>241</v>
      </c>
      <c r="B26" s="100" t="s">
        <v>2433</v>
      </c>
      <c r="C26" s="107"/>
      <c r="D26" s="98">
        <v>9.6000000000000002E-2</v>
      </c>
      <c r="E26" s="98">
        <v>9.2999999999999999E-2</v>
      </c>
      <c r="F26" s="106"/>
    </row>
    <row r="27" spans="1:6">
      <c r="A27" s="93" t="s">
        <v>241</v>
      </c>
      <c r="B27" s="100" t="s">
        <v>2443</v>
      </c>
      <c r="C27" s="107"/>
      <c r="D27" s="98">
        <v>7.5999999999999998E-2</v>
      </c>
      <c r="E27" s="98">
        <v>9.1999999999999998E-2</v>
      </c>
      <c r="F27" s="106"/>
    </row>
    <row r="28" spans="1:6">
      <c r="A28" s="101" t="s">
        <v>241</v>
      </c>
      <c r="B28" s="102" t="s">
        <v>2453</v>
      </c>
      <c r="C28" s="104"/>
      <c r="D28" s="103">
        <v>7.5999999999999998E-2</v>
      </c>
      <c r="E28" s="103">
        <v>9.1999999999999998E-2</v>
      </c>
      <c r="F28" s="105"/>
    </row>
    <row r="29" spans="1:6">
      <c r="A29" s="93" t="s">
        <v>251</v>
      </c>
      <c r="B29" s="94" t="s">
        <v>2260</v>
      </c>
      <c r="C29" s="95">
        <v>6.4000000000000001E-2</v>
      </c>
      <c r="D29" s="95">
        <v>6.5000000000000002E-2</v>
      </c>
      <c r="E29" s="95">
        <v>6.9000000000000006E-2</v>
      </c>
      <c r="F29" s="96">
        <v>0.1</v>
      </c>
    </row>
    <row r="30" spans="1:6">
      <c r="A30" s="93" t="s">
        <v>251</v>
      </c>
      <c r="B30" s="100" t="s">
        <v>2273</v>
      </c>
      <c r="C30" s="98">
        <v>6.4000000000000001E-2</v>
      </c>
      <c r="D30" s="98">
        <v>9.9000000000000005E-2</v>
      </c>
      <c r="E30" s="98">
        <v>0.1</v>
      </c>
      <c r="F30" s="99">
        <v>0.1</v>
      </c>
    </row>
    <row r="31" spans="1:6">
      <c r="A31" s="93" t="s">
        <v>251</v>
      </c>
      <c r="B31" s="100" t="s">
        <v>2287</v>
      </c>
      <c r="C31" s="98">
        <v>0.1</v>
      </c>
      <c r="D31" s="98">
        <v>9.5000000000000001E-2</v>
      </c>
      <c r="E31" s="98">
        <v>8.8999999999999996E-2</v>
      </c>
      <c r="F31" s="99">
        <v>0.1</v>
      </c>
    </row>
    <row r="32" spans="1:6">
      <c r="A32" s="93" t="s">
        <v>251</v>
      </c>
      <c r="B32" s="100" t="s">
        <v>2299</v>
      </c>
      <c r="C32" s="98">
        <v>0.05</v>
      </c>
      <c r="D32" s="98">
        <v>0.05</v>
      </c>
      <c r="E32" s="98">
        <v>8.7999999999999995E-2</v>
      </c>
      <c r="F32" s="99">
        <v>0.1</v>
      </c>
    </row>
    <row r="33" spans="1:6">
      <c r="A33" s="93" t="s">
        <v>251</v>
      </c>
      <c r="B33" s="100" t="s">
        <v>2311</v>
      </c>
      <c r="C33" s="98">
        <v>7.4999999999999997E-2</v>
      </c>
      <c r="D33" s="98">
        <v>9.4E-2</v>
      </c>
      <c r="E33" s="98">
        <v>9.7000000000000003E-2</v>
      </c>
      <c r="F33" s="99">
        <v>0.1</v>
      </c>
    </row>
    <row r="34" spans="1:6">
      <c r="A34" s="93" t="s">
        <v>251</v>
      </c>
      <c r="B34" s="100" t="s">
        <v>2322</v>
      </c>
      <c r="C34" s="98">
        <v>9.8000000000000004E-2</v>
      </c>
      <c r="D34" s="98">
        <v>8.5999999999999993E-2</v>
      </c>
      <c r="E34" s="98">
        <v>9.7000000000000003E-2</v>
      </c>
      <c r="F34" s="99">
        <v>0.1</v>
      </c>
    </row>
    <row r="35" spans="1:6">
      <c r="A35" s="93" t="s">
        <v>251</v>
      </c>
      <c r="B35" s="100" t="s">
        <v>2333</v>
      </c>
      <c r="C35" s="98">
        <v>5.8999999999999997E-2</v>
      </c>
      <c r="D35" s="98">
        <v>6.5000000000000002E-2</v>
      </c>
      <c r="E35" s="98">
        <v>7.0000000000000007E-2</v>
      </c>
      <c r="F35" s="99">
        <v>0.1</v>
      </c>
    </row>
    <row r="36" spans="1:6">
      <c r="A36" s="93" t="s">
        <v>251</v>
      </c>
      <c r="B36" s="100" t="s">
        <v>2344</v>
      </c>
      <c r="C36" s="98">
        <v>6.3E-2</v>
      </c>
      <c r="D36" s="98">
        <v>0.1</v>
      </c>
      <c r="E36" s="98">
        <v>0.1</v>
      </c>
      <c r="F36" s="99">
        <v>0.1</v>
      </c>
    </row>
    <row r="37" spans="1:6">
      <c r="A37" s="93" t="s">
        <v>251</v>
      </c>
      <c r="B37" s="100" t="s">
        <v>2354</v>
      </c>
      <c r="C37" s="98">
        <v>7.3999999999999996E-2</v>
      </c>
      <c r="D37" s="98">
        <v>0.1</v>
      </c>
      <c r="E37" s="98">
        <v>0.1</v>
      </c>
      <c r="F37" s="99">
        <v>0.1</v>
      </c>
    </row>
    <row r="38" spans="1:6">
      <c r="A38" s="93" t="s">
        <v>251</v>
      </c>
      <c r="B38" s="100" t="s">
        <v>2364</v>
      </c>
      <c r="C38" s="98">
        <v>0.1</v>
      </c>
      <c r="D38" s="98">
        <v>9.6000000000000002E-2</v>
      </c>
      <c r="E38" s="98">
        <v>9.6000000000000002E-2</v>
      </c>
      <c r="F38" s="106"/>
    </row>
    <row r="39" spans="1:6">
      <c r="A39" s="93" t="s">
        <v>251</v>
      </c>
      <c r="B39" s="100" t="s">
        <v>2374</v>
      </c>
      <c r="C39" s="98">
        <v>0.1</v>
      </c>
      <c r="D39" s="98">
        <v>9.6000000000000002E-2</v>
      </c>
      <c r="E39" s="98">
        <v>9.6000000000000002E-2</v>
      </c>
      <c r="F39" s="106"/>
    </row>
    <row r="40" spans="1:6">
      <c r="A40" s="93" t="s">
        <v>251</v>
      </c>
      <c r="B40" s="100" t="s">
        <v>2384</v>
      </c>
      <c r="C40" s="98">
        <v>9.6000000000000002E-2</v>
      </c>
      <c r="D40" s="98">
        <v>0.1</v>
      </c>
      <c r="E40" s="98">
        <v>9.9000000000000005E-2</v>
      </c>
      <c r="F40" s="106"/>
    </row>
    <row r="41" spans="1:6">
      <c r="A41" s="93" t="s">
        <v>251</v>
      </c>
      <c r="B41" s="100" t="s">
        <v>2394</v>
      </c>
      <c r="C41" s="98">
        <v>9.6000000000000002E-2</v>
      </c>
      <c r="D41" s="98">
        <v>9.8000000000000004E-2</v>
      </c>
      <c r="E41" s="98">
        <v>9.8000000000000004E-2</v>
      </c>
      <c r="F41" s="106"/>
    </row>
    <row r="42" spans="1:6">
      <c r="A42" s="93" t="s">
        <v>251</v>
      </c>
      <c r="B42" s="100" t="s">
        <v>2404</v>
      </c>
      <c r="C42" s="98">
        <v>0.1</v>
      </c>
      <c r="D42" s="98">
        <v>8.7999999999999995E-2</v>
      </c>
      <c r="E42" s="98">
        <v>0.1</v>
      </c>
      <c r="F42" s="106"/>
    </row>
    <row r="43" spans="1:6">
      <c r="A43" s="93" t="s">
        <v>251</v>
      </c>
      <c r="B43" s="100" t="s">
        <v>2414</v>
      </c>
      <c r="C43" s="98">
        <v>9.8000000000000004E-2</v>
      </c>
      <c r="D43" s="98">
        <v>9.7000000000000003E-2</v>
      </c>
      <c r="E43" s="98">
        <v>9.6000000000000002E-2</v>
      </c>
      <c r="F43" s="106"/>
    </row>
    <row r="44" spans="1:6">
      <c r="A44" s="93" t="s">
        <v>251</v>
      </c>
      <c r="B44" s="100" t="s">
        <v>2424</v>
      </c>
      <c r="C44" s="98">
        <v>8.5999999999999993E-2</v>
      </c>
      <c r="D44" s="98">
        <v>7.9000000000000001E-2</v>
      </c>
      <c r="E44" s="98">
        <v>7.0999999999999994E-2</v>
      </c>
      <c r="F44" s="106"/>
    </row>
    <row r="45" spans="1:6">
      <c r="A45" s="93" t="s">
        <v>251</v>
      </c>
      <c r="B45" s="100" t="s">
        <v>2434</v>
      </c>
      <c r="C45" s="98">
        <v>9.8000000000000004E-2</v>
      </c>
      <c r="D45" s="98">
        <v>9.6000000000000002E-2</v>
      </c>
      <c r="E45" s="98">
        <v>9.6000000000000002E-2</v>
      </c>
      <c r="F45" s="106"/>
    </row>
    <row r="46" spans="1:6">
      <c r="A46" s="93" t="s">
        <v>251</v>
      </c>
      <c r="B46" s="100" t="s">
        <v>2444</v>
      </c>
      <c r="C46" s="98">
        <v>8.5999999999999993E-2</v>
      </c>
      <c r="D46" s="98">
        <v>9.8000000000000004E-2</v>
      </c>
      <c r="E46" s="98">
        <v>8.7999999999999995E-2</v>
      </c>
      <c r="F46" s="106"/>
    </row>
    <row r="47" spans="1:6">
      <c r="A47" s="93" t="s">
        <v>251</v>
      </c>
      <c r="B47" s="100" t="s">
        <v>2454</v>
      </c>
      <c r="C47" s="98">
        <v>9.6000000000000002E-2</v>
      </c>
      <c r="D47" s="107"/>
      <c r="E47" s="98">
        <v>6.9000000000000006E-2</v>
      </c>
      <c r="F47" s="106"/>
    </row>
    <row r="48" spans="1:6">
      <c r="A48" s="101" t="s">
        <v>251</v>
      </c>
      <c r="B48" s="102" t="s">
        <v>2463</v>
      </c>
      <c r="C48" s="103">
        <v>9.8000000000000004E-2</v>
      </c>
      <c r="D48" s="104"/>
      <c r="E48" s="103">
        <v>9.5000000000000001E-2</v>
      </c>
      <c r="F48" s="105"/>
    </row>
    <row r="49" spans="1:6">
      <c r="A49" s="93" t="s">
        <v>259</v>
      </c>
      <c r="B49" s="94" t="s">
        <v>2261</v>
      </c>
      <c r="C49" s="95">
        <v>9.7000000000000003E-2</v>
      </c>
      <c r="D49" s="95">
        <v>9.5000000000000001E-2</v>
      </c>
      <c r="E49" s="95">
        <v>9.7000000000000003E-2</v>
      </c>
      <c r="F49" s="96">
        <v>0.1</v>
      </c>
    </row>
    <row r="50" spans="1:6">
      <c r="A50" s="93" t="s">
        <v>259</v>
      </c>
      <c r="B50" s="97" t="s">
        <v>2274</v>
      </c>
      <c r="C50" s="98">
        <v>7.4999999999999997E-2</v>
      </c>
      <c r="D50" s="98">
        <v>9.5000000000000001E-2</v>
      </c>
      <c r="E50" s="98">
        <v>0.1</v>
      </c>
      <c r="F50" s="99">
        <v>0.1</v>
      </c>
    </row>
    <row r="51" spans="1:6">
      <c r="A51" s="93" t="s">
        <v>259</v>
      </c>
      <c r="B51" s="97" t="s">
        <v>2288</v>
      </c>
      <c r="C51" s="98">
        <v>9.8000000000000004E-2</v>
      </c>
      <c r="D51" s="98">
        <v>8.8999999999999996E-2</v>
      </c>
      <c r="E51" s="98">
        <v>0.1</v>
      </c>
      <c r="F51" s="99">
        <v>0.1</v>
      </c>
    </row>
    <row r="52" spans="1:6">
      <c r="A52" s="93" t="s">
        <v>259</v>
      </c>
      <c r="B52" s="97" t="s">
        <v>2300</v>
      </c>
      <c r="C52" s="98">
        <v>9.8000000000000004E-2</v>
      </c>
      <c r="D52" s="98">
        <v>9.7000000000000003E-2</v>
      </c>
      <c r="E52" s="98">
        <v>8.1000000000000003E-2</v>
      </c>
      <c r="F52" s="99">
        <v>0.1</v>
      </c>
    </row>
    <row r="53" spans="1:6">
      <c r="A53" s="93" t="s">
        <v>259</v>
      </c>
      <c r="B53" s="97" t="s">
        <v>2312</v>
      </c>
      <c r="C53" s="98">
        <v>9.7000000000000003E-2</v>
      </c>
      <c r="D53" s="98">
        <v>7.5999999999999998E-2</v>
      </c>
      <c r="E53" s="98">
        <v>7.0999999999999994E-2</v>
      </c>
      <c r="F53" s="99">
        <v>0.1</v>
      </c>
    </row>
    <row r="54" spans="1:6">
      <c r="A54" s="93" t="s">
        <v>259</v>
      </c>
      <c r="B54" s="97" t="s">
        <v>2323</v>
      </c>
      <c r="C54" s="98">
        <v>7.5999999999999998E-2</v>
      </c>
      <c r="D54" s="98">
        <v>0.1</v>
      </c>
      <c r="E54" s="98">
        <v>9.9000000000000005E-2</v>
      </c>
      <c r="F54" s="99">
        <v>0.1</v>
      </c>
    </row>
    <row r="55" spans="1:6">
      <c r="A55" s="93" t="s">
        <v>259</v>
      </c>
      <c r="B55" s="97" t="s">
        <v>2334</v>
      </c>
      <c r="C55" s="98">
        <v>0.1</v>
      </c>
      <c r="D55" s="98">
        <v>0.1</v>
      </c>
      <c r="E55" s="98">
        <v>9.6000000000000002E-2</v>
      </c>
      <c r="F55" s="99">
        <v>0.1</v>
      </c>
    </row>
    <row r="56" spans="1:6">
      <c r="A56" s="93" t="s">
        <v>259</v>
      </c>
      <c r="B56" s="97" t="s">
        <v>2345</v>
      </c>
      <c r="C56" s="98">
        <v>0.1</v>
      </c>
      <c r="D56" s="98">
        <v>9.6000000000000002E-2</v>
      </c>
      <c r="E56" s="98">
        <v>5.1999999999999998E-2</v>
      </c>
      <c r="F56" s="99">
        <v>0.1</v>
      </c>
    </row>
    <row r="57" spans="1:6">
      <c r="A57" s="93" t="s">
        <v>259</v>
      </c>
      <c r="B57" s="97" t="s">
        <v>2355</v>
      </c>
      <c r="C57" s="98">
        <v>9.7000000000000003E-2</v>
      </c>
      <c r="D57" s="98">
        <v>9.6000000000000002E-2</v>
      </c>
      <c r="E57" s="98">
        <v>9.6000000000000002E-2</v>
      </c>
      <c r="F57" s="99">
        <v>0.1</v>
      </c>
    </row>
    <row r="58" spans="1:6">
      <c r="A58" s="93" t="s">
        <v>259</v>
      </c>
      <c r="B58" s="97" t="s">
        <v>2365</v>
      </c>
      <c r="C58" s="98">
        <v>9.6000000000000002E-2</v>
      </c>
      <c r="D58" s="98">
        <v>9.9000000000000005E-2</v>
      </c>
      <c r="E58" s="98">
        <v>9.6000000000000002E-2</v>
      </c>
      <c r="F58" s="99">
        <v>0.1</v>
      </c>
    </row>
    <row r="59" spans="1:6">
      <c r="A59" s="93" t="s">
        <v>259</v>
      </c>
      <c r="B59" s="97" t="s">
        <v>2375</v>
      </c>
      <c r="C59" s="98">
        <v>7.1999999999999995E-2</v>
      </c>
      <c r="D59" s="98">
        <v>9.6000000000000002E-2</v>
      </c>
      <c r="E59" s="98">
        <v>7.0999999999999994E-2</v>
      </c>
      <c r="F59" s="99">
        <v>0.1</v>
      </c>
    </row>
    <row r="60" spans="1:6">
      <c r="A60" s="93" t="s">
        <v>259</v>
      </c>
      <c r="B60" s="97" t="s">
        <v>2385</v>
      </c>
      <c r="C60" s="98">
        <v>9.6000000000000002E-2</v>
      </c>
      <c r="D60" s="98">
        <v>8.8999999999999996E-2</v>
      </c>
      <c r="E60" s="98">
        <v>9.6000000000000002E-2</v>
      </c>
      <c r="F60" s="99">
        <v>0.1</v>
      </c>
    </row>
    <row r="61" spans="1:6">
      <c r="A61" s="93" t="s">
        <v>259</v>
      </c>
      <c r="B61" s="97" t="s">
        <v>2395</v>
      </c>
      <c r="C61" s="98">
        <v>8.8999999999999996E-2</v>
      </c>
      <c r="D61" s="98">
        <v>9.8000000000000004E-2</v>
      </c>
      <c r="E61" s="98">
        <v>8.7999999999999995E-2</v>
      </c>
      <c r="F61" s="106"/>
    </row>
    <row r="62" spans="1:6">
      <c r="A62" s="93" t="s">
        <v>259</v>
      </c>
      <c r="B62" s="97" t="s">
        <v>2405</v>
      </c>
      <c r="C62" s="98">
        <v>9.8000000000000004E-2</v>
      </c>
      <c r="D62" s="98">
        <v>9.2999999999999999E-2</v>
      </c>
      <c r="E62" s="98">
        <v>9.7000000000000003E-2</v>
      </c>
      <c r="F62" s="106"/>
    </row>
    <row r="63" spans="1:6">
      <c r="A63" s="93" t="s">
        <v>259</v>
      </c>
      <c r="B63" s="97" t="s">
        <v>2415</v>
      </c>
      <c r="C63" s="98">
        <v>9.6000000000000002E-2</v>
      </c>
      <c r="D63" s="98">
        <v>9.8000000000000004E-2</v>
      </c>
      <c r="E63" s="98">
        <v>0.09</v>
      </c>
      <c r="F63" s="106"/>
    </row>
    <row r="64" spans="1:6">
      <c r="A64" s="93" t="s">
        <v>259</v>
      </c>
      <c r="B64" s="97" t="s">
        <v>2425</v>
      </c>
      <c r="C64" s="98">
        <v>9.9000000000000005E-2</v>
      </c>
      <c r="D64" s="98">
        <v>9.7000000000000003E-2</v>
      </c>
      <c r="E64" s="98">
        <v>9.9000000000000005E-2</v>
      </c>
      <c r="F64" s="106"/>
    </row>
    <row r="65" spans="1:6">
      <c r="A65" s="93" t="s">
        <v>259</v>
      </c>
      <c r="B65" s="97" t="s">
        <v>2435</v>
      </c>
      <c r="C65" s="98">
        <v>9.8000000000000004E-2</v>
      </c>
      <c r="D65" s="98">
        <v>9.6000000000000002E-2</v>
      </c>
      <c r="E65" s="98">
        <v>9.6000000000000002E-2</v>
      </c>
      <c r="F65" s="106"/>
    </row>
    <row r="66" spans="1:6">
      <c r="A66" s="93" t="s">
        <v>259</v>
      </c>
      <c r="B66" s="97" t="s">
        <v>2445</v>
      </c>
      <c r="C66" s="98">
        <v>9.6000000000000002E-2</v>
      </c>
      <c r="D66" s="98">
        <v>9.1999999999999998E-2</v>
      </c>
      <c r="E66" s="98">
        <v>9.6000000000000002E-2</v>
      </c>
      <c r="F66" s="106"/>
    </row>
    <row r="67" spans="1:6">
      <c r="A67" s="93" t="s">
        <v>259</v>
      </c>
      <c r="B67" s="97" t="s">
        <v>2455</v>
      </c>
      <c r="C67" s="98">
        <v>9.4E-2</v>
      </c>
      <c r="D67" s="98">
        <v>0.1</v>
      </c>
      <c r="E67" s="98">
        <v>8.7999999999999995E-2</v>
      </c>
      <c r="F67" s="106"/>
    </row>
    <row r="68" spans="1:6">
      <c r="A68" s="93" t="s">
        <v>259</v>
      </c>
      <c r="B68" s="97" t="s">
        <v>2464</v>
      </c>
      <c r="C68" s="98">
        <v>0.1</v>
      </c>
      <c r="D68" s="98">
        <v>8.7999999999999995E-2</v>
      </c>
      <c r="E68" s="98">
        <v>9.7000000000000003E-2</v>
      </c>
      <c r="F68" s="106"/>
    </row>
    <row r="69" spans="1:6">
      <c r="A69" s="93" t="s">
        <v>259</v>
      </c>
      <c r="B69" s="97" t="s">
        <v>2472</v>
      </c>
      <c r="C69" s="98">
        <v>6.4000000000000001E-2</v>
      </c>
      <c r="D69" s="98">
        <v>0.1</v>
      </c>
      <c r="E69" s="98">
        <v>0.1</v>
      </c>
      <c r="F69" s="106"/>
    </row>
    <row r="70" spans="1:6">
      <c r="A70" s="93" t="s">
        <v>259</v>
      </c>
      <c r="B70" s="97" t="s">
        <v>2480</v>
      </c>
      <c r="C70" s="98">
        <v>9.0999999999999998E-2</v>
      </c>
      <c r="D70" s="107"/>
      <c r="E70" s="107"/>
      <c r="F70" s="106"/>
    </row>
    <row r="71" spans="1:6">
      <c r="A71" s="93" t="s">
        <v>259</v>
      </c>
      <c r="B71" s="97" t="s">
        <v>2487</v>
      </c>
      <c r="C71" s="98">
        <v>0.1</v>
      </c>
      <c r="D71" s="107"/>
      <c r="E71" s="107"/>
      <c r="F71" s="106"/>
    </row>
    <row r="72" spans="1:6">
      <c r="A72" s="93" t="s">
        <v>259</v>
      </c>
      <c r="B72" s="97" t="s">
        <v>2494</v>
      </c>
      <c r="C72" s="107"/>
      <c r="D72" s="107"/>
      <c r="E72" s="107"/>
      <c r="F72" s="99">
        <v>0.05</v>
      </c>
    </row>
    <row r="73" spans="1:6">
      <c r="A73" s="93" t="s">
        <v>259</v>
      </c>
      <c r="B73" s="97" t="s">
        <v>2501</v>
      </c>
      <c r="C73" s="107"/>
      <c r="D73" s="107"/>
      <c r="E73" s="107"/>
      <c r="F73" s="99">
        <v>0.05</v>
      </c>
    </row>
    <row r="74" spans="1:6">
      <c r="A74" s="93" t="s">
        <v>259</v>
      </c>
      <c r="B74" s="97" t="s">
        <v>2508</v>
      </c>
      <c r="C74" s="107"/>
      <c r="D74" s="107"/>
      <c r="E74" s="107"/>
      <c r="F74" s="99">
        <v>0.05</v>
      </c>
    </row>
    <row r="75" spans="1:6">
      <c r="A75" s="101" t="s">
        <v>259</v>
      </c>
      <c r="B75" s="108" t="s">
        <v>2515</v>
      </c>
      <c r="C75" s="104"/>
      <c r="D75" s="104"/>
      <c r="E75" s="104"/>
      <c r="F75" s="109">
        <v>0.05</v>
      </c>
    </row>
    <row r="76" spans="1:6">
      <c r="A76" s="93" t="s">
        <v>267</v>
      </c>
      <c r="B76" s="94" t="s">
        <v>2262</v>
      </c>
      <c r="C76" s="95">
        <v>0.1</v>
      </c>
      <c r="D76" s="95">
        <v>0.1</v>
      </c>
      <c r="E76" s="95">
        <v>0.1</v>
      </c>
      <c r="F76" s="96">
        <v>0.1</v>
      </c>
    </row>
    <row r="77" spans="1:6">
      <c r="A77" s="93" t="s">
        <v>267</v>
      </c>
      <c r="B77" s="97" t="s">
        <v>2275</v>
      </c>
      <c r="C77" s="98">
        <v>8.7999999999999995E-2</v>
      </c>
      <c r="D77" s="98">
        <v>8.6999999999999994E-2</v>
      </c>
      <c r="E77" s="98">
        <v>7.9000000000000001E-2</v>
      </c>
      <c r="F77" s="99">
        <v>0.1</v>
      </c>
    </row>
    <row r="78" spans="1:6">
      <c r="A78" s="93" t="s">
        <v>267</v>
      </c>
      <c r="B78" s="97" t="s">
        <v>2289</v>
      </c>
      <c r="C78" s="98">
        <v>8.6999999999999994E-2</v>
      </c>
      <c r="D78" s="98">
        <v>8.4000000000000005E-2</v>
      </c>
      <c r="E78" s="98">
        <v>9.6000000000000002E-2</v>
      </c>
      <c r="F78" s="99">
        <v>0.1</v>
      </c>
    </row>
    <row r="79" spans="1:6">
      <c r="A79" s="93" t="s">
        <v>267</v>
      </c>
      <c r="B79" s="97" t="s">
        <v>2301</v>
      </c>
      <c r="C79" s="98">
        <v>9.8000000000000004E-2</v>
      </c>
      <c r="D79" s="98">
        <v>9.8000000000000004E-2</v>
      </c>
      <c r="E79" s="98">
        <v>9.0999999999999998E-2</v>
      </c>
      <c r="F79" s="99">
        <v>0.1</v>
      </c>
    </row>
    <row r="80" spans="1:6">
      <c r="A80" s="93" t="s">
        <v>267</v>
      </c>
      <c r="B80" s="97" t="s">
        <v>2313</v>
      </c>
      <c r="C80" s="98">
        <v>9.6000000000000002E-2</v>
      </c>
      <c r="D80" s="98">
        <v>9.6000000000000002E-2</v>
      </c>
      <c r="E80" s="98">
        <v>0.1</v>
      </c>
      <c r="F80" s="99">
        <v>0.1</v>
      </c>
    </row>
    <row r="81" spans="1:6">
      <c r="A81" s="93" t="s">
        <v>267</v>
      </c>
      <c r="B81" s="97" t="s">
        <v>2324</v>
      </c>
      <c r="C81" s="98">
        <v>9.9000000000000005E-2</v>
      </c>
      <c r="D81" s="98">
        <v>9.9000000000000005E-2</v>
      </c>
      <c r="E81" s="98">
        <v>9.8000000000000004E-2</v>
      </c>
      <c r="F81" s="99">
        <v>0.1</v>
      </c>
    </row>
    <row r="82" spans="1:6">
      <c r="A82" s="93" t="s">
        <v>267</v>
      </c>
      <c r="B82" s="97" t="s">
        <v>2335</v>
      </c>
      <c r="C82" s="98">
        <v>9.9000000000000005E-2</v>
      </c>
      <c r="D82" s="98">
        <v>9.9000000000000005E-2</v>
      </c>
      <c r="E82" s="98">
        <v>9.7000000000000003E-2</v>
      </c>
      <c r="F82" s="99">
        <v>0.1</v>
      </c>
    </row>
    <row r="83" spans="1:6">
      <c r="A83" s="93" t="s">
        <v>267</v>
      </c>
      <c r="B83" s="97" t="s">
        <v>2346</v>
      </c>
      <c r="C83" s="98">
        <v>9.8000000000000004E-2</v>
      </c>
      <c r="D83" s="98">
        <v>9.8000000000000004E-2</v>
      </c>
      <c r="E83" s="98">
        <v>9.8000000000000004E-2</v>
      </c>
      <c r="F83" s="99">
        <v>0.1</v>
      </c>
    </row>
    <row r="84" spans="1:6">
      <c r="A84" s="93" t="s">
        <v>267</v>
      </c>
      <c r="B84" s="97" t="s">
        <v>2356</v>
      </c>
      <c r="C84" s="98">
        <v>9.9000000000000005E-2</v>
      </c>
      <c r="D84" s="98">
        <v>9.9000000000000005E-2</v>
      </c>
      <c r="E84" s="98">
        <v>9.9000000000000005E-2</v>
      </c>
      <c r="F84" s="99">
        <v>0.1</v>
      </c>
    </row>
    <row r="85" spans="1:6">
      <c r="A85" s="93" t="s">
        <v>267</v>
      </c>
      <c r="B85" s="97" t="s">
        <v>2366</v>
      </c>
      <c r="C85" s="98">
        <v>9.9000000000000005E-2</v>
      </c>
      <c r="D85" s="98">
        <v>9.9000000000000005E-2</v>
      </c>
      <c r="E85" s="98">
        <v>9.9000000000000005E-2</v>
      </c>
      <c r="F85" s="99">
        <v>0.1</v>
      </c>
    </row>
    <row r="86" spans="1:6">
      <c r="A86" s="93" t="s">
        <v>267</v>
      </c>
      <c r="B86" s="97" t="s">
        <v>2376</v>
      </c>
      <c r="C86" s="98">
        <v>0.1</v>
      </c>
      <c r="D86" s="98">
        <v>0.1</v>
      </c>
      <c r="E86" s="98">
        <v>7.6999999999999999E-2</v>
      </c>
      <c r="F86" s="99">
        <v>0.1</v>
      </c>
    </row>
    <row r="87" spans="1:6">
      <c r="A87" s="93" t="s">
        <v>267</v>
      </c>
      <c r="B87" s="97" t="s">
        <v>2386</v>
      </c>
      <c r="C87" s="98">
        <v>0.1</v>
      </c>
      <c r="D87" s="98">
        <v>0.1</v>
      </c>
      <c r="E87" s="98">
        <v>9.8000000000000004E-2</v>
      </c>
      <c r="F87" s="106"/>
    </row>
    <row r="88" spans="1:6">
      <c r="A88" s="93" t="s">
        <v>267</v>
      </c>
      <c r="B88" s="97" t="s">
        <v>2396</v>
      </c>
      <c r="C88" s="98">
        <v>9.1999999999999998E-2</v>
      </c>
      <c r="D88" s="98">
        <v>8.5000000000000006E-2</v>
      </c>
      <c r="E88" s="98">
        <v>9.6000000000000002E-2</v>
      </c>
      <c r="F88" s="106"/>
    </row>
    <row r="89" spans="1:6">
      <c r="A89" s="93" t="s">
        <v>267</v>
      </c>
      <c r="B89" s="97" t="s">
        <v>2406</v>
      </c>
      <c r="C89" s="98">
        <v>0.1</v>
      </c>
      <c r="D89" s="98">
        <v>0.1</v>
      </c>
      <c r="E89" s="98">
        <v>9.7000000000000003E-2</v>
      </c>
      <c r="F89" s="106"/>
    </row>
    <row r="90" spans="1:6">
      <c r="A90" s="93" t="s">
        <v>267</v>
      </c>
      <c r="B90" s="97" t="s">
        <v>2416</v>
      </c>
      <c r="C90" s="98">
        <v>9.8000000000000004E-2</v>
      </c>
      <c r="D90" s="98">
        <v>9.8000000000000004E-2</v>
      </c>
      <c r="E90" s="98">
        <v>8.7999999999999995E-2</v>
      </c>
      <c r="F90" s="106"/>
    </row>
    <row r="91" spans="1:6">
      <c r="A91" s="93" t="s">
        <v>267</v>
      </c>
      <c r="B91" s="97" t="s">
        <v>2426</v>
      </c>
      <c r="C91" s="98">
        <v>9.9000000000000005E-2</v>
      </c>
      <c r="D91" s="98">
        <v>9.9000000000000005E-2</v>
      </c>
      <c r="E91" s="98">
        <v>9.0999999999999998E-2</v>
      </c>
      <c r="F91" s="106"/>
    </row>
    <row r="92" spans="1:6">
      <c r="A92" s="93" t="s">
        <v>267</v>
      </c>
      <c r="B92" s="97" t="s">
        <v>2436</v>
      </c>
      <c r="C92" s="98">
        <v>9.6000000000000002E-2</v>
      </c>
      <c r="D92" s="98">
        <v>9.6000000000000002E-2</v>
      </c>
      <c r="E92" s="98">
        <v>7.2999999999999995E-2</v>
      </c>
      <c r="F92" s="106"/>
    </row>
    <row r="93" spans="1:6">
      <c r="A93" s="93" t="s">
        <v>267</v>
      </c>
      <c r="B93" s="97" t="s">
        <v>2446</v>
      </c>
      <c r="C93" s="98">
        <v>9.6000000000000002E-2</v>
      </c>
      <c r="D93" s="98">
        <v>9.6000000000000002E-2</v>
      </c>
      <c r="E93" s="98">
        <v>9.9000000000000005E-2</v>
      </c>
      <c r="F93" s="106"/>
    </row>
    <row r="94" spans="1:6">
      <c r="A94" s="93" t="s">
        <v>267</v>
      </c>
      <c r="B94" s="97" t="s">
        <v>2456</v>
      </c>
      <c r="C94" s="98">
        <v>7.5999999999999998E-2</v>
      </c>
      <c r="D94" s="98">
        <v>7.3999999999999996E-2</v>
      </c>
      <c r="E94" s="98">
        <v>9.7000000000000003E-2</v>
      </c>
      <c r="F94" s="106"/>
    </row>
    <row r="95" spans="1:6">
      <c r="A95" s="93" t="s">
        <v>267</v>
      </c>
      <c r="B95" s="97" t="s">
        <v>2465</v>
      </c>
      <c r="C95" s="98">
        <v>9.9000000000000005E-2</v>
      </c>
      <c r="D95" s="98">
        <v>9.4E-2</v>
      </c>
      <c r="E95" s="98">
        <v>9.6000000000000002E-2</v>
      </c>
      <c r="F95" s="106"/>
    </row>
    <row r="96" spans="1:6">
      <c r="A96" s="93" t="s">
        <v>267</v>
      </c>
      <c r="B96" s="97" t="s">
        <v>2473</v>
      </c>
      <c r="C96" s="98">
        <v>9.9000000000000005E-2</v>
      </c>
      <c r="D96" s="98">
        <v>9.9000000000000005E-2</v>
      </c>
      <c r="E96" s="98">
        <v>9.9000000000000005E-2</v>
      </c>
      <c r="F96" s="106"/>
    </row>
    <row r="97" spans="1:6">
      <c r="A97" s="93" t="s">
        <v>267</v>
      </c>
      <c r="B97" s="97" t="s">
        <v>2481</v>
      </c>
      <c r="C97" s="98">
        <v>9.8000000000000004E-2</v>
      </c>
      <c r="D97" s="98">
        <v>9.8000000000000004E-2</v>
      </c>
      <c r="E97" s="98">
        <v>9.7000000000000003E-2</v>
      </c>
      <c r="F97" s="106"/>
    </row>
    <row r="98" spans="1:6">
      <c r="A98" s="93" t="s">
        <v>267</v>
      </c>
      <c r="B98" s="97" t="s">
        <v>2488</v>
      </c>
      <c r="C98" s="98">
        <v>0.1</v>
      </c>
      <c r="D98" s="98">
        <v>0.1</v>
      </c>
      <c r="E98" s="98">
        <v>9.7000000000000003E-2</v>
      </c>
      <c r="F98" s="106"/>
    </row>
    <row r="99" spans="1:6">
      <c r="A99" s="93" t="s">
        <v>267</v>
      </c>
      <c r="B99" s="97" t="s">
        <v>2495</v>
      </c>
      <c r="C99" s="98">
        <v>0.1</v>
      </c>
      <c r="D99" s="98">
        <v>0.1</v>
      </c>
      <c r="E99" s="107"/>
      <c r="F99" s="106"/>
    </row>
    <row r="100" spans="1:6">
      <c r="A100" s="93" t="s">
        <v>267</v>
      </c>
      <c r="B100" s="97" t="s">
        <v>2502</v>
      </c>
      <c r="C100" s="98">
        <v>0.09</v>
      </c>
      <c r="D100" s="98">
        <v>8.8999999999999996E-2</v>
      </c>
      <c r="E100" s="107"/>
      <c r="F100" s="106"/>
    </row>
    <row r="101" spans="1:6">
      <c r="A101" s="93" t="s">
        <v>267</v>
      </c>
      <c r="B101" s="97" t="s">
        <v>2509</v>
      </c>
      <c r="C101" s="98">
        <v>9.8000000000000004E-2</v>
      </c>
      <c r="D101" s="98">
        <v>9.7000000000000003E-2</v>
      </c>
      <c r="E101" s="107"/>
      <c r="F101" s="106"/>
    </row>
    <row r="102" spans="1:6">
      <c r="A102" s="93" t="s">
        <v>267</v>
      </c>
      <c r="B102" s="97" t="s">
        <v>2516</v>
      </c>
      <c r="C102" s="107"/>
      <c r="D102" s="107"/>
      <c r="E102" s="107"/>
      <c r="F102" s="99">
        <v>0.05</v>
      </c>
    </row>
    <row r="103" spans="1:6" ht="24">
      <c r="A103" s="93" t="s">
        <v>267</v>
      </c>
      <c r="B103" s="97" t="s">
        <v>2521</v>
      </c>
      <c r="C103" s="107"/>
      <c r="D103" s="107"/>
      <c r="E103" s="107"/>
      <c r="F103" s="99">
        <v>0.05</v>
      </c>
    </row>
    <row r="104" spans="1:6">
      <c r="A104" s="93" t="s">
        <v>267</v>
      </c>
      <c r="B104" s="97" t="s">
        <v>2526</v>
      </c>
      <c r="C104" s="107"/>
      <c r="D104" s="107"/>
      <c r="E104" s="107"/>
      <c r="F104" s="99">
        <v>0.05</v>
      </c>
    </row>
    <row r="105" spans="1:6">
      <c r="A105" s="93" t="s">
        <v>267</v>
      </c>
      <c r="B105" s="97" t="s">
        <v>2531</v>
      </c>
      <c r="C105" s="107"/>
      <c r="D105" s="107"/>
      <c r="E105" s="107"/>
      <c r="F105" s="99">
        <v>0.05</v>
      </c>
    </row>
    <row r="106" spans="1:6">
      <c r="A106" s="93" t="s">
        <v>267</v>
      </c>
      <c r="B106" s="97" t="s">
        <v>2536</v>
      </c>
      <c r="C106" s="107"/>
      <c r="D106" s="107"/>
      <c r="E106" s="107"/>
      <c r="F106" s="99">
        <v>0.05</v>
      </c>
    </row>
    <row r="107" spans="1:6" ht="24">
      <c r="A107" s="93" t="s">
        <v>267</v>
      </c>
      <c r="B107" s="97" t="s">
        <v>2541</v>
      </c>
      <c r="C107" s="107"/>
      <c r="D107" s="107"/>
      <c r="E107" s="107"/>
      <c r="F107" s="99">
        <v>0.05</v>
      </c>
    </row>
    <row r="108" spans="1:6" ht="24">
      <c r="A108" s="93" t="s">
        <v>267</v>
      </c>
      <c r="B108" s="97" t="s">
        <v>2546</v>
      </c>
      <c r="C108" s="107"/>
      <c r="D108" s="107"/>
      <c r="E108" s="107"/>
      <c r="F108" s="99">
        <v>0.05</v>
      </c>
    </row>
    <row r="109" spans="1:6" ht="24">
      <c r="A109" s="101" t="s">
        <v>267</v>
      </c>
      <c r="B109" s="108" t="s">
        <v>2551</v>
      </c>
      <c r="C109" s="104"/>
      <c r="D109" s="104"/>
      <c r="E109" s="104"/>
      <c r="F109" s="109">
        <v>0.05</v>
      </c>
    </row>
    <row r="110" spans="1:6">
      <c r="A110" s="93" t="s">
        <v>273</v>
      </c>
      <c r="B110" s="94" t="s">
        <v>2263</v>
      </c>
      <c r="C110" s="95">
        <v>0.129</v>
      </c>
      <c r="D110" s="95">
        <v>0.129</v>
      </c>
      <c r="E110" s="95">
        <v>0.126</v>
      </c>
      <c r="F110" s="96">
        <v>0.13</v>
      </c>
    </row>
    <row r="111" spans="1:6">
      <c r="A111" s="93" t="s">
        <v>273</v>
      </c>
      <c r="B111" s="97" t="s">
        <v>2276</v>
      </c>
      <c r="C111" s="98">
        <v>0.11</v>
      </c>
      <c r="D111" s="98">
        <v>0.11</v>
      </c>
      <c r="E111" s="98">
        <v>9.9000000000000005E-2</v>
      </c>
      <c r="F111" s="99">
        <v>0.128</v>
      </c>
    </row>
    <row r="112" spans="1:6">
      <c r="A112" s="93" t="s">
        <v>273</v>
      </c>
      <c r="B112" s="97" t="s">
        <v>2290</v>
      </c>
      <c r="C112" s="98">
        <v>0.125</v>
      </c>
      <c r="D112" s="98">
        <v>0.125</v>
      </c>
      <c r="E112" s="98">
        <v>0.12</v>
      </c>
      <c r="F112" s="99">
        <v>0.125</v>
      </c>
    </row>
    <row r="113" spans="1:6">
      <c r="A113" s="93" t="s">
        <v>273</v>
      </c>
      <c r="B113" s="97" t="s">
        <v>2302</v>
      </c>
      <c r="C113" s="98">
        <v>0.13</v>
      </c>
      <c r="D113" s="98">
        <v>0.13</v>
      </c>
      <c r="E113" s="98">
        <v>0.13</v>
      </c>
      <c r="F113" s="99">
        <v>0.13</v>
      </c>
    </row>
    <row r="114" spans="1:6">
      <c r="A114" s="93" t="s">
        <v>273</v>
      </c>
      <c r="B114" s="97" t="s">
        <v>2314</v>
      </c>
      <c r="C114" s="98">
        <v>0.123</v>
      </c>
      <c r="D114" s="98">
        <v>0.123</v>
      </c>
      <c r="E114" s="98">
        <v>0.12</v>
      </c>
      <c r="F114" s="99">
        <v>0.13</v>
      </c>
    </row>
    <row r="115" spans="1:6">
      <c r="A115" s="93" t="s">
        <v>273</v>
      </c>
      <c r="B115" s="97" t="s">
        <v>2325</v>
      </c>
      <c r="C115" s="98">
        <v>0.125</v>
      </c>
      <c r="D115" s="98">
        <v>0.125</v>
      </c>
      <c r="E115" s="98">
        <v>0.11700000000000001</v>
      </c>
      <c r="F115" s="99">
        <v>0.13</v>
      </c>
    </row>
    <row r="116" spans="1:6">
      <c r="A116" s="93" t="s">
        <v>273</v>
      </c>
      <c r="B116" s="97" t="s">
        <v>2336</v>
      </c>
      <c r="C116" s="98">
        <v>0.11700000000000001</v>
      </c>
      <c r="D116" s="98">
        <v>0.11700000000000001</v>
      </c>
      <c r="E116" s="98">
        <v>8.7999999999999995E-2</v>
      </c>
      <c r="F116" s="99">
        <v>0.13</v>
      </c>
    </row>
    <row r="117" spans="1:6">
      <c r="A117" s="93" t="s">
        <v>273</v>
      </c>
      <c r="B117" s="97" t="s">
        <v>2347</v>
      </c>
      <c r="C117" s="98">
        <v>0.13</v>
      </c>
      <c r="D117" s="98">
        <v>0.13</v>
      </c>
      <c r="E117" s="98">
        <v>0.129</v>
      </c>
      <c r="F117" s="99">
        <v>0.13</v>
      </c>
    </row>
    <row r="118" spans="1:6">
      <c r="A118" s="93" t="s">
        <v>273</v>
      </c>
      <c r="B118" s="97" t="s">
        <v>2357</v>
      </c>
      <c r="C118" s="98">
        <v>0.123</v>
      </c>
      <c r="D118" s="98">
        <v>0.123</v>
      </c>
      <c r="E118" s="98">
        <v>0.11600000000000001</v>
      </c>
      <c r="F118" s="99">
        <v>0.13</v>
      </c>
    </row>
    <row r="119" spans="1:6">
      <c r="A119" s="93" t="s">
        <v>273</v>
      </c>
      <c r="B119" s="97" t="s">
        <v>2367</v>
      </c>
      <c r="C119" s="98">
        <v>0.127</v>
      </c>
      <c r="D119" s="98">
        <v>0.127</v>
      </c>
      <c r="E119" s="98">
        <v>0.124</v>
      </c>
      <c r="F119" s="99">
        <v>0.13</v>
      </c>
    </row>
    <row r="120" spans="1:6">
      <c r="A120" s="93" t="s">
        <v>273</v>
      </c>
      <c r="B120" s="97" t="s">
        <v>2377</v>
      </c>
      <c r="C120" s="98">
        <v>0.125</v>
      </c>
      <c r="D120" s="98">
        <v>0.125</v>
      </c>
      <c r="E120" s="98">
        <v>0.122</v>
      </c>
      <c r="F120" s="99">
        <v>0.13</v>
      </c>
    </row>
    <row r="121" spans="1:6">
      <c r="A121" s="93" t="s">
        <v>273</v>
      </c>
      <c r="B121" s="97" t="s">
        <v>2387</v>
      </c>
      <c r="C121" s="98">
        <v>0.13</v>
      </c>
      <c r="D121" s="98">
        <v>0.13</v>
      </c>
      <c r="E121" s="98">
        <v>0.13</v>
      </c>
      <c r="F121" s="99">
        <v>0.13</v>
      </c>
    </row>
    <row r="122" spans="1:6">
      <c r="A122" s="93" t="s">
        <v>273</v>
      </c>
      <c r="B122" s="97" t="s">
        <v>2397</v>
      </c>
      <c r="C122" s="98">
        <v>0.13</v>
      </c>
      <c r="D122" s="98">
        <v>0.13</v>
      </c>
      <c r="E122" s="98">
        <v>0.125</v>
      </c>
      <c r="F122" s="99">
        <v>0.13</v>
      </c>
    </row>
    <row r="123" spans="1:6">
      <c r="A123" s="93" t="s">
        <v>273</v>
      </c>
      <c r="B123" s="97" t="s">
        <v>2407</v>
      </c>
      <c r="C123" s="98">
        <v>0.129</v>
      </c>
      <c r="D123" s="98">
        <v>0.129</v>
      </c>
      <c r="E123" s="98">
        <v>0.123</v>
      </c>
      <c r="F123" s="99">
        <v>0.13</v>
      </c>
    </row>
    <row r="124" spans="1:6">
      <c r="A124" s="93" t="s">
        <v>273</v>
      </c>
      <c r="B124" s="97" t="s">
        <v>2417</v>
      </c>
      <c r="C124" s="98">
        <v>0.10199999999999999</v>
      </c>
      <c r="D124" s="98">
        <v>0.10100000000000001</v>
      </c>
      <c r="E124" s="98">
        <v>0.08</v>
      </c>
      <c r="F124" s="106"/>
    </row>
    <row r="125" spans="1:6">
      <c r="A125" s="93" t="s">
        <v>273</v>
      </c>
      <c r="B125" s="97" t="s">
        <v>2427</v>
      </c>
      <c r="C125" s="98">
        <v>0.13</v>
      </c>
      <c r="D125" s="98">
        <v>0.13</v>
      </c>
      <c r="E125" s="98">
        <v>0.129</v>
      </c>
      <c r="F125" s="106"/>
    </row>
    <row r="126" spans="1:6">
      <c r="A126" s="93" t="s">
        <v>273</v>
      </c>
      <c r="B126" s="97" t="s">
        <v>2437</v>
      </c>
      <c r="C126" s="98">
        <v>0.13</v>
      </c>
      <c r="D126" s="98">
        <v>0.13</v>
      </c>
      <c r="E126" s="98">
        <v>0.126</v>
      </c>
      <c r="F126" s="106"/>
    </row>
    <row r="127" spans="1:6">
      <c r="A127" s="93" t="s">
        <v>273</v>
      </c>
      <c r="B127" s="97" t="s">
        <v>2447</v>
      </c>
      <c r="C127" s="98">
        <v>0.125</v>
      </c>
      <c r="D127" s="98">
        <v>0.125</v>
      </c>
      <c r="E127" s="98">
        <v>0.121</v>
      </c>
      <c r="F127" s="106"/>
    </row>
    <row r="128" spans="1:6">
      <c r="A128" s="93" t="s">
        <v>273</v>
      </c>
      <c r="B128" s="97" t="s">
        <v>2457</v>
      </c>
      <c r="C128" s="98">
        <v>0.12</v>
      </c>
      <c r="D128" s="98">
        <v>0.12</v>
      </c>
      <c r="E128" s="98">
        <v>0.105</v>
      </c>
      <c r="F128" s="106"/>
    </row>
    <row r="129" spans="1:6">
      <c r="A129" s="93" t="s">
        <v>273</v>
      </c>
      <c r="B129" s="97" t="s">
        <v>2466</v>
      </c>
      <c r="C129" s="98">
        <v>0.13</v>
      </c>
      <c r="D129" s="98">
        <v>0.13</v>
      </c>
      <c r="E129" s="98">
        <v>0.126</v>
      </c>
      <c r="F129" s="106"/>
    </row>
    <row r="130" spans="1:6">
      <c r="A130" s="93" t="s">
        <v>273</v>
      </c>
      <c r="B130" s="97" t="s">
        <v>2474</v>
      </c>
      <c r="C130" s="98">
        <v>0.125</v>
      </c>
      <c r="D130" s="98">
        <v>0.125</v>
      </c>
      <c r="E130" s="98">
        <v>0.122</v>
      </c>
      <c r="F130" s="106"/>
    </row>
    <row r="131" spans="1:6">
      <c r="A131" s="93" t="s">
        <v>273</v>
      </c>
      <c r="B131" s="97" t="s">
        <v>2482</v>
      </c>
      <c r="C131" s="98">
        <v>0.127</v>
      </c>
      <c r="D131" s="98">
        <v>0.126</v>
      </c>
      <c r="E131" s="98">
        <v>0.123</v>
      </c>
      <c r="F131" s="106"/>
    </row>
    <row r="132" spans="1:6">
      <c r="A132" s="93" t="s">
        <v>273</v>
      </c>
      <c r="B132" s="97" t="s">
        <v>2489</v>
      </c>
      <c r="C132" s="98">
        <v>9.0999999999999998E-2</v>
      </c>
      <c r="D132" s="98">
        <v>0.121</v>
      </c>
      <c r="E132" s="98">
        <v>9.9000000000000005E-2</v>
      </c>
      <c r="F132" s="106"/>
    </row>
    <row r="133" spans="1:6">
      <c r="A133" s="93" t="s">
        <v>273</v>
      </c>
      <c r="B133" s="97" t="s">
        <v>2496</v>
      </c>
      <c r="C133" s="98">
        <v>0.13</v>
      </c>
      <c r="D133" s="98">
        <v>0.13</v>
      </c>
      <c r="E133" s="98">
        <v>0.129</v>
      </c>
      <c r="F133" s="106"/>
    </row>
    <row r="134" spans="1:6">
      <c r="A134" s="93" t="s">
        <v>273</v>
      </c>
      <c r="B134" s="97" t="s">
        <v>2503</v>
      </c>
      <c r="C134" s="98">
        <v>6.8000000000000005E-2</v>
      </c>
      <c r="D134" s="98">
        <v>6.5000000000000002E-2</v>
      </c>
      <c r="E134" s="98">
        <v>6.5000000000000002E-2</v>
      </c>
      <c r="F134" s="99">
        <v>0.13</v>
      </c>
    </row>
    <row r="135" spans="1:6">
      <c r="A135" s="93" t="s">
        <v>273</v>
      </c>
      <c r="B135" s="97" t="s">
        <v>2510</v>
      </c>
      <c r="C135" s="98">
        <v>0.123</v>
      </c>
      <c r="D135" s="98">
        <v>0.123</v>
      </c>
      <c r="E135" s="98">
        <v>0.11</v>
      </c>
      <c r="F135" s="106"/>
    </row>
    <row r="136" spans="1:6">
      <c r="A136" s="93" t="s">
        <v>273</v>
      </c>
      <c r="B136" s="97" t="s">
        <v>2517</v>
      </c>
      <c r="C136" s="98">
        <v>0.13</v>
      </c>
      <c r="D136" s="98">
        <v>0.13</v>
      </c>
      <c r="E136" s="98">
        <v>0.125</v>
      </c>
      <c r="F136" s="106"/>
    </row>
    <row r="137" spans="1:6">
      <c r="A137" s="93" t="s">
        <v>273</v>
      </c>
      <c r="B137" s="97" t="s">
        <v>2522</v>
      </c>
      <c r="C137" s="98">
        <v>0.121</v>
      </c>
      <c r="D137" s="98">
        <v>0.122</v>
      </c>
      <c r="E137" s="98">
        <v>0.115</v>
      </c>
      <c r="F137" s="106"/>
    </row>
    <row r="138" spans="1:6">
      <c r="A138" s="93" t="s">
        <v>273</v>
      </c>
      <c r="B138" s="97" t="s">
        <v>2527</v>
      </c>
      <c r="C138" s="98">
        <v>0.105</v>
      </c>
      <c r="D138" s="98">
        <v>0.125</v>
      </c>
      <c r="E138" s="98">
        <v>0.112</v>
      </c>
      <c r="F138" s="106"/>
    </row>
    <row r="139" spans="1:6">
      <c r="A139" s="93" t="s">
        <v>273</v>
      </c>
      <c r="B139" s="97" t="s">
        <v>2532</v>
      </c>
      <c r="C139" s="98">
        <v>0.127</v>
      </c>
      <c r="D139" s="98">
        <v>0.127</v>
      </c>
      <c r="E139" s="98">
        <v>0.122</v>
      </c>
      <c r="F139" s="99">
        <v>0.13</v>
      </c>
    </row>
    <row r="140" spans="1:6">
      <c r="A140" s="93" t="s">
        <v>273</v>
      </c>
      <c r="B140" s="97" t="s">
        <v>2537</v>
      </c>
      <c r="C140" s="98">
        <v>0.125</v>
      </c>
      <c r="D140" s="98">
        <v>0.125</v>
      </c>
      <c r="E140" s="98">
        <v>0.11899999999999999</v>
      </c>
      <c r="F140" s="99">
        <v>0.13</v>
      </c>
    </row>
    <row r="141" spans="1:6">
      <c r="A141" s="93" t="s">
        <v>273</v>
      </c>
      <c r="B141" s="97" t="s">
        <v>2542</v>
      </c>
      <c r="C141" s="98">
        <v>0.125</v>
      </c>
      <c r="D141" s="98">
        <v>0.125</v>
      </c>
      <c r="E141" s="98">
        <v>0.11700000000000001</v>
      </c>
      <c r="F141" s="106"/>
    </row>
    <row r="142" spans="1:6">
      <c r="A142" s="93" t="s">
        <v>273</v>
      </c>
      <c r="B142" s="97" t="s">
        <v>2547</v>
      </c>
      <c r="C142" s="98">
        <v>0.125</v>
      </c>
      <c r="D142" s="98">
        <v>0.125</v>
      </c>
      <c r="E142" s="98">
        <v>0.115</v>
      </c>
      <c r="F142" s="106"/>
    </row>
    <row r="143" spans="1:6">
      <c r="A143" s="93" t="s">
        <v>273</v>
      </c>
      <c r="B143" s="97" t="s">
        <v>2552</v>
      </c>
      <c r="C143" s="98">
        <v>0.121</v>
      </c>
      <c r="D143" s="98">
        <v>0.121</v>
      </c>
      <c r="E143" s="98">
        <v>0.108</v>
      </c>
      <c r="F143" s="106"/>
    </row>
    <row r="144" spans="1:6">
      <c r="A144" s="93" t="s">
        <v>273</v>
      </c>
      <c r="B144" s="110" t="s">
        <v>2556</v>
      </c>
      <c r="C144" s="111">
        <v>0.126</v>
      </c>
      <c r="D144" s="111">
        <v>0.126</v>
      </c>
      <c r="E144" s="111">
        <v>0.121</v>
      </c>
      <c r="F144" s="106"/>
    </row>
    <row r="145" spans="1:6">
      <c r="A145" s="101" t="s">
        <v>273</v>
      </c>
      <c r="B145" s="112" t="s">
        <v>2560</v>
      </c>
      <c r="C145" s="113"/>
      <c r="D145" s="113"/>
      <c r="E145" s="113"/>
      <c r="F145" s="114">
        <v>0.05</v>
      </c>
    </row>
    <row r="146" spans="1:6" ht="24">
      <c r="A146" s="115" t="s">
        <v>273</v>
      </c>
      <c r="B146" s="100" t="s">
        <v>2564</v>
      </c>
      <c r="C146" s="107"/>
      <c r="D146" s="107"/>
      <c r="E146" s="107"/>
      <c r="F146" s="116">
        <v>0.05</v>
      </c>
    </row>
    <row r="147" spans="1:6" ht="24">
      <c r="A147" s="93" t="s">
        <v>273</v>
      </c>
      <c r="B147" s="97" t="s">
        <v>2568</v>
      </c>
      <c r="C147" s="107"/>
      <c r="D147" s="107"/>
      <c r="E147" s="107"/>
      <c r="F147" s="99">
        <v>0.05</v>
      </c>
    </row>
    <row r="148" spans="1:6" ht="24">
      <c r="A148" s="93" t="s">
        <v>273</v>
      </c>
      <c r="B148" s="97" t="s">
        <v>2572</v>
      </c>
      <c r="C148" s="107"/>
      <c r="D148" s="107"/>
      <c r="E148" s="107"/>
      <c r="F148" s="99">
        <v>0.05</v>
      </c>
    </row>
    <row r="149" spans="1:6" ht="24">
      <c r="A149" s="93" t="s">
        <v>273</v>
      </c>
      <c r="B149" s="97" t="s">
        <v>2576</v>
      </c>
      <c r="C149" s="107"/>
      <c r="D149" s="107"/>
      <c r="E149" s="107"/>
      <c r="F149" s="99">
        <v>0.05</v>
      </c>
    </row>
    <row r="150" spans="1:6" ht="24">
      <c r="A150" s="93" t="s">
        <v>273</v>
      </c>
      <c r="B150" s="97" t="s">
        <v>2579</v>
      </c>
      <c r="C150" s="107"/>
      <c r="D150" s="107"/>
      <c r="E150" s="107"/>
      <c r="F150" s="99">
        <v>0.05</v>
      </c>
    </row>
    <row r="151" spans="1:6" ht="24">
      <c r="A151" s="93" t="s">
        <v>273</v>
      </c>
      <c r="B151" s="97" t="s">
        <v>2582</v>
      </c>
      <c r="C151" s="107"/>
      <c r="D151" s="107"/>
      <c r="E151" s="107"/>
      <c r="F151" s="99">
        <v>0.05</v>
      </c>
    </row>
    <row r="152" spans="1:6" ht="24">
      <c r="A152" s="93" t="s">
        <v>273</v>
      </c>
      <c r="B152" s="97" t="s">
        <v>2585</v>
      </c>
      <c r="C152" s="107"/>
      <c r="D152" s="107"/>
      <c r="E152" s="107"/>
      <c r="F152" s="99">
        <v>0.05</v>
      </c>
    </row>
    <row r="153" spans="1:6">
      <c r="A153" s="93" t="s">
        <v>273</v>
      </c>
      <c r="B153" s="97" t="s">
        <v>2588</v>
      </c>
      <c r="C153" s="107"/>
      <c r="D153" s="107"/>
      <c r="E153" s="107"/>
      <c r="F153" s="99">
        <v>0.05</v>
      </c>
    </row>
    <row r="154" spans="1:6">
      <c r="A154" s="93" t="s">
        <v>273</v>
      </c>
      <c r="B154" s="97" t="s">
        <v>2591</v>
      </c>
      <c r="C154" s="107"/>
      <c r="D154" s="107"/>
      <c r="E154" s="107"/>
      <c r="F154" s="99">
        <v>0.05</v>
      </c>
    </row>
    <row r="155" spans="1:6" ht="24">
      <c r="A155" s="93" t="s">
        <v>273</v>
      </c>
      <c r="B155" s="97" t="s">
        <v>2594</v>
      </c>
      <c r="C155" s="107"/>
      <c r="D155" s="107"/>
      <c r="E155" s="107"/>
      <c r="F155" s="99">
        <v>0.05</v>
      </c>
    </row>
    <row r="156" spans="1:6" ht="24">
      <c r="A156" s="93" t="s">
        <v>273</v>
      </c>
      <c r="B156" s="97" t="s">
        <v>2596</v>
      </c>
      <c r="C156" s="107"/>
      <c r="D156" s="107"/>
      <c r="E156" s="107"/>
      <c r="F156" s="99">
        <v>0.05</v>
      </c>
    </row>
    <row r="157" spans="1:6">
      <c r="A157" s="101" t="s">
        <v>273</v>
      </c>
      <c r="B157" s="108" t="s">
        <v>2598</v>
      </c>
      <c r="C157" s="104"/>
      <c r="D157" s="104"/>
      <c r="E157" s="104"/>
      <c r="F157" s="109">
        <v>0.05</v>
      </c>
    </row>
    <row r="158" spans="1:6">
      <c r="A158" s="93" t="s">
        <v>278</v>
      </c>
      <c r="B158" s="94" t="s">
        <v>2264</v>
      </c>
      <c r="C158" s="95">
        <v>0.13</v>
      </c>
      <c r="D158" s="95">
        <v>0.13</v>
      </c>
      <c r="E158" s="95">
        <v>0.13</v>
      </c>
      <c r="F158" s="96">
        <v>0.13</v>
      </c>
    </row>
    <row r="159" spans="1:6">
      <c r="A159" s="93" t="s">
        <v>278</v>
      </c>
      <c r="B159" s="97" t="s">
        <v>2277</v>
      </c>
      <c r="C159" s="98">
        <v>0.13</v>
      </c>
      <c r="D159" s="98">
        <v>0.13</v>
      </c>
      <c r="E159" s="98">
        <v>0.13</v>
      </c>
      <c r="F159" s="99">
        <v>0.13</v>
      </c>
    </row>
    <row r="160" spans="1:6">
      <c r="A160" s="93" t="s">
        <v>278</v>
      </c>
      <c r="B160" s="97" t="s">
        <v>2291</v>
      </c>
      <c r="C160" s="98">
        <v>0.13</v>
      </c>
      <c r="D160" s="98">
        <v>0.13</v>
      </c>
      <c r="E160" s="98">
        <v>0.129</v>
      </c>
      <c r="F160" s="99">
        <v>0.13</v>
      </c>
    </row>
    <row r="161" spans="1:6">
      <c r="A161" s="93" t="s">
        <v>278</v>
      </c>
      <c r="B161" s="97" t="s">
        <v>2303</v>
      </c>
      <c r="C161" s="98">
        <v>0.128</v>
      </c>
      <c r="D161" s="98">
        <v>0.128</v>
      </c>
      <c r="E161" s="98">
        <v>0.125</v>
      </c>
      <c r="F161" s="99">
        <v>0.13</v>
      </c>
    </row>
    <row r="162" spans="1:6">
      <c r="A162" s="93" t="s">
        <v>278</v>
      </c>
      <c r="B162" s="97" t="s">
        <v>2315</v>
      </c>
      <c r="C162" s="98">
        <v>0.122</v>
      </c>
      <c r="D162" s="98">
        <v>0.122</v>
      </c>
      <c r="E162" s="98">
        <v>0.126</v>
      </c>
      <c r="F162" s="99">
        <v>0.122</v>
      </c>
    </row>
    <row r="163" spans="1:6">
      <c r="A163" s="93" t="s">
        <v>278</v>
      </c>
      <c r="B163" s="97" t="s">
        <v>2326</v>
      </c>
      <c r="C163" s="98">
        <v>0.13</v>
      </c>
      <c r="D163" s="98">
        <v>0.13</v>
      </c>
      <c r="E163" s="98">
        <v>0.125</v>
      </c>
      <c r="F163" s="99">
        <v>0.13</v>
      </c>
    </row>
    <row r="164" spans="1:6">
      <c r="A164" s="93" t="s">
        <v>278</v>
      </c>
      <c r="B164" s="97" t="s">
        <v>2337</v>
      </c>
      <c r="C164" s="98">
        <v>0.13</v>
      </c>
      <c r="D164" s="98">
        <v>0.13</v>
      </c>
      <c r="E164" s="98">
        <v>0.13</v>
      </c>
      <c r="F164" s="99">
        <v>0.13</v>
      </c>
    </row>
    <row r="165" spans="1:6">
      <c r="A165" s="93" t="s">
        <v>278</v>
      </c>
      <c r="B165" s="97" t="s">
        <v>2348</v>
      </c>
      <c r="C165" s="98">
        <v>0.13</v>
      </c>
      <c r="D165" s="98">
        <v>0.13</v>
      </c>
      <c r="E165" s="98">
        <v>0.124</v>
      </c>
      <c r="F165" s="99">
        <v>0.13</v>
      </c>
    </row>
    <row r="166" spans="1:6">
      <c r="A166" s="93" t="s">
        <v>278</v>
      </c>
      <c r="B166" s="97" t="s">
        <v>2358</v>
      </c>
      <c r="C166" s="98">
        <v>0.13</v>
      </c>
      <c r="D166" s="98">
        <v>0.13</v>
      </c>
      <c r="E166" s="98">
        <v>0.13</v>
      </c>
      <c r="F166" s="99">
        <v>0.13</v>
      </c>
    </row>
    <row r="167" spans="1:6">
      <c r="A167" s="93" t="s">
        <v>278</v>
      </c>
      <c r="B167" s="97" t="s">
        <v>2368</v>
      </c>
      <c r="C167" s="98">
        <v>0.125</v>
      </c>
      <c r="D167" s="98">
        <v>0.125</v>
      </c>
      <c r="E167" s="98">
        <v>0.121</v>
      </c>
      <c r="F167" s="106"/>
    </row>
    <row r="168" spans="1:6">
      <c r="A168" s="93" t="s">
        <v>278</v>
      </c>
      <c r="B168" s="97" t="s">
        <v>2378</v>
      </c>
      <c r="C168" s="98">
        <v>0.13</v>
      </c>
      <c r="D168" s="98">
        <v>0.13</v>
      </c>
      <c r="E168" s="98">
        <v>0.126</v>
      </c>
      <c r="F168" s="106"/>
    </row>
    <row r="169" spans="1:6">
      <c r="A169" s="93" t="s">
        <v>278</v>
      </c>
      <c r="B169" s="97" t="s">
        <v>2388</v>
      </c>
      <c r="C169" s="98">
        <v>0.128</v>
      </c>
      <c r="D169" s="98">
        <v>0.129</v>
      </c>
      <c r="E169" s="98">
        <v>0.13</v>
      </c>
      <c r="F169" s="106"/>
    </row>
    <row r="170" spans="1:6">
      <c r="A170" s="93" t="s">
        <v>278</v>
      </c>
      <c r="B170" s="97" t="s">
        <v>2398</v>
      </c>
      <c r="C170" s="98">
        <v>0.14099999999999999</v>
      </c>
      <c r="D170" s="98">
        <v>0.13</v>
      </c>
      <c r="E170" s="98">
        <v>0.125</v>
      </c>
      <c r="F170" s="106"/>
    </row>
    <row r="171" spans="1:6">
      <c r="A171" s="93" t="s">
        <v>278</v>
      </c>
      <c r="B171" s="97" t="s">
        <v>2408</v>
      </c>
      <c r="C171" s="98">
        <v>0.127</v>
      </c>
      <c r="D171" s="98">
        <v>0.126</v>
      </c>
      <c r="E171" s="98">
        <v>0.126</v>
      </c>
      <c r="F171" s="99">
        <v>0.11799999999999999</v>
      </c>
    </row>
    <row r="172" spans="1:6">
      <c r="A172" s="93" t="s">
        <v>278</v>
      </c>
      <c r="B172" s="97" t="s">
        <v>2418</v>
      </c>
      <c r="C172" s="98">
        <v>0.13</v>
      </c>
      <c r="D172" s="98">
        <v>0.13</v>
      </c>
      <c r="E172" s="98">
        <v>0.13</v>
      </c>
      <c r="F172" s="106"/>
    </row>
    <row r="173" spans="1:6">
      <c r="A173" s="93" t="s">
        <v>278</v>
      </c>
      <c r="B173" s="97" t="s">
        <v>2428</v>
      </c>
      <c r="C173" s="98">
        <v>0.13</v>
      </c>
      <c r="D173" s="98">
        <v>0.13</v>
      </c>
      <c r="E173" s="98">
        <v>0.13</v>
      </c>
      <c r="F173" s="106"/>
    </row>
    <row r="174" spans="1:6">
      <c r="A174" s="93" t="s">
        <v>278</v>
      </c>
      <c r="B174" s="97" t="s">
        <v>2438</v>
      </c>
      <c r="C174" s="98">
        <v>0.13</v>
      </c>
      <c r="D174" s="98">
        <v>0.13</v>
      </c>
      <c r="E174" s="98">
        <v>0.13</v>
      </c>
      <c r="F174" s="99">
        <v>0.13</v>
      </c>
    </row>
    <row r="175" spans="1:6">
      <c r="A175" s="93" t="s">
        <v>278</v>
      </c>
      <c r="B175" s="97" t="s">
        <v>2448</v>
      </c>
      <c r="C175" s="98">
        <v>0.13</v>
      </c>
      <c r="D175" s="98">
        <v>0.13</v>
      </c>
      <c r="E175" s="98">
        <v>0.13</v>
      </c>
      <c r="F175" s="99">
        <v>0.13</v>
      </c>
    </row>
    <row r="176" spans="1:6">
      <c r="A176" s="93" t="s">
        <v>278</v>
      </c>
      <c r="B176" s="97" t="s">
        <v>2458</v>
      </c>
      <c r="C176" s="98">
        <v>0.13</v>
      </c>
      <c r="D176" s="98">
        <v>0.13</v>
      </c>
      <c r="E176" s="98">
        <v>0.13</v>
      </c>
      <c r="F176" s="99">
        <v>0.13</v>
      </c>
    </row>
    <row r="177" spans="1:6">
      <c r="A177" s="93" t="s">
        <v>278</v>
      </c>
      <c r="B177" s="97" t="s">
        <v>2467</v>
      </c>
      <c r="C177" s="98">
        <v>0.13</v>
      </c>
      <c r="D177" s="98">
        <v>0.13</v>
      </c>
      <c r="E177" s="98">
        <v>0.13</v>
      </c>
      <c r="F177" s="99">
        <v>0.13</v>
      </c>
    </row>
    <row r="178" spans="1:6">
      <c r="A178" s="93" t="s">
        <v>278</v>
      </c>
      <c r="B178" s="97" t="s">
        <v>2475</v>
      </c>
      <c r="C178" s="98">
        <v>0.13</v>
      </c>
      <c r="D178" s="98">
        <v>0.13</v>
      </c>
      <c r="E178" s="98">
        <v>0.13</v>
      </c>
      <c r="F178" s="99">
        <v>0.127</v>
      </c>
    </row>
    <row r="179" spans="1:6">
      <c r="A179" s="93" t="s">
        <v>278</v>
      </c>
      <c r="B179" s="97" t="s">
        <v>2483</v>
      </c>
      <c r="C179" s="98">
        <v>0.13</v>
      </c>
      <c r="D179" s="98">
        <v>0.13</v>
      </c>
      <c r="E179" s="98">
        <v>0.13</v>
      </c>
      <c r="F179" s="106"/>
    </row>
    <row r="180" spans="1:6">
      <c r="A180" s="93" t="s">
        <v>278</v>
      </c>
      <c r="B180" s="97" t="s">
        <v>2490</v>
      </c>
      <c r="C180" s="98">
        <v>0.13</v>
      </c>
      <c r="D180" s="98">
        <v>0.13</v>
      </c>
      <c r="E180" s="98">
        <v>0.125</v>
      </c>
      <c r="F180" s="99">
        <v>0.13</v>
      </c>
    </row>
    <row r="181" spans="1:6">
      <c r="A181" s="93" t="s">
        <v>278</v>
      </c>
      <c r="B181" s="97" t="s">
        <v>2497</v>
      </c>
      <c r="C181" s="98">
        <v>0.122</v>
      </c>
      <c r="D181" s="98">
        <v>0.123</v>
      </c>
      <c r="E181" s="98">
        <v>0.126</v>
      </c>
      <c r="F181" s="99">
        <v>0.121</v>
      </c>
    </row>
    <row r="182" spans="1:6">
      <c r="A182" s="93" t="s">
        <v>278</v>
      </c>
      <c r="B182" s="97" t="s">
        <v>2504</v>
      </c>
      <c r="C182" s="98">
        <v>0.125</v>
      </c>
      <c r="D182" s="98">
        <v>0.125</v>
      </c>
      <c r="E182" s="98">
        <v>0.11700000000000001</v>
      </c>
      <c r="F182" s="99">
        <v>0.13</v>
      </c>
    </row>
    <row r="183" spans="1:6">
      <c r="A183" s="93" t="s">
        <v>278</v>
      </c>
      <c r="B183" s="97" t="s">
        <v>2511</v>
      </c>
      <c r="C183" s="98">
        <v>0.127</v>
      </c>
      <c r="D183" s="98">
        <v>0.127</v>
      </c>
      <c r="E183" s="98">
        <v>0.128</v>
      </c>
      <c r="F183" s="106"/>
    </row>
    <row r="184" spans="1:6">
      <c r="A184" s="93" t="s">
        <v>278</v>
      </c>
      <c r="B184" s="97" t="s">
        <v>2518</v>
      </c>
      <c r="C184" s="98">
        <v>0.125</v>
      </c>
      <c r="D184" s="98">
        <v>0.125</v>
      </c>
      <c r="E184" s="98">
        <v>0.127</v>
      </c>
      <c r="F184" s="106"/>
    </row>
    <row r="185" spans="1:6">
      <c r="A185" s="93" t="s">
        <v>278</v>
      </c>
      <c r="B185" s="97" t="s">
        <v>2523</v>
      </c>
      <c r="C185" s="98">
        <v>0.127</v>
      </c>
      <c r="D185" s="98">
        <v>0.127</v>
      </c>
      <c r="E185" s="98">
        <v>0.128</v>
      </c>
      <c r="F185" s="99">
        <v>0.13</v>
      </c>
    </row>
    <row r="186" spans="1:6" ht="24">
      <c r="A186" s="93" t="s">
        <v>278</v>
      </c>
      <c r="B186" s="97" t="s">
        <v>2528</v>
      </c>
      <c r="C186" s="107"/>
      <c r="D186" s="107"/>
      <c r="E186" s="107"/>
      <c r="F186" s="99">
        <v>0.05</v>
      </c>
    </row>
    <row r="187" spans="1:6">
      <c r="A187" s="93" t="s">
        <v>278</v>
      </c>
      <c r="B187" s="97" t="s">
        <v>2533</v>
      </c>
      <c r="C187" s="107"/>
      <c r="D187" s="107"/>
      <c r="E187" s="107"/>
      <c r="F187" s="99">
        <v>0.05</v>
      </c>
    </row>
    <row r="188" spans="1:6">
      <c r="A188" s="93" t="s">
        <v>278</v>
      </c>
      <c r="B188" s="97" t="s">
        <v>2538</v>
      </c>
      <c r="C188" s="107"/>
      <c r="D188" s="107"/>
      <c r="E188" s="107"/>
      <c r="F188" s="99">
        <v>0.05</v>
      </c>
    </row>
    <row r="189" spans="1:6" ht="24">
      <c r="A189" s="93" t="s">
        <v>278</v>
      </c>
      <c r="B189" s="97" t="s">
        <v>2543</v>
      </c>
      <c r="C189" s="107"/>
      <c r="D189" s="107"/>
      <c r="E189" s="107"/>
      <c r="F189" s="99">
        <v>0.05</v>
      </c>
    </row>
    <row r="190" spans="1:6" ht="24">
      <c r="A190" s="93" t="s">
        <v>278</v>
      </c>
      <c r="B190" s="97" t="s">
        <v>2548</v>
      </c>
      <c r="C190" s="107"/>
      <c r="D190" s="107"/>
      <c r="E190" s="107"/>
      <c r="F190" s="99">
        <v>0.05</v>
      </c>
    </row>
    <row r="191" spans="1:6" ht="24">
      <c r="A191" s="93" t="s">
        <v>278</v>
      </c>
      <c r="B191" s="97" t="s">
        <v>2553</v>
      </c>
      <c r="C191" s="107"/>
      <c r="D191" s="107"/>
      <c r="E191" s="107"/>
      <c r="F191" s="99">
        <v>0.05</v>
      </c>
    </row>
    <row r="192" spans="1:6" ht="24">
      <c r="A192" s="93" t="s">
        <v>278</v>
      </c>
      <c r="B192" s="97" t="s">
        <v>2557</v>
      </c>
      <c r="C192" s="107"/>
      <c r="D192" s="107"/>
      <c r="E192" s="107"/>
      <c r="F192" s="99">
        <v>0.05</v>
      </c>
    </row>
    <row r="193" spans="1:6" ht="24">
      <c r="A193" s="93" t="s">
        <v>278</v>
      </c>
      <c r="B193" s="97" t="s">
        <v>2561</v>
      </c>
      <c r="C193" s="107"/>
      <c r="D193" s="107"/>
      <c r="E193" s="107"/>
      <c r="F193" s="99">
        <v>0.05</v>
      </c>
    </row>
    <row r="194" spans="1:6" ht="24">
      <c r="A194" s="93" t="s">
        <v>278</v>
      </c>
      <c r="B194" s="97" t="s">
        <v>2565</v>
      </c>
      <c r="C194" s="107"/>
      <c r="D194" s="107"/>
      <c r="E194" s="107"/>
      <c r="F194" s="99">
        <v>0.05</v>
      </c>
    </row>
    <row r="195" spans="1:6">
      <c r="A195" s="93" t="s">
        <v>278</v>
      </c>
      <c r="B195" s="97" t="s">
        <v>2569</v>
      </c>
      <c r="C195" s="107"/>
      <c r="D195" s="107"/>
      <c r="E195" s="107"/>
      <c r="F195" s="99">
        <v>0.05</v>
      </c>
    </row>
    <row r="196" spans="1:6" ht="24">
      <c r="A196" s="93" t="s">
        <v>278</v>
      </c>
      <c r="B196" s="97" t="s">
        <v>2573</v>
      </c>
      <c r="C196" s="107"/>
      <c r="D196" s="107"/>
      <c r="E196" s="107"/>
      <c r="F196" s="99">
        <v>0.05</v>
      </c>
    </row>
    <row r="197" spans="1:6" ht="24">
      <c r="A197" s="93" t="s">
        <v>278</v>
      </c>
      <c r="B197" s="97" t="s">
        <v>2577</v>
      </c>
      <c r="C197" s="107"/>
      <c r="D197" s="107"/>
      <c r="E197" s="107"/>
      <c r="F197" s="99">
        <v>0.05</v>
      </c>
    </row>
    <row r="198" spans="1:6" ht="24">
      <c r="A198" s="93" t="s">
        <v>278</v>
      </c>
      <c r="B198" s="97" t="s">
        <v>2580</v>
      </c>
      <c r="C198" s="107"/>
      <c r="D198" s="107"/>
      <c r="E198" s="107"/>
      <c r="F198" s="99">
        <v>0.05</v>
      </c>
    </row>
    <row r="199" spans="1:6" ht="24">
      <c r="A199" s="93" t="s">
        <v>278</v>
      </c>
      <c r="B199" s="97" t="s">
        <v>2583</v>
      </c>
      <c r="C199" s="107"/>
      <c r="D199" s="107"/>
      <c r="E199" s="107"/>
      <c r="F199" s="99">
        <v>0.05</v>
      </c>
    </row>
    <row r="200" spans="1:6" ht="24">
      <c r="A200" s="93" t="s">
        <v>278</v>
      </c>
      <c r="B200" s="97" t="s">
        <v>2586</v>
      </c>
      <c r="C200" s="107"/>
      <c r="D200" s="107"/>
      <c r="E200" s="107"/>
      <c r="F200" s="99">
        <v>0.05</v>
      </c>
    </row>
    <row r="201" spans="1:6" ht="24">
      <c r="A201" s="93" t="s">
        <v>278</v>
      </c>
      <c r="B201" s="97" t="s">
        <v>2589</v>
      </c>
      <c r="C201" s="107"/>
      <c r="D201" s="107"/>
      <c r="E201" s="107"/>
      <c r="F201" s="99">
        <v>0.05</v>
      </c>
    </row>
    <row r="202" spans="1:6" ht="24">
      <c r="A202" s="93" t="s">
        <v>278</v>
      </c>
      <c r="B202" s="97" t="s">
        <v>2592</v>
      </c>
      <c r="C202" s="107"/>
      <c r="D202" s="107"/>
      <c r="E202" s="107"/>
      <c r="F202" s="99">
        <v>0.05</v>
      </c>
    </row>
    <row r="203" spans="1:6" ht="24">
      <c r="A203" s="93" t="s">
        <v>278</v>
      </c>
      <c r="B203" s="97" t="s">
        <v>2595</v>
      </c>
      <c r="C203" s="107"/>
      <c r="D203" s="107"/>
      <c r="E203" s="107"/>
      <c r="F203" s="99">
        <v>0.05</v>
      </c>
    </row>
    <row r="204" spans="1:6">
      <c r="A204" s="93" t="s">
        <v>278</v>
      </c>
      <c r="B204" s="97" t="s">
        <v>2597</v>
      </c>
      <c r="C204" s="107"/>
      <c r="D204" s="107"/>
      <c r="E204" s="107"/>
      <c r="F204" s="99">
        <v>0.05</v>
      </c>
    </row>
    <row r="205" spans="1:6">
      <c r="A205" s="101" t="s">
        <v>278</v>
      </c>
      <c r="B205" s="108" t="s">
        <v>2599</v>
      </c>
      <c r="C205" s="104"/>
      <c r="D205" s="104"/>
      <c r="E205" s="104"/>
      <c r="F205" s="109">
        <v>0.05</v>
      </c>
    </row>
    <row r="206" spans="1:6">
      <c r="A206" s="93" t="s">
        <v>283</v>
      </c>
      <c r="B206" s="94" t="s">
        <v>2265</v>
      </c>
      <c r="C206" s="95">
        <v>0.15</v>
      </c>
      <c r="D206" s="95">
        <v>0.15</v>
      </c>
      <c r="E206" s="95">
        <v>0.15</v>
      </c>
      <c r="F206" s="96">
        <v>0.15</v>
      </c>
    </row>
    <row r="207" spans="1:6">
      <c r="A207" s="93" t="s">
        <v>283</v>
      </c>
      <c r="B207" s="97" t="s">
        <v>2278</v>
      </c>
      <c r="C207" s="98">
        <v>0.15</v>
      </c>
      <c r="D207" s="98">
        <v>0.15</v>
      </c>
      <c r="E207" s="98">
        <v>0.15</v>
      </c>
      <c r="F207" s="99">
        <v>0.14399999999999999</v>
      </c>
    </row>
    <row r="208" spans="1:6">
      <c r="A208" s="93" t="s">
        <v>283</v>
      </c>
      <c r="B208" s="97" t="s">
        <v>2292</v>
      </c>
      <c r="C208" s="98">
        <v>0.15</v>
      </c>
      <c r="D208" s="98">
        <v>0.15</v>
      </c>
      <c r="E208" s="98">
        <v>0.15</v>
      </c>
      <c r="F208" s="99">
        <v>0.15</v>
      </c>
    </row>
    <row r="209" spans="1:6">
      <c r="A209" s="93" t="s">
        <v>283</v>
      </c>
      <c r="B209" s="97" t="s">
        <v>2304</v>
      </c>
      <c r="C209" s="98">
        <v>0.13700000000000001</v>
      </c>
      <c r="D209" s="98">
        <v>0.13700000000000001</v>
      </c>
      <c r="E209" s="98">
        <v>0.14000000000000001</v>
      </c>
      <c r="F209" s="99">
        <v>0.11700000000000001</v>
      </c>
    </row>
    <row r="210" spans="1:6">
      <c r="A210" s="93" t="s">
        <v>283</v>
      </c>
      <c r="B210" s="97" t="s">
        <v>2316</v>
      </c>
      <c r="C210" s="98">
        <v>0.15</v>
      </c>
      <c r="D210" s="98">
        <v>0.15</v>
      </c>
      <c r="E210" s="98">
        <v>0.15</v>
      </c>
      <c r="F210" s="99">
        <v>0.13800000000000001</v>
      </c>
    </row>
    <row r="211" spans="1:6">
      <c r="A211" s="93" t="s">
        <v>283</v>
      </c>
      <c r="B211" s="97" t="s">
        <v>2327</v>
      </c>
      <c r="C211" s="98">
        <v>0.13700000000000001</v>
      </c>
      <c r="D211" s="98">
        <v>0.13500000000000001</v>
      </c>
      <c r="E211" s="98">
        <v>0.13600000000000001</v>
      </c>
      <c r="F211" s="99">
        <v>0.1</v>
      </c>
    </row>
    <row r="212" spans="1:6">
      <c r="A212" s="93" t="s">
        <v>283</v>
      </c>
      <c r="B212" s="97" t="s">
        <v>2338</v>
      </c>
      <c r="C212" s="98">
        <v>0.15</v>
      </c>
      <c r="D212" s="98">
        <v>0.15</v>
      </c>
      <c r="E212" s="98">
        <v>0.14799999999999999</v>
      </c>
      <c r="F212" s="99">
        <v>0.13600000000000001</v>
      </c>
    </row>
    <row r="213" spans="1:6">
      <c r="A213" s="93" t="s">
        <v>283</v>
      </c>
      <c r="B213" s="97" t="s">
        <v>2349</v>
      </c>
      <c r="C213" s="98">
        <v>0.15</v>
      </c>
      <c r="D213" s="98">
        <v>0.15</v>
      </c>
      <c r="E213" s="98">
        <v>0.15</v>
      </c>
      <c r="F213" s="99">
        <v>0.13800000000000001</v>
      </c>
    </row>
    <row r="214" spans="1:6">
      <c r="A214" s="93" t="s">
        <v>283</v>
      </c>
      <c r="B214" s="97" t="s">
        <v>2359</v>
      </c>
      <c r="C214" s="98">
        <v>9.0999999999999998E-2</v>
      </c>
      <c r="D214" s="98">
        <v>0.09</v>
      </c>
      <c r="E214" s="98">
        <v>9.1999999999999998E-2</v>
      </c>
      <c r="F214" s="106"/>
    </row>
    <row r="215" spans="1:6">
      <c r="A215" s="93" t="s">
        <v>283</v>
      </c>
      <c r="B215" s="97" t="s">
        <v>2369</v>
      </c>
      <c r="C215" s="98">
        <v>0.15</v>
      </c>
      <c r="D215" s="98">
        <v>0.15</v>
      </c>
      <c r="E215" s="98">
        <v>0.15</v>
      </c>
      <c r="F215" s="99">
        <v>0.15</v>
      </c>
    </row>
    <row r="216" spans="1:6">
      <c r="A216" s="93" t="s">
        <v>283</v>
      </c>
      <c r="B216" s="97" t="s">
        <v>2379</v>
      </c>
      <c r="C216" s="98">
        <v>0.14699999999999999</v>
      </c>
      <c r="D216" s="98">
        <v>0.14699999999999999</v>
      </c>
      <c r="E216" s="98">
        <v>0.15</v>
      </c>
      <c r="F216" s="99">
        <v>0.14000000000000001</v>
      </c>
    </row>
    <row r="217" spans="1:6">
      <c r="A217" s="93" t="s">
        <v>283</v>
      </c>
      <c r="B217" s="97" t="s">
        <v>2389</v>
      </c>
      <c r="C217" s="98">
        <v>0.15</v>
      </c>
      <c r="D217" s="98">
        <v>0.15</v>
      </c>
      <c r="E217" s="98">
        <v>0.15</v>
      </c>
      <c r="F217" s="99">
        <v>0.15</v>
      </c>
    </row>
    <row r="218" spans="1:6">
      <c r="A218" s="93" t="s">
        <v>283</v>
      </c>
      <c r="B218" s="97" t="s">
        <v>2399</v>
      </c>
      <c r="C218" s="98">
        <v>0.15</v>
      </c>
      <c r="D218" s="98">
        <v>0.15</v>
      </c>
      <c r="E218" s="98">
        <v>0.15</v>
      </c>
      <c r="F218" s="99">
        <v>0.15</v>
      </c>
    </row>
    <row r="219" spans="1:6">
      <c r="A219" s="93" t="s">
        <v>283</v>
      </c>
      <c r="B219" s="97" t="s">
        <v>2409</v>
      </c>
      <c r="C219" s="98">
        <v>0.15</v>
      </c>
      <c r="D219" s="98">
        <v>0.15</v>
      </c>
      <c r="E219" s="98">
        <v>0.15</v>
      </c>
      <c r="F219" s="99">
        <v>0.14799999999999999</v>
      </c>
    </row>
    <row r="220" spans="1:6">
      <c r="A220" s="93" t="s">
        <v>283</v>
      </c>
      <c r="B220" s="97" t="s">
        <v>2419</v>
      </c>
      <c r="C220" s="98">
        <v>0.15</v>
      </c>
      <c r="D220" s="98">
        <v>0.15</v>
      </c>
      <c r="E220" s="98">
        <v>0.15</v>
      </c>
      <c r="F220" s="99">
        <v>0.15</v>
      </c>
    </row>
    <row r="221" spans="1:6">
      <c r="A221" s="93" t="s">
        <v>283</v>
      </c>
      <c r="B221" s="97" t="s">
        <v>2429</v>
      </c>
      <c r="C221" s="98"/>
      <c r="D221" s="107"/>
      <c r="E221" s="107"/>
      <c r="F221" s="99">
        <v>0.14799999999999999</v>
      </c>
    </row>
    <row r="222" spans="1:6">
      <c r="A222" s="93" t="s">
        <v>283</v>
      </c>
      <c r="B222" s="97" t="s">
        <v>2439</v>
      </c>
      <c r="C222" s="98"/>
      <c r="D222" s="107"/>
      <c r="E222" s="107"/>
      <c r="F222" s="99">
        <v>0.1</v>
      </c>
    </row>
    <row r="223" spans="1:6">
      <c r="A223" s="93" t="s">
        <v>283</v>
      </c>
      <c r="B223" s="97" t="s">
        <v>2449</v>
      </c>
      <c r="C223" s="98"/>
      <c r="D223" s="107"/>
      <c r="E223" s="107"/>
      <c r="F223" s="99">
        <v>0.15</v>
      </c>
    </row>
    <row r="224" spans="1:6">
      <c r="A224" s="93" t="s">
        <v>283</v>
      </c>
      <c r="B224" s="97" t="s">
        <v>2459</v>
      </c>
      <c r="C224" s="98"/>
      <c r="D224" s="107"/>
      <c r="E224" s="107"/>
      <c r="F224" s="99">
        <v>0.15</v>
      </c>
    </row>
    <row r="225" spans="1:6">
      <c r="A225" s="93" t="s">
        <v>283</v>
      </c>
      <c r="B225" s="97" t="s">
        <v>2468</v>
      </c>
      <c r="C225" s="98">
        <v>0.15</v>
      </c>
      <c r="D225" s="98">
        <v>0.15</v>
      </c>
      <c r="E225" s="98">
        <v>0.15</v>
      </c>
      <c r="F225" s="99">
        <v>0.15</v>
      </c>
    </row>
    <row r="226" spans="1:6">
      <c r="A226" s="93" t="s">
        <v>283</v>
      </c>
      <c r="B226" s="97" t="s">
        <v>2476</v>
      </c>
      <c r="C226" s="98">
        <v>0.15</v>
      </c>
      <c r="D226" s="98">
        <v>0.15</v>
      </c>
      <c r="E226" s="98">
        <v>0.15</v>
      </c>
      <c r="F226" s="99">
        <v>0.14799999999999999</v>
      </c>
    </row>
    <row r="227" spans="1:6">
      <c r="A227" s="93" t="s">
        <v>283</v>
      </c>
      <c r="B227" s="97" t="s">
        <v>2484</v>
      </c>
      <c r="C227" s="98">
        <v>0.15</v>
      </c>
      <c r="D227" s="98">
        <v>0.15</v>
      </c>
      <c r="E227" s="98">
        <v>0.15</v>
      </c>
      <c r="F227" s="99">
        <v>0.15</v>
      </c>
    </row>
    <row r="228" spans="1:6">
      <c r="A228" s="93" t="s">
        <v>283</v>
      </c>
      <c r="B228" s="97" t="s">
        <v>2491</v>
      </c>
      <c r="C228" s="98">
        <v>0.15</v>
      </c>
      <c r="D228" s="98">
        <v>0.15</v>
      </c>
      <c r="E228" s="98">
        <v>0.15</v>
      </c>
      <c r="F228" s="99">
        <v>0.15</v>
      </c>
    </row>
    <row r="229" spans="1:6">
      <c r="A229" s="93" t="s">
        <v>283</v>
      </c>
      <c r="B229" s="97" t="s">
        <v>2498</v>
      </c>
      <c r="C229" s="98">
        <v>0.15</v>
      </c>
      <c r="D229" s="98">
        <v>0.15</v>
      </c>
      <c r="E229" s="98">
        <v>0.15</v>
      </c>
      <c r="F229" s="106"/>
    </row>
    <row r="230" spans="1:6">
      <c r="A230" s="93" t="s">
        <v>283</v>
      </c>
      <c r="B230" s="97" t="s">
        <v>2505</v>
      </c>
      <c r="C230" s="98">
        <v>0.14499999999999999</v>
      </c>
      <c r="D230" s="98">
        <v>0.14499999999999999</v>
      </c>
      <c r="E230" s="98">
        <v>0.14399999999999999</v>
      </c>
      <c r="F230" s="106"/>
    </row>
    <row r="231" spans="1:6">
      <c r="A231" s="93" t="s">
        <v>283</v>
      </c>
      <c r="B231" s="97" t="s">
        <v>2512</v>
      </c>
      <c r="C231" s="98">
        <v>0.128</v>
      </c>
      <c r="D231" s="98">
        <v>0.125</v>
      </c>
      <c r="E231" s="98">
        <v>0.13200000000000001</v>
      </c>
      <c r="F231" s="106"/>
    </row>
    <row r="232" spans="1:6">
      <c r="A232" s="93" t="s">
        <v>283</v>
      </c>
      <c r="B232" s="97" t="s">
        <v>2519</v>
      </c>
      <c r="C232" s="98">
        <v>0.14499999999999999</v>
      </c>
      <c r="D232" s="98">
        <v>0.14399999999999999</v>
      </c>
      <c r="E232" s="98">
        <v>0.14599999999999999</v>
      </c>
      <c r="F232" s="99">
        <v>0.13800000000000001</v>
      </c>
    </row>
    <row r="233" spans="1:6">
      <c r="A233" s="93" t="s">
        <v>283</v>
      </c>
      <c r="B233" s="97" t="s">
        <v>2524</v>
      </c>
      <c r="C233" s="98">
        <v>0.14499999999999999</v>
      </c>
      <c r="D233" s="98">
        <v>0.14299999999999999</v>
      </c>
      <c r="E233" s="98">
        <v>0.14199999999999999</v>
      </c>
      <c r="F233" s="106"/>
    </row>
    <row r="234" spans="1:6">
      <c r="A234" s="93" t="s">
        <v>283</v>
      </c>
      <c r="B234" s="97" t="s">
        <v>2602</v>
      </c>
      <c r="C234" s="98">
        <v>0.14000000000000001</v>
      </c>
      <c r="D234" s="98">
        <v>0.14000000000000001</v>
      </c>
      <c r="E234" s="98">
        <v>0.14399999999999999</v>
      </c>
      <c r="F234" s="106"/>
    </row>
    <row r="235" spans="1:6">
      <c r="A235" s="93" t="s">
        <v>283</v>
      </c>
      <c r="B235" s="97" t="s">
        <v>2534</v>
      </c>
      <c r="C235" s="98">
        <v>0.14099999999999999</v>
      </c>
      <c r="D235" s="98">
        <v>0.14199999999999999</v>
      </c>
      <c r="E235" s="98">
        <v>0.14499999999999999</v>
      </c>
      <c r="F235" s="99">
        <v>0.15</v>
      </c>
    </row>
    <row r="236" spans="1:6">
      <c r="A236" s="93" t="s">
        <v>283</v>
      </c>
      <c r="B236" s="97" t="s">
        <v>2539</v>
      </c>
      <c r="C236" s="107"/>
      <c r="D236" s="107"/>
      <c r="E236" s="107"/>
      <c r="F236" s="99">
        <v>0.14299999999999999</v>
      </c>
    </row>
    <row r="237" spans="1:6" ht="24">
      <c r="A237" s="93" t="s">
        <v>283</v>
      </c>
      <c r="B237" s="97" t="s">
        <v>2544</v>
      </c>
      <c r="C237" s="107"/>
      <c r="D237" s="107"/>
      <c r="E237" s="107"/>
      <c r="F237" s="99">
        <v>0.05</v>
      </c>
    </row>
    <row r="238" spans="1:6" ht="24">
      <c r="A238" s="93" t="s">
        <v>283</v>
      </c>
      <c r="B238" s="97" t="s">
        <v>2549</v>
      </c>
      <c r="C238" s="107"/>
      <c r="D238" s="107"/>
      <c r="E238" s="107"/>
      <c r="F238" s="99">
        <v>0.05</v>
      </c>
    </row>
    <row r="239" spans="1:6" ht="24">
      <c r="A239" s="93" t="s">
        <v>283</v>
      </c>
      <c r="B239" s="97" t="s">
        <v>2554</v>
      </c>
      <c r="C239" s="107"/>
      <c r="D239" s="107"/>
      <c r="E239" s="107"/>
      <c r="F239" s="99">
        <v>0.05</v>
      </c>
    </row>
    <row r="240" spans="1:6" ht="24">
      <c r="A240" s="93" t="s">
        <v>283</v>
      </c>
      <c r="B240" s="97" t="s">
        <v>2558</v>
      </c>
      <c r="C240" s="107"/>
      <c r="D240" s="107"/>
      <c r="E240" s="107"/>
      <c r="F240" s="99">
        <v>0.05</v>
      </c>
    </row>
    <row r="241" spans="1:6" ht="24">
      <c r="A241" s="93" t="s">
        <v>283</v>
      </c>
      <c r="B241" s="97" t="s">
        <v>2562</v>
      </c>
      <c r="C241" s="107"/>
      <c r="D241" s="107"/>
      <c r="E241" s="107"/>
      <c r="F241" s="99">
        <v>0.05</v>
      </c>
    </row>
    <row r="242" spans="1:6" ht="24">
      <c r="A242" s="93" t="s">
        <v>283</v>
      </c>
      <c r="B242" s="97" t="s">
        <v>2566</v>
      </c>
      <c r="C242" s="107"/>
      <c r="D242" s="107"/>
      <c r="E242" s="107"/>
      <c r="F242" s="99">
        <v>0.05</v>
      </c>
    </row>
    <row r="243" spans="1:6" ht="24">
      <c r="A243" s="93" t="s">
        <v>283</v>
      </c>
      <c r="B243" s="97" t="s">
        <v>2570</v>
      </c>
      <c r="C243" s="107"/>
      <c r="D243" s="107"/>
      <c r="E243" s="107"/>
      <c r="F243" s="99">
        <v>0.05</v>
      </c>
    </row>
    <row r="244" spans="1:6" ht="24">
      <c r="A244" s="101" t="s">
        <v>283</v>
      </c>
      <c r="B244" s="108" t="s">
        <v>2574</v>
      </c>
      <c r="C244" s="104"/>
      <c r="D244" s="104"/>
      <c r="E244" s="104"/>
      <c r="F244" s="109">
        <v>0.05</v>
      </c>
    </row>
    <row r="245" spans="1:6">
      <c r="A245" s="93" t="s">
        <v>286</v>
      </c>
      <c r="B245" s="94" t="s">
        <v>2266</v>
      </c>
      <c r="C245" s="95">
        <v>0.15</v>
      </c>
      <c r="D245" s="95">
        <v>0.15</v>
      </c>
      <c r="E245" s="95">
        <v>0.15</v>
      </c>
      <c r="F245" s="96">
        <v>0.14299999999999999</v>
      </c>
    </row>
    <row r="246" spans="1:6">
      <c r="A246" s="93" t="s">
        <v>286</v>
      </c>
      <c r="B246" s="97" t="s">
        <v>2279</v>
      </c>
      <c r="C246" s="98">
        <v>0.15</v>
      </c>
      <c r="D246" s="98">
        <v>0.15</v>
      </c>
      <c r="E246" s="98">
        <v>0.15</v>
      </c>
      <c r="F246" s="99">
        <v>0.114</v>
      </c>
    </row>
    <row r="247" spans="1:6">
      <c r="A247" s="93" t="s">
        <v>286</v>
      </c>
      <c r="B247" s="97" t="s">
        <v>2293</v>
      </c>
      <c r="C247" s="98">
        <v>0.15</v>
      </c>
      <c r="D247" s="98">
        <v>0.15</v>
      </c>
      <c r="E247" s="98">
        <v>0.15</v>
      </c>
      <c r="F247" s="99">
        <v>0.15</v>
      </c>
    </row>
    <row r="248" spans="1:6">
      <c r="A248" s="93" t="s">
        <v>286</v>
      </c>
      <c r="B248" s="97" t="s">
        <v>2305</v>
      </c>
      <c r="C248" s="98">
        <v>0.15</v>
      </c>
      <c r="D248" s="98">
        <v>0.15</v>
      </c>
      <c r="E248" s="98">
        <v>0.15</v>
      </c>
      <c r="F248" s="99">
        <v>0.14000000000000001</v>
      </c>
    </row>
    <row r="249" spans="1:6">
      <c r="A249" s="93" t="s">
        <v>286</v>
      </c>
      <c r="B249" s="97" t="s">
        <v>2317</v>
      </c>
      <c r="C249" s="98">
        <v>0.15</v>
      </c>
      <c r="D249" s="98">
        <v>0.14899999999999999</v>
      </c>
      <c r="E249" s="98">
        <v>0.15</v>
      </c>
      <c r="F249" s="99">
        <v>0.1</v>
      </c>
    </row>
    <row r="250" spans="1:6">
      <c r="A250" s="93" t="s">
        <v>286</v>
      </c>
      <c r="B250" s="97" t="s">
        <v>2328</v>
      </c>
      <c r="C250" s="98">
        <v>0.15</v>
      </c>
      <c r="D250" s="98">
        <v>0.15</v>
      </c>
      <c r="E250" s="98">
        <v>0.15</v>
      </c>
      <c r="F250" s="99">
        <v>0.14399999999999999</v>
      </c>
    </row>
    <row r="251" spans="1:6">
      <c r="A251" s="93" t="s">
        <v>286</v>
      </c>
      <c r="B251" s="97" t="s">
        <v>2339</v>
      </c>
      <c r="C251" s="98">
        <v>0.15</v>
      </c>
      <c r="D251" s="98">
        <v>0.15</v>
      </c>
      <c r="E251" s="98">
        <v>0.15</v>
      </c>
      <c r="F251" s="99">
        <v>0.14299999999999999</v>
      </c>
    </row>
    <row r="252" spans="1:6">
      <c r="A252" s="93" t="s">
        <v>286</v>
      </c>
      <c r="B252" s="97" t="s">
        <v>2350</v>
      </c>
      <c r="C252" s="98">
        <v>0.15</v>
      </c>
      <c r="D252" s="98">
        <v>0.15</v>
      </c>
      <c r="E252" s="98">
        <v>0.15</v>
      </c>
      <c r="F252" s="99">
        <v>0.1</v>
      </c>
    </row>
    <row r="253" spans="1:6">
      <c r="A253" s="93" t="s">
        <v>286</v>
      </c>
      <c r="B253" s="97" t="s">
        <v>2360</v>
      </c>
      <c r="C253" s="98">
        <v>0.15</v>
      </c>
      <c r="D253" s="98">
        <v>0.15</v>
      </c>
      <c r="E253" s="98">
        <v>0.15</v>
      </c>
      <c r="F253" s="99">
        <v>0.1</v>
      </c>
    </row>
    <row r="254" spans="1:6">
      <c r="A254" s="93" t="s">
        <v>286</v>
      </c>
      <c r="B254" s="97" t="s">
        <v>2370</v>
      </c>
      <c r="C254" s="107"/>
      <c r="D254" s="107"/>
      <c r="E254" s="107"/>
      <c r="F254" s="99">
        <v>0.15</v>
      </c>
    </row>
    <row r="255" spans="1:6">
      <c r="A255" s="93" t="s">
        <v>286</v>
      </c>
      <c r="B255" s="97" t="s">
        <v>2380</v>
      </c>
      <c r="C255" s="107"/>
      <c r="D255" s="107"/>
      <c r="E255" s="107"/>
      <c r="F255" s="99">
        <v>0.14299999999999999</v>
      </c>
    </row>
    <row r="256" spans="1:6">
      <c r="A256" s="93" t="s">
        <v>286</v>
      </c>
      <c r="B256" s="97" t="s">
        <v>2390</v>
      </c>
      <c r="C256" s="98">
        <v>0.14599999999999999</v>
      </c>
      <c r="D256" s="98">
        <v>0.14699999999999999</v>
      </c>
      <c r="E256" s="98">
        <v>0.15</v>
      </c>
      <c r="F256" s="99">
        <v>0.13200000000000001</v>
      </c>
    </row>
    <row r="257" spans="1:6">
      <c r="A257" s="93" t="s">
        <v>286</v>
      </c>
      <c r="B257" s="97" t="s">
        <v>2400</v>
      </c>
      <c r="C257" s="98">
        <v>0.15</v>
      </c>
      <c r="D257" s="98">
        <v>0.15</v>
      </c>
      <c r="E257" s="98">
        <v>0.15</v>
      </c>
      <c r="F257" s="99">
        <v>0.13900000000000001</v>
      </c>
    </row>
    <row r="258" spans="1:6">
      <c r="A258" s="93" t="s">
        <v>286</v>
      </c>
      <c r="B258" s="97" t="s">
        <v>2410</v>
      </c>
      <c r="C258" s="98">
        <v>0.15</v>
      </c>
      <c r="D258" s="98">
        <v>0.15</v>
      </c>
      <c r="E258" s="98">
        <v>0.15</v>
      </c>
      <c r="F258" s="99">
        <v>0.13</v>
      </c>
    </row>
    <row r="259" spans="1:6">
      <c r="A259" s="93" t="s">
        <v>286</v>
      </c>
      <c r="B259" s="97" t="s">
        <v>2420</v>
      </c>
      <c r="C259" s="98">
        <v>0.14799999999999999</v>
      </c>
      <c r="D259" s="98">
        <v>0.14899999999999999</v>
      </c>
      <c r="E259" s="98">
        <v>0.15</v>
      </c>
      <c r="F259" s="99">
        <v>0.13700000000000001</v>
      </c>
    </row>
    <row r="260" spans="1:6">
      <c r="A260" s="93" t="s">
        <v>286</v>
      </c>
      <c r="B260" s="97" t="s">
        <v>2430</v>
      </c>
      <c r="C260" s="98">
        <v>0.15</v>
      </c>
      <c r="D260" s="98">
        <v>0.15</v>
      </c>
      <c r="E260" s="98">
        <v>0.15</v>
      </c>
      <c r="F260" s="99">
        <v>0.14199999999999999</v>
      </c>
    </row>
    <row r="261" spans="1:6">
      <c r="A261" s="93" t="s">
        <v>286</v>
      </c>
      <c r="B261" s="97" t="s">
        <v>2440</v>
      </c>
      <c r="C261" s="98">
        <v>0.15</v>
      </c>
      <c r="D261" s="98">
        <v>0.15</v>
      </c>
      <c r="E261" s="98">
        <v>0.14899999999999999</v>
      </c>
      <c r="F261" s="99">
        <v>0.14799999999999999</v>
      </c>
    </row>
    <row r="262" spans="1:6">
      <c r="A262" s="93" t="s">
        <v>286</v>
      </c>
      <c r="B262" s="97" t="s">
        <v>2450</v>
      </c>
      <c r="C262" s="98">
        <v>0.15</v>
      </c>
      <c r="D262" s="98">
        <v>0.15</v>
      </c>
      <c r="E262" s="98">
        <v>0.15</v>
      </c>
      <c r="F262" s="106"/>
    </row>
    <row r="263" spans="1:6">
      <c r="A263" s="93" t="s">
        <v>286</v>
      </c>
      <c r="B263" s="97" t="s">
        <v>2460</v>
      </c>
      <c r="C263" s="98">
        <v>0.14899999999999999</v>
      </c>
      <c r="D263" s="98">
        <v>0.14899999999999999</v>
      </c>
      <c r="E263" s="98">
        <v>0.15</v>
      </c>
      <c r="F263" s="99">
        <v>0.13</v>
      </c>
    </row>
    <row r="264" spans="1:6">
      <c r="A264" s="93" t="s">
        <v>286</v>
      </c>
      <c r="B264" s="97" t="s">
        <v>2469</v>
      </c>
      <c r="C264" s="98">
        <v>0.14799999999999999</v>
      </c>
      <c r="D264" s="98">
        <v>0.14699999999999999</v>
      </c>
      <c r="E264" s="98">
        <v>0.15</v>
      </c>
      <c r="F264" s="99">
        <v>7.8E-2</v>
      </c>
    </row>
    <row r="265" spans="1:6">
      <c r="A265" s="93" t="s">
        <v>286</v>
      </c>
      <c r="B265" s="97" t="s">
        <v>2477</v>
      </c>
      <c r="C265" s="98">
        <v>0.15</v>
      </c>
      <c r="D265" s="98">
        <v>0.15</v>
      </c>
      <c r="E265" s="98">
        <v>0.15</v>
      </c>
      <c r="F265" s="99">
        <v>7.3999999999999996E-2</v>
      </c>
    </row>
    <row r="266" spans="1:6">
      <c r="A266" s="93" t="s">
        <v>286</v>
      </c>
      <c r="B266" s="97" t="s">
        <v>2485</v>
      </c>
      <c r="C266" s="98">
        <v>0.14699999999999999</v>
      </c>
      <c r="D266" s="98">
        <v>0.14699999999999999</v>
      </c>
      <c r="E266" s="98">
        <v>0.15</v>
      </c>
      <c r="F266" s="99">
        <v>0.14299999999999999</v>
      </c>
    </row>
    <row r="267" spans="1:6">
      <c r="A267" s="93" t="s">
        <v>286</v>
      </c>
      <c r="B267" s="97" t="s">
        <v>2492</v>
      </c>
      <c r="C267" s="98">
        <v>0.14199999999999999</v>
      </c>
      <c r="D267" s="98">
        <v>0.14299999999999999</v>
      </c>
      <c r="E267" s="98">
        <v>0.15</v>
      </c>
      <c r="F267" s="106"/>
    </row>
    <row r="268" spans="1:6">
      <c r="A268" s="93" t="s">
        <v>286</v>
      </c>
      <c r="B268" s="97" t="s">
        <v>2499</v>
      </c>
      <c r="C268" s="98">
        <v>0.15</v>
      </c>
      <c r="D268" s="98">
        <v>0.15</v>
      </c>
      <c r="E268" s="98">
        <v>0.15</v>
      </c>
      <c r="F268" s="99">
        <v>0.13</v>
      </c>
    </row>
    <row r="269" spans="1:6">
      <c r="A269" s="93" t="s">
        <v>286</v>
      </c>
      <c r="B269" s="97" t="s">
        <v>2506</v>
      </c>
      <c r="C269" s="98">
        <v>0.15</v>
      </c>
      <c r="D269" s="98">
        <v>0.15</v>
      </c>
      <c r="E269" s="98">
        <v>0.15</v>
      </c>
      <c r="F269" s="99">
        <v>0.14299999999999999</v>
      </c>
    </row>
    <row r="270" spans="1:6">
      <c r="A270" s="93" t="s">
        <v>286</v>
      </c>
      <c r="B270" s="97" t="s">
        <v>2513</v>
      </c>
      <c r="C270" s="98">
        <v>0.14499999999999999</v>
      </c>
      <c r="D270" s="98">
        <v>0.14499999999999999</v>
      </c>
      <c r="E270" s="98">
        <v>0.15</v>
      </c>
      <c r="F270" s="99">
        <v>0.14699999999999999</v>
      </c>
    </row>
    <row r="271" spans="1:6">
      <c r="A271" s="93" t="s">
        <v>286</v>
      </c>
      <c r="B271" s="97" t="s">
        <v>2520</v>
      </c>
      <c r="C271" s="98">
        <v>0.15</v>
      </c>
      <c r="D271" s="98">
        <v>0.15</v>
      </c>
      <c r="E271" s="98">
        <v>0.15</v>
      </c>
      <c r="F271" s="99">
        <v>0.13800000000000001</v>
      </c>
    </row>
    <row r="272" spans="1:6">
      <c r="A272" s="93" t="s">
        <v>286</v>
      </c>
      <c r="B272" s="97" t="s">
        <v>2525</v>
      </c>
      <c r="C272" s="107"/>
      <c r="D272" s="107"/>
      <c r="E272" s="107"/>
      <c r="F272" s="99">
        <v>0.14000000000000001</v>
      </c>
    </row>
    <row r="273" spans="1:6">
      <c r="A273" s="93" t="s">
        <v>286</v>
      </c>
      <c r="B273" s="97" t="s">
        <v>2530</v>
      </c>
      <c r="C273" s="98">
        <v>0.14199999999999999</v>
      </c>
      <c r="D273" s="98">
        <v>0.14299999999999999</v>
      </c>
      <c r="E273" s="98">
        <v>0.15</v>
      </c>
      <c r="F273" s="99">
        <v>0.1</v>
      </c>
    </row>
    <row r="274" spans="1:6">
      <c r="A274" s="93" t="s">
        <v>286</v>
      </c>
      <c r="B274" s="97" t="s">
        <v>2535</v>
      </c>
      <c r="C274" s="98">
        <v>0.14799999999999999</v>
      </c>
      <c r="D274" s="98">
        <v>0.14799999999999999</v>
      </c>
      <c r="E274" s="98">
        <v>0.15</v>
      </c>
      <c r="F274" s="99">
        <v>6.7000000000000004E-2</v>
      </c>
    </row>
    <row r="275" spans="1:6">
      <c r="A275" s="93" t="s">
        <v>286</v>
      </c>
      <c r="B275" s="97" t="s">
        <v>2540</v>
      </c>
      <c r="C275" s="98">
        <v>0.15</v>
      </c>
      <c r="D275" s="98">
        <v>0.15</v>
      </c>
      <c r="E275" s="98">
        <v>0.15</v>
      </c>
      <c r="F275" s="99">
        <v>0.15</v>
      </c>
    </row>
    <row r="276" spans="1:6">
      <c r="A276" s="93" t="s">
        <v>286</v>
      </c>
      <c r="B276" s="97" t="s">
        <v>2545</v>
      </c>
      <c r="C276" s="98">
        <v>0.14499999999999999</v>
      </c>
      <c r="D276" s="98">
        <v>0.14299999999999999</v>
      </c>
      <c r="E276" s="98">
        <v>0.15</v>
      </c>
      <c r="F276" s="99">
        <v>5.8999999999999997E-2</v>
      </c>
    </row>
    <row r="277" spans="1:6">
      <c r="A277" s="93" t="s">
        <v>286</v>
      </c>
      <c r="B277" s="97" t="s">
        <v>2550</v>
      </c>
      <c r="C277" s="98">
        <v>0.15</v>
      </c>
      <c r="D277" s="98">
        <v>0.15</v>
      </c>
      <c r="E277" s="98">
        <v>0.15</v>
      </c>
      <c r="F277" s="99">
        <v>0.121</v>
      </c>
    </row>
    <row r="278" spans="1:6">
      <c r="A278" s="93" t="s">
        <v>286</v>
      </c>
      <c r="B278" s="97" t="s">
        <v>2555</v>
      </c>
      <c r="C278" s="98">
        <v>0.15</v>
      </c>
      <c r="D278" s="98">
        <v>0.15</v>
      </c>
      <c r="E278" s="98">
        <v>0.15</v>
      </c>
      <c r="F278" s="99">
        <v>0.13800000000000001</v>
      </c>
    </row>
    <row r="279" spans="1:6" ht="24">
      <c r="A279" s="93" t="s">
        <v>286</v>
      </c>
      <c r="B279" s="97" t="s">
        <v>2559</v>
      </c>
      <c r="C279" s="107"/>
      <c r="D279" s="107"/>
      <c r="E279" s="107"/>
      <c r="F279" s="99">
        <v>0.05</v>
      </c>
    </row>
    <row r="280" spans="1:6" ht="24">
      <c r="A280" s="93" t="s">
        <v>286</v>
      </c>
      <c r="B280" s="97" t="s">
        <v>2563</v>
      </c>
      <c r="C280" s="107"/>
      <c r="D280" s="107"/>
      <c r="E280" s="107"/>
      <c r="F280" s="99">
        <v>0.05</v>
      </c>
    </row>
    <row r="281" spans="1:6" ht="24">
      <c r="A281" s="93" t="s">
        <v>286</v>
      </c>
      <c r="B281" s="97" t="s">
        <v>2567</v>
      </c>
      <c r="C281" s="107"/>
      <c r="D281" s="107"/>
      <c r="E281" s="107"/>
      <c r="F281" s="99">
        <v>0.05</v>
      </c>
    </row>
    <row r="282" spans="1:6" ht="24">
      <c r="A282" s="93" t="s">
        <v>286</v>
      </c>
      <c r="B282" s="97" t="s">
        <v>2571</v>
      </c>
      <c r="C282" s="107"/>
      <c r="D282" s="107"/>
      <c r="E282" s="107"/>
      <c r="F282" s="99">
        <v>0.05</v>
      </c>
    </row>
    <row r="283" spans="1:6" ht="24">
      <c r="A283" s="93" t="s">
        <v>286</v>
      </c>
      <c r="B283" s="97" t="s">
        <v>2575</v>
      </c>
      <c r="C283" s="107"/>
      <c r="D283" s="107"/>
      <c r="E283" s="107"/>
      <c r="F283" s="99">
        <v>0.05</v>
      </c>
    </row>
    <row r="284" spans="1:6" ht="24">
      <c r="A284" s="93" t="s">
        <v>286</v>
      </c>
      <c r="B284" s="97" t="s">
        <v>2578</v>
      </c>
      <c r="C284" s="107"/>
      <c r="D284" s="107"/>
      <c r="E284" s="107"/>
      <c r="F284" s="99">
        <v>0.05</v>
      </c>
    </row>
    <row r="285" spans="1:6" ht="24">
      <c r="A285" s="93" t="s">
        <v>286</v>
      </c>
      <c r="B285" s="97" t="s">
        <v>2581</v>
      </c>
      <c r="C285" s="107"/>
      <c r="D285" s="107"/>
      <c r="E285" s="107"/>
      <c r="F285" s="99">
        <v>0.05</v>
      </c>
    </row>
    <row r="286" spans="1:6" ht="24">
      <c r="A286" s="93" t="s">
        <v>286</v>
      </c>
      <c r="B286" s="97" t="s">
        <v>2584</v>
      </c>
      <c r="C286" s="107"/>
      <c r="D286" s="107"/>
      <c r="E286" s="107"/>
      <c r="F286" s="99">
        <v>0.05</v>
      </c>
    </row>
    <row r="287" spans="1:6" ht="24">
      <c r="A287" s="93" t="s">
        <v>286</v>
      </c>
      <c r="B287" s="97" t="s">
        <v>2587</v>
      </c>
      <c r="C287" s="107"/>
      <c r="D287" s="107"/>
      <c r="E287" s="107"/>
      <c r="F287" s="99">
        <v>0.05</v>
      </c>
    </row>
    <row r="288" spans="1:6" ht="24">
      <c r="A288" s="93" t="s">
        <v>286</v>
      </c>
      <c r="B288" s="97" t="s">
        <v>2590</v>
      </c>
      <c r="C288" s="107"/>
      <c r="D288" s="107"/>
      <c r="E288" s="107"/>
      <c r="F288" s="99">
        <v>0.05</v>
      </c>
    </row>
    <row r="289" spans="1:6" ht="24">
      <c r="A289" s="101" t="s">
        <v>286</v>
      </c>
      <c r="B289" s="108" t="s">
        <v>2593</v>
      </c>
      <c r="C289" s="104"/>
      <c r="D289" s="104"/>
      <c r="E289" s="104"/>
      <c r="F289" s="109">
        <v>0.05</v>
      </c>
    </row>
    <row r="290" spans="1:6">
      <c r="A290" s="93" t="s">
        <v>289</v>
      </c>
      <c r="B290" s="94" t="s">
        <v>2267</v>
      </c>
      <c r="C290" s="95">
        <v>0.15</v>
      </c>
      <c r="D290" s="95">
        <v>0.15</v>
      </c>
      <c r="E290" s="95">
        <v>0.15</v>
      </c>
      <c r="F290" s="117"/>
    </row>
    <row r="291" spans="1:6">
      <c r="A291" s="93" t="s">
        <v>289</v>
      </c>
      <c r="B291" s="97" t="s">
        <v>2280</v>
      </c>
      <c r="C291" s="98">
        <v>0.15</v>
      </c>
      <c r="D291" s="98">
        <v>0.15</v>
      </c>
      <c r="E291" s="98">
        <v>0.15</v>
      </c>
      <c r="F291" s="106"/>
    </row>
    <row r="292" spans="1:6">
      <c r="A292" s="93" t="s">
        <v>289</v>
      </c>
      <c r="B292" s="97" t="s">
        <v>2294</v>
      </c>
      <c r="C292" s="98">
        <v>0.15</v>
      </c>
      <c r="D292" s="98">
        <v>0.15</v>
      </c>
      <c r="E292" s="98">
        <v>0.15</v>
      </c>
      <c r="F292" s="99">
        <v>0.14699999999999999</v>
      </c>
    </row>
    <row r="293" spans="1:6">
      <c r="A293" s="93" t="s">
        <v>289</v>
      </c>
      <c r="B293" s="97" t="s">
        <v>2600</v>
      </c>
      <c r="C293" s="107"/>
      <c r="D293" s="107"/>
      <c r="E293" s="107"/>
      <c r="F293" s="99">
        <v>0.1</v>
      </c>
    </row>
    <row r="294" spans="1:6">
      <c r="A294" s="93" t="s">
        <v>289</v>
      </c>
      <c r="B294" s="97" t="s">
        <v>2306</v>
      </c>
      <c r="C294" s="98">
        <v>0.15</v>
      </c>
      <c r="D294" s="98">
        <v>0.15</v>
      </c>
      <c r="E294" s="98">
        <v>0.15</v>
      </c>
      <c r="F294" s="99">
        <v>0.15</v>
      </c>
    </row>
    <row r="295" spans="1:6">
      <c r="A295" s="93" t="s">
        <v>289</v>
      </c>
      <c r="B295" s="97" t="s">
        <v>2318</v>
      </c>
      <c r="C295" s="98">
        <v>0.15</v>
      </c>
      <c r="D295" s="98">
        <v>0.15</v>
      </c>
      <c r="E295" s="98">
        <v>0.15</v>
      </c>
      <c r="F295" s="99">
        <v>0.15</v>
      </c>
    </row>
    <row r="296" spans="1:6">
      <c r="A296" s="93" t="s">
        <v>289</v>
      </c>
      <c r="B296" s="97" t="s">
        <v>2329</v>
      </c>
      <c r="C296" s="98">
        <v>0.15</v>
      </c>
      <c r="D296" s="98">
        <v>0.15</v>
      </c>
      <c r="E296" s="98">
        <v>0.15</v>
      </c>
      <c r="F296" s="99">
        <v>0.15</v>
      </c>
    </row>
    <row r="297" spans="1:6">
      <c r="A297" s="93" t="s">
        <v>289</v>
      </c>
      <c r="B297" s="97" t="s">
        <v>2340</v>
      </c>
      <c r="C297" s="98">
        <v>0.14799999999999999</v>
      </c>
      <c r="D297" s="98">
        <v>0.14899999999999999</v>
      </c>
      <c r="E297" s="98">
        <v>0.15</v>
      </c>
      <c r="F297" s="99">
        <v>0.13700000000000001</v>
      </c>
    </row>
    <row r="298" spans="1:6">
      <c r="A298" s="93" t="s">
        <v>289</v>
      </c>
      <c r="B298" s="97" t="s">
        <v>2351</v>
      </c>
      <c r="C298" s="98">
        <v>0.13400000000000001</v>
      </c>
      <c r="D298" s="98">
        <v>0.13400000000000001</v>
      </c>
      <c r="E298" s="98">
        <v>0.14499999999999999</v>
      </c>
      <c r="F298" s="99">
        <v>0.14799999999999999</v>
      </c>
    </row>
    <row r="299" spans="1:6">
      <c r="A299" s="93" t="s">
        <v>289</v>
      </c>
      <c r="B299" s="97" t="s">
        <v>2361</v>
      </c>
      <c r="C299" s="98">
        <v>0.15</v>
      </c>
      <c r="D299" s="98">
        <v>0.15</v>
      </c>
      <c r="E299" s="98">
        <v>0.15</v>
      </c>
      <c r="F299" s="106"/>
    </row>
    <row r="300" spans="1:6">
      <c r="A300" s="93" t="s">
        <v>289</v>
      </c>
      <c r="B300" s="97" t="s">
        <v>2371</v>
      </c>
      <c r="C300" s="98">
        <v>0.15</v>
      </c>
      <c r="D300" s="98">
        <v>0.15</v>
      </c>
      <c r="E300" s="98">
        <v>0.15</v>
      </c>
      <c r="F300" s="99">
        <v>0.15</v>
      </c>
    </row>
    <row r="301" spans="1:6">
      <c r="A301" s="93" t="s">
        <v>289</v>
      </c>
      <c r="B301" s="97" t="s">
        <v>2381</v>
      </c>
      <c r="C301" s="98">
        <v>0.15</v>
      </c>
      <c r="D301" s="98">
        <v>0.15</v>
      </c>
      <c r="E301" s="98">
        <v>0.15</v>
      </c>
      <c r="F301" s="106"/>
    </row>
    <row r="302" spans="1:6">
      <c r="A302" s="93" t="s">
        <v>289</v>
      </c>
      <c r="B302" s="97" t="s">
        <v>2391</v>
      </c>
      <c r="C302" s="98">
        <v>0.15</v>
      </c>
      <c r="D302" s="98">
        <v>0.15</v>
      </c>
      <c r="E302" s="98">
        <v>0.15</v>
      </c>
      <c r="F302" s="99">
        <v>0.15</v>
      </c>
    </row>
    <row r="303" spans="1:6">
      <c r="A303" s="93" t="s">
        <v>289</v>
      </c>
      <c r="B303" s="97" t="s">
        <v>2401</v>
      </c>
      <c r="C303" s="98">
        <v>0.15</v>
      </c>
      <c r="D303" s="98">
        <v>0.15</v>
      </c>
      <c r="E303" s="98">
        <v>0.15</v>
      </c>
      <c r="F303" s="99">
        <v>0.15</v>
      </c>
    </row>
    <row r="304" spans="1:6">
      <c r="A304" s="93" t="s">
        <v>289</v>
      </c>
      <c r="B304" s="97" t="s">
        <v>2411</v>
      </c>
      <c r="C304" s="98">
        <v>0.15</v>
      </c>
      <c r="D304" s="98">
        <v>0.15</v>
      </c>
      <c r="E304" s="98">
        <v>0.15</v>
      </c>
      <c r="F304" s="106"/>
    </row>
    <row r="305" spans="1:6">
      <c r="A305" s="93" t="s">
        <v>289</v>
      </c>
      <c r="B305" s="97" t="s">
        <v>2421</v>
      </c>
      <c r="C305" s="98">
        <v>0.15</v>
      </c>
      <c r="D305" s="98">
        <v>0.15</v>
      </c>
      <c r="E305" s="98">
        <v>0.15</v>
      </c>
      <c r="F305" s="99">
        <v>0.14000000000000001</v>
      </c>
    </row>
    <row r="306" spans="1:6">
      <c r="A306" s="93" t="s">
        <v>289</v>
      </c>
      <c r="B306" s="97" t="s">
        <v>2431</v>
      </c>
      <c r="C306" s="98">
        <v>0.15</v>
      </c>
      <c r="D306" s="98">
        <v>0.15</v>
      </c>
      <c r="E306" s="98">
        <v>0.15</v>
      </c>
      <c r="F306" s="106"/>
    </row>
    <row r="307" spans="1:6">
      <c r="A307" s="93" t="s">
        <v>289</v>
      </c>
      <c r="B307" s="97" t="s">
        <v>2441</v>
      </c>
      <c r="C307" s="98">
        <v>0.15</v>
      </c>
      <c r="D307" s="98">
        <v>0.15</v>
      </c>
      <c r="E307" s="98">
        <v>0.15</v>
      </c>
      <c r="F307" s="99">
        <v>0.14299999999999999</v>
      </c>
    </row>
    <row r="308" spans="1:6">
      <c r="A308" s="93" t="s">
        <v>289</v>
      </c>
      <c r="B308" s="97" t="s">
        <v>2451</v>
      </c>
      <c r="C308" s="98">
        <v>0.15</v>
      </c>
      <c r="D308" s="98">
        <v>0.15</v>
      </c>
      <c r="E308" s="98">
        <v>0.15</v>
      </c>
      <c r="F308" s="99">
        <v>0.15</v>
      </c>
    </row>
    <row r="309" spans="1:6">
      <c r="A309" s="93" t="s">
        <v>289</v>
      </c>
      <c r="B309" s="97" t="s">
        <v>2461</v>
      </c>
      <c r="C309" s="98">
        <v>0.15</v>
      </c>
      <c r="D309" s="98">
        <v>0.15</v>
      </c>
      <c r="E309" s="98">
        <v>0.15</v>
      </c>
      <c r="F309" s="106"/>
    </row>
    <row r="310" spans="1:6">
      <c r="A310" s="93" t="s">
        <v>289</v>
      </c>
      <c r="B310" s="97" t="s">
        <v>2470</v>
      </c>
      <c r="C310" s="98">
        <v>0.15</v>
      </c>
      <c r="D310" s="98">
        <v>0.15</v>
      </c>
      <c r="E310" s="98">
        <v>0.15</v>
      </c>
      <c r="F310" s="99">
        <v>0.13700000000000001</v>
      </c>
    </row>
    <row r="311" spans="1:6">
      <c r="A311" s="93" t="s">
        <v>289</v>
      </c>
      <c r="B311" s="97" t="s">
        <v>2478</v>
      </c>
      <c r="C311" s="98">
        <v>0.15</v>
      </c>
      <c r="D311" s="98">
        <v>0.15</v>
      </c>
      <c r="E311" s="98">
        <v>0.15</v>
      </c>
      <c r="F311" s="99">
        <v>0.15</v>
      </c>
    </row>
    <row r="312" spans="1:6">
      <c r="A312" s="93" t="s">
        <v>289</v>
      </c>
      <c r="B312" s="97" t="s">
        <v>2486</v>
      </c>
      <c r="C312" s="98">
        <v>0.15</v>
      </c>
      <c r="D312" s="98">
        <v>0.15</v>
      </c>
      <c r="E312" s="98">
        <v>0.15</v>
      </c>
      <c r="F312" s="99">
        <v>0.1</v>
      </c>
    </row>
    <row r="313" spans="1:6">
      <c r="A313" s="93" t="s">
        <v>289</v>
      </c>
      <c r="B313" s="97" t="s">
        <v>2493</v>
      </c>
      <c r="C313" s="98">
        <v>0.15</v>
      </c>
      <c r="D313" s="98">
        <v>0.15</v>
      </c>
      <c r="E313" s="98">
        <v>0.15</v>
      </c>
      <c r="F313" s="99">
        <v>0.15</v>
      </c>
    </row>
    <row r="314" spans="1:6" ht="24">
      <c r="A314" s="93" t="s">
        <v>289</v>
      </c>
      <c r="B314" s="97" t="s">
        <v>2500</v>
      </c>
      <c r="C314" s="107"/>
      <c r="D314" s="107"/>
      <c r="E314" s="107"/>
      <c r="F314" s="99">
        <v>0.05</v>
      </c>
    </row>
    <row r="315" spans="1:6" ht="24">
      <c r="A315" s="93" t="s">
        <v>289</v>
      </c>
      <c r="B315" s="97" t="s">
        <v>2507</v>
      </c>
      <c r="C315" s="107"/>
      <c r="D315" s="107"/>
      <c r="E315" s="107"/>
      <c r="F315" s="99">
        <v>0.05</v>
      </c>
    </row>
    <row r="316" spans="1:6" ht="24">
      <c r="A316" s="101" t="s">
        <v>289</v>
      </c>
      <c r="B316" s="108" t="s">
        <v>2514</v>
      </c>
      <c r="C316" s="104"/>
      <c r="D316" s="104"/>
      <c r="E316" s="104"/>
      <c r="F316" s="109">
        <v>0.05</v>
      </c>
    </row>
    <row r="317" spans="1:6">
      <c r="A317" s="93" t="s">
        <v>292</v>
      </c>
      <c r="B317" s="94" t="s">
        <v>2268</v>
      </c>
      <c r="C317" s="95">
        <v>0.15</v>
      </c>
      <c r="D317" s="95">
        <v>0.15</v>
      </c>
      <c r="E317" s="95">
        <v>0.15</v>
      </c>
      <c r="F317" s="96">
        <v>0.15</v>
      </c>
    </row>
    <row r="318" spans="1:6">
      <c r="A318" s="93" t="s">
        <v>292</v>
      </c>
      <c r="B318" s="97" t="s">
        <v>2281</v>
      </c>
      <c r="C318" s="98">
        <v>0.107</v>
      </c>
      <c r="D318" s="98">
        <v>0.11</v>
      </c>
      <c r="E318" s="98">
        <v>0.112</v>
      </c>
      <c r="F318" s="106"/>
    </row>
    <row r="319" spans="1:6">
      <c r="A319" s="93" t="s">
        <v>292</v>
      </c>
      <c r="B319" s="97" t="s">
        <v>2295</v>
      </c>
      <c r="C319" s="98">
        <v>0.15</v>
      </c>
      <c r="D319" s="98">
        <v>0.15</v>
      </c>
      <c r="E319" s="98">
        <v>0.15</v>
      </c>
      <c r="F319" s="99">
        <v>0.15</v>
      </c>
    </row>
    <row r="320" spans="1:6">
      <c r="A320" s="93" t="s">
        <v>292</v>
      </c>
      <c r="B320" s="97" t="s">
        <v>2307</v>
      </c>
      <c r="C320" s="98">
        <v>0.15</v>
      </c>
      <c r="D320" s="98">
        <v>0.15</v>
      </c>
      <c r="E320" s="98">
        <v>0.15</v>
      </c>
      <c r="F320" s="106"/>
    </row>
    <row r="321" spans="1:6">
      <c r="A321" s="93" t="s">
        <v>292</v>
      </c>
      <c r="B321" s="97" t="s">
        <v>2319</v>
      </c>
      <c r="C321" s="98">
        <v>0.15</v>
      </c>
      <c r="D321" s="98">
        <v>0.15</v>
      </c>
      <c r="E321" s="98">
        <v>0.15</v>
      </c>
      <c r="F321" s="106"/>
    </row>
    <row r="322" spans="1:6">
      <c r="A322" s="93" t="s">
        <v>292</v>
      </c>
      <c r="B322" s="97" t="s">
        <v>2330</v>
      </c>
      <c r="C322" s="98">
        <v>0.15</v>
      </c>
      <c r="D322" s="98">
        <v>0.15</v>
      </c>
      <c r="E322" s="98">
        <v>0.15</v>
      </c>
      <c r="F322" s="99">
        <v>0.15</v>
      </c>
    </row>
    <row r="323" spans="1:6">
      <c r="A323" s="93" t="s">
        <v>292</v>
      </c>
      <c r="B323" s="97" t="s">
        <v>2341</v>
      </c>
      <c r="C323" s="98">
        <v>0.15</v>
      </c>
      <c r="D323" s="98">
        <v>0.15</v>
      </c>
      <c r="E323" s="98">
        <v>0.15</v>
      </c>
      <c r="F323" s="106"/>
    </row>
    <row r="324" spans="1:6">
      <c r="A324" s="93" t="s">
        <v>292</v>
      </c>
      <c r="B324" s="97" t="s">
        <v>2352</v>
      </c>
      <c r="C324" s="98">
        <v>0.15</v>
      </c>
      <c r="D324" s="98">
        <v>0.15</v>
      </c>
      <c r="E324" s="98">
        <v>0.15</v>
      </c>
      <c r="F324" s="106"/>
    </row>
    <row r="325" spans="1:6">
      <c r="A325" s="93" t="s">
        <v>292</v>
      </c>
      <c r="B325" s="97" t="s">
        <v>2362</v>
      </c>
      <c r="C325" s="98">
        <v>0.15</v>
      </c>
      <c r="D325" s="98">
        <v>0.15</v>
      </c>
      <c r="E325" s="98">
        <v>0.15</v>
      </c>
      <c r="F325" s="99">
        <v>0.14699999999999999</v>
      </c>
    </row>
    <row r="326" spans="1:6">
      <c r="A326" s="93" t="s">
        <v>292</v>
      </c>
      <c r="B326" s="97" t="s">
        <v>2372</v>
      </c>
      <c r="C326" s="98">
        <v>0.15</v>
      </c>
      <c r="D326" s="98">
        <v>0.15</v>
      </c>
      <c r="E326" s="98">
        <v>0.15</v>
      </c>
      <c r="F326" s="106"/>
    </row>
    <row r="327" spans="1:6">
      <c r="A327" s="93" t="s">
        <v>292</v>
      </c>
      <c r="B327" s="97" t="s">
        <v>2382</v>
      </c>
      <c r="C327" s="98">
        <v>0.15</v>
      </c>
      <c r="D327" s="98">
        <v>0.15</v>
      </c>
      <c r="E327" s="98">
        <v>0.15</v>
      </c>
      <c r="F327" s="99">
        <v>0.15</v>
      </c>
    </row>
    <row r="328" spans="1:6">
      <c r="A328" s="93" t="s">
        <v>292</v>
      </c>
      <c r="B328" s="97" t="s">
        <v>2392</v>
      </c>
      <c r="C328" s="98">
        <v>0.15</v>
      </c>
      <c r="D328" s="98">
        <v>0.15</v>
      </c>
      <c r="E328" s="98">
        <v>0.15</v>
      </c>
      <c r="F328" s="99">
        <v>0.14099999999999999</v>
      </c>
    </row>
    <row r="329" spans="1:6">
      <c r="A329" s="93" t="s">
        <v>292</v>
      </c>
      <c r="B329" s="97" t="s">
        <v>2402</v>
      </c>
      <c r="C329" s="98">
        <v>0.15</v>
      </c>
      <c r="D329" s="98">
        <v>0.15</v>
      </c>
      <c r="E329" s="98">
        <v>0.15</v>
      </c>
      <c r="F329" s="99">
        <v>0.15</v>
      </c>
    </row>
    <row r="330" spans="1:6">
      <c r="A330" s="93" t="s">
        <v>292</v>
      </c>
      <c r="B330" s="97" t="s">
        <v>2412</v>
      </c>
      <c r="C330" s="98">
        <v>0.15</v>
      </c>
      <c r="D330" s="98">
        <v>0.15</v>
      </c>
      <c r="E330" s="98">
        <v>0.15</v>
      </c>
      <c r="F330" s="106"/>
    </row>
    <row r="331" spans="1:6">
      <c r="A331" s="93" t="s">
        <v>292</v>
      </c>
      <c r="B331" s="97" t="s">
        <v>2422</v>
      </c>
      <c r="C331" s="98">
        <v>0.15</v>
      </c>
      <c r="D331" s="98">
        <v>0.15</v>
      </c>
      <c r="E331" s="98">
        <v>0.15</v>
      </c>
      <c r="F331" s="99">
        <v>0.15</v>
      </c>
    </row>
    <row r="332" spans="1:6">
      <c r="A332" s="93" t="s">
        <v>292</v>
      </c>
      <c r="B332" s="97" t="s">
        <v>2432</v>
      </c>
      <c r="C332" s="98">
        <v>0.15</v>
      </c>
      <c r="D332" s="98">
        <v>0.15</v>
      </c>
      <c r="E332" s="98">
        <v>0.15</v>
      </c>
      <c r="F332" s="99">
        <v>0.15</v>
      </c>
    </row>
    <row r="333" spans="1:6">
      <c r="A333" s="93" t="s">
        <v>292</v>
      </c>
      <c r="B333" s="97" t="s">
        <v>2442</v>
      </c>
      <c r="C333" s="98">
        <v>0.15</v>
      </c>
      <c r="D333" s="98">
        <v>0.15</v>
      </c>
      <c r="E333" s="98">
        <v>0.15</v>
      </c>
      <c r="F333" s="99">
        <v>0.14099999999999999</v>
      </c>
    </row>
    <row r="334" spans="1:6">
      <c r="A334" s="93" t="s">
        <v>292</v>
      </c>
      <c r="B334" s="97" t="s">
        <v>2452</v>
      </c>
      <c r="C334" s="98">
        <v>0.15</v>
      </c>
      <c r="D334" s="98">
        <v>0.15</v>
      </c>
      <c r="E334" s="98">
        <v>0.15</v>
      </c>
      <c r="F334" s="99">
        <v>0.15</v>
      </c>
    </row>
    <row r="335" spans="1:6">
      <c r="A335" s="93" t="s">
        <v>292</v>
      </c>
      <c r="B335" s="97" t="s">
        <v>2462</v>
      </c>
      <c r="C335" s="98">
        <v>0.15</v>
      </c>
      <c r="D335" s="98">
        <v>0.15</v>
      </c>
      <c r="E335" s="98">
        <v>0.15</v>
      </c>
      <c r="F335" s="106"/>
    </row>
    <row r="336" spans="1:6">
      <c r="A336" s="93" t="s">
        <v>292</v>
      </c>
      <c r="B336" s="97" t="s">
        <v>2471</v>
      </c>
      <c r="C336" s="98">
        <v>0.15</v>
      </c>
      <c r="D336" s="98">
        <v>0.15</v>
      </c>
      <c r="E336" s="98">
        <v>0.15</v>
      </c>
      <c r="F336" s="99">
        <v>0.11799999999999999</v>
      </c>
    </row>
    <row r="337" spans="1:6">
      <c r="A337" s="101" t="s">
        <v>292</v>
      </c>
      <c r="B337" s="108" t="s">
        <v>2479</v>
      </c>
      <c r="C337" s="104"/>
      <c r="D337" s="104"/>
      <c r="E337" s="104"/>
      <c r="F337" s="109">
        <v>0.14299999999999999</v>
      </c>
    </row>
    <row r="338" spans="1:6">
      <c r="A338" s="93" t="s">
        <v>295</v>
      </c>
      <c r="B338" s="94" t="s">
        <v>2269</v>
      </c>
      <c r="C338" s="95">
        <v>0.15</v>
      </c>
      <c r="D338" s="95">
        <v>0.15</v>
      </c>
      <c r="E338" s="95">
        <v>0.15</v>
      </c>
      <c r="F338" s="117"/>
    </row>
    <row r="339" spans="1:6">
      <c r="A339" s="93" t="s">
        <v>295</v>
      </c>
      <c r="B339" s="97" t="s">
        <v>2282</v>
      </c>
      <c r="C339" s="98">
        <v>0.15</v>
      </c>
      <c r="D339" s="98">
        <v>0.15</v>
      </c>
      <c r="E339" s="98">
        <v>0.15</v>
      </c>
      <c r="F339" s="106"/>
    </row>
    <row r="340" spans="1:6">
      <c r="A340" s="93" t="s">
        <v>295</v>
      </c>
      <c r="B340" s="97" t="s">
        <v>2296</v>
      </c>
      <c r="C340" s="98">
        <v>0.15</v>
      </c>
      <c r="D340" s="98">
        <v>0.15</v>
      </c>
      <c r="E340" s="98">
        <v>0.15</v>
      </c>
      <c r="F340" s="106"/>
    </row>
    <row r="341" spans="1:6">
      <c r="A341" s="93" t="s">
        <v>295</v>
      </c>
      <c r="B341" s="97" t="s">
        <v>2308</v>
      </c>
      <c r="C341" s="98">
        <v>0.15</v>
      </c>
      <c r="D341" s="98">
        <v>0.15</v>
      </c>
      <c r="E341" s="98">
        <v>0.15</v>
      </c>
      <c r="F341" s="99">
        <v>0.15</v>
      </c>
    </row>
    <row r="342" spans="1:6">
      <c r="A342" s="93" t="s">
        <v>295</v>
      </c>
      <c r="B342" s="97" t="s">
        <v>2320</v>
      </c>
      <c r="C342" s="98">
        <v>0.15</v>
      </c>
      <c r="D342" s="98">
        <v>0.15</v>
      </c>
      <c r="E342" s="98">
        <v>0.15</v>
      </c>
      <c r="F342" s="99">
        <v>0.15</v>
      </c>
    </row>
    <row r="343" spans="1:6">
      <c r="A343" s="93" t="s">
        <v>295</v>
      </c>
      <c r="B343" s="97" t="s">
        <v>2331</v>
      </c>
      <c r="C343" s="98">
        <v>0.15</v>
      </c>
      <c r="D343" s="98">
        <v>0.15</v>
      </c>
      <c r="E343" s="98">
        <v>0.15</v>
      </c>
      <c r="F343" s="99">
        <v>0.15</v>
      </c>
    </row>
    <row r="344" spans="1:6">
      <c r="A344" s="101" t="s">
        <v>295</v>
      </c>
      <c r="B344" s="108" t="s">
        <v>2342</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2603</v>
      </c>
      <c r="C1" s="21">
        <f>项目基本情况!D3</f>
        <v>44725</v>
      </c>
      <c r="D1" s="20" t="s">
        <v>2604</v>
      </c>
      <c r="E1" s="22">
        <f>'数据-取费表'!B22</f>
        <v>1</v>
      </c>
      <c r="F1" s="20" t="s">
        <v>2605</v>
      </c>
      <c r="G1" s="23">
        <f ca="1">INDIRECT("d"&amp;$K$1)/100</f>
        <v>3.7000000000000005E-2</v>
      </c>
      <c r="H1" s="20" t="s">
        <v>2606</v>
      </c>
      <c r="I1" s="23">
        <f ca="1">F4/100</f>
        <v>1.4999999999999999E-2</v>
      </c>
      <c r="J1" s="72">
        <f>IF(C1&gt;C13,0,MATCH(C1,C$13:C$108,-1))+IF(SUMIF(C13:C108,C1,D13:D108)=0,13,12)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2605</v>
      </c>
      <c r="E2" s="24"/>
      <c r="F2" s="24" t="s">
        <v>2607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2614</v>
      </c>
      <c r="C10" s="48"/>
      <c r="D10" s="48"/>
      <c r="E10" s="48"/>
      <c r="F10" s="48"/>
      <c r="G10" s="48"/>
      <c r="H10" s="48"/>
      <c r="I10" s="16"/>
      <c r="J10" s="16"/>
      <c r="K10" s="48"/>
      <c r="L10" s="49" t="s">
        <v>2615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2616</v>
      </c>
      <c r="C11" s="52" t="s">
        <v>2617</v>
      </c>
      <c r="D11" s="53" t="s">
        <v>2618</v>
      </c>
      <c r="E11" s="54"/>
      <c r="F11" s="53" t="s">
        <v>2619</v>
      </c>
      <c r="G11" s="55"/>
      <c r="H11" s="54"/>
      <c r="I11" s="53" t="s">
        <v>2620</v>
      </c>
      <c r="J11" s="54"/>
      <c r="K11" s="50"/>
      <c r="L11" s="51" t="s">
        <v>2616</v>
      </c>
      <c r="M11" s="52" t="s">
        <v>2617</v>
      </c>
      <c r="N11" s="51" t="s">
        <v>2621</v>
      </c>
      <c r="O11" s="53" t="s">
        <v>2622</v>
      </c>
      <c r="P11" s="55"/>
      <c r="Q11" s="55"/>
      <c r="R11" s="55"/>
      <c r="S11" s="55"/>
      <c r="T11" s="54"/>
      <c r="U11" s="53" t="s">
        <v>2623</v>
      </c>
      <c r="V11" s="55"/>
      <c r="W11" s="54"/>
      <c r="X11" s="51" t="s">
        <v>2624</v>
      </c>
      <c r="Y11" s="51" t="s">
        <v>2625</v>
      </c>
      <c r="Z11" s="51" t="s">
        <v>2626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2627</v>
      </c>
      <c r="E12" s="59" t="s">
        <v>2609</v>
      </c>
      <c r="F12" s="59" t="s">
        <v>2610</v>
      </c>
      <c r="G12" s="59" t="s">
        <v>2611</v>
      </c>
      <c r="H12" s="59" t="s">
        <v>2612</v>
      </c>
      <c r="I12" s="73" t="s">
        <v>2628</v>
      </c>
      <c r="J12" s="73" t="s">
        <v>2628</v>
      </c>
      <c r="K12" s="56"/>
      <c r="L12" s="57"/>
      <c r="M12" s="58"/>
      <c r="N12" s="57"/>
      <c r="O12" s="73" t="s">
        <v>2629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2630</v>
      </c>
      <c r="C13" s="62">
        <v>44701</v>
      </c>
      <c r="D13" s="63">
        <v>3.7</v>
      </c>
      <c r="E13" s="63">
        <f>D13</f>
        <v>3.7</v>
      </c>
      <c r="F13" s="63">
        <f>D13</f>
        <v>3.7</v>
      </c>
      <c r="G13" s="63">
        <f>D13</f>
        <v>3.7</v>
      </c>
      <c r="H13" s="63">
        <v>4.45</v>
      </c>
      <c r="I13" s="63"/>
      <c r="J13" s="63"/>
      <c r="K13" s="60"/>
      <c r="L13" s="61" t="s">
        <v>2630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2631</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2632</v>
      </c>
      <c r="Y42" s="65" t="s">
        <v>2632</v>
      </c>
      <c r="Z42" s="65" t="s">
        <v>2632</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2632</v>
      </c>
      <c r="Y43" s="65" t="s">
        <v>2632</v>
      </c>
      <c r="Z43" s="65" t="s">
        <v>2632</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2632</v>
      </c>
      <c r="Y44" s="65" t="s">
        <v>2632</v>
      </c>
      <c r="Z44" s="65" t="s">
        <v>2632</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2632</v>
      </c>
      <c r="Y45" s="65" t="s">
        <v>2632</v>
      </c>
      <c r="Z45" s="65" t="s">
        <v>2632</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2632</v>
      </c>
      <c r="Y46" s="65" t="s">
        <v>2632</v>
      </c>
      <c r="Z46" s="65" t="s">
        <v>2632</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2632</v>
      </c>
      <c r="Y47" s="65" t="s">
        <v>2632</v>
      </c>
      <c r="Z47" s="65" t="s">
        <v>2632</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2632</v>
      </c>
      <c r="Y48" s="65" t="s">
        <v>2632</v>
      </c>
      <c r="Z48" s="65" t="s">
        <v>2632</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2632</v>
      </c>
      <c r="Y49" s="65" t="s">
        <v>2632</v>
      </c>
      <c r="Z49" s="65" t="s">
        <v>2632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2632</v>
      </c>
      <c r="Y50" s="65" t="s">
        <v>2632</v>
      </c>
      <c r="Z50" s="65" t="s">
        <v>2632</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2632</v>
      </c>
      <c r="V51" s="65" t="s">
        <v>2632</v>
      </c>
      <c r="W51" s="65" t="s">
        <v>2632</v>
      </c>
      <c r="X51" s="65" t="s">
        <v>2632</v>
      </c>
      <c r="Y51" s="65" t="s">
        <v>2632</v>
      </c>
      <c r="Z51" s="65" t="s">
        <v>2632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2632</v>
      </c>
      <c r="J63" s="65" t="s">
        <v>2632</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2633</v>
      </c>
      <c r="E1" s="2" t="s">
        <v>2634</v>
      </c>
      <c r="F1" s="3" t="s">
        <v>2635</v>
      </c>
    </row>
    <row r="2" spans="1:13" ht="20.25">
      <c r="A2" s="4" t="s">
        <v>2636</v>
      </c>
    </row>
    <row r="3" spans="1:13" ht="16.5">
      <c r="A3" s="5" t="s">
        <v>2637</v>
      </c>
    </row>
    <row r="4" spans="1:13" ht="14.25">
      <c r="A4" s="6" t="s">
        <v>426</v>
      </c>
      <c r="B4" s="7" t="s">
        <v>1796</v>
      </c>
      <c r="C4" s="8"/>
      <c r="D4" s="9"/>
      <c r="E4" s="7" t="s">
        <v>427</v>
      </c>
      <c r="F4" s="8"/>
      <c r="G4" s="9"/>
      <c r="H4" s="7" t="s">
        <v>2638</v>
      </c>
      <c r="I4" s="8"/>
      <c r="J4" s="9"/>
      <c r="K4" s="7" t="s">
        <v>457</v>
      </c>
      <c r="L4" s="8"/>
      <c r="M4" s="9"/>
    </row>
    <row r="5" spans="1:13" ht="14.25">
      <c r="A5" s="10" t="s">
        <v>208</v>
      </c>
      <c r="B5" s="6" t="s">
        <v>2639</v>
      </c>
      <c r="C5" s="6" t="s">
        <v>2640</v>
      </c>
      <c r="D5" s="6" t="s">
        <v>2641</v>
      </c>
      <c r="E5" s="6" t="s">
        <v>2639</v>
      </c>
      <c r="F5" s="6" t="s">
        <v>2640</v>
      </c>
      <c r="G5" s="6" t="s">
        <v>2641</v>
      </c>
      <c r="H5" s="6" t="s">
        <v>2639</v>
      </c>
      <c r="I5" s="6" t="s">
        <v>2640</v>
      </c>
      <c r="J5" s="6" t="s">
        <v>2641</v>
      </c>
      <c r="K5" s="6" t="s">
        <v>2639</v>
      </c>
      <c r="L5" s="6" t="s">
        <v>2640</v>
      </c>
      <c r="M5" s="6" t="s">
        <v>2641</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53" t="str">
        <f>IF(项目基本情况!B9="房地产市场价值","估价结果一览表","结果表-2")</f>
        <v>结果表-2</v>
      </c>
      <c r="B1" s="3253"/>
      <c r="C1" s="3253"/>
      <c r="D1" s="3253"/>
      <c r="E1" s="3253"/>
      <c r="F1" s="3253"/>
      <c r="G1" s="3253"/>
      <c r="H1" s="3253"/>
      <c r="I1" s="3253"/>
    </row>
    <row r="2" spans="1:9" ht="30" customHeight="1">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
      <c r="A3" s="3248"/>
      <c r="B3" s="3248"/>
      <c r="C3" s="3248"/>
      <c r="D3" s="3169" t="s">
        <v>110</v>
      </c>
      <c r="E3" s="3169" t="s">
        <v>111</v>
      </c>
      <c r="F3" s="3169" t="s">
        <v>110</v>
      </c>
      <c r="G3" s="3169" t="s">
        <v>111</v>
      </c>
      <c r="H3" s="3169" t="s">
        <v>110</v>
      </c>
      <c r="I3" s="3169" t="s">
        <v>111</v>
      </c>
    </row>
    <row r="4" spans="1:9" ht="30">
      <c r="A4" s="3170" t="str">
        <f>项目基本情况!S2</f>
        <v>北京市通州区口子村东1号院72号楼-1至3层101房地产</v>
      </c>
      <c r="B4" s="3169">
        <f>项目基本情况!C17</f>
        <v>842.81</v>
      </c>
      <c r="C4" s="3169">
        <f>项目基本情况!C18</f>
        <v>0</v>
      </c>
      <c r="D4" s="3169">
        <f ca="1">结果表!D118</f>
        <v>99</v>
      </c>
      <c r="E4" s="3169">
        <f ca="1">结果表!E118</f>
        <v>1175</v>
      </c>
      <c r="F4" s="3169">
        <f ca="1">结果表!F118</f>
        <v>1585</v>
      </c>
      <c r="G4" s="3169">
        <f ca="1">结果表!G118</f>
        <v>18806</v>
      </c>
      <c r="H4" s="3169">
        <f ca="1">结果表!H118</f>
        <v>1684</v>
      </c>
      <c r="I4" s="3169">
        <f ca="1">结果表!I118</f>
        <v>19981</v>
      </c>
    </row>
    <row r="5" spans="1:9" ht="30" customHeight="1">
      <c r="A5" s="3248" t="s">
        <v>112</v>
      </c>
      <c r="B5" s="3248"/>
      <c r="C5" s="3248"/>
      <c r="D5" s="3249" t="str">
        <f ca="1">结果表!D119</f>
        <v>玖拾玖万元整</v>
      </c>
      <c r="E5" s="3249"/>
      <c r="F5" s="3249" t="str">
        <f ca="1">结果表!F119</f>
        <v>壹仟伍佰捌拾伍万元整</v>
      </c>
      <c r="G5" s="3249"/>
      <c r="H5" s="3249" t="str">
        <f ca="1">结果表!H119</f>
        <v>壹仟陆佰捌拾肆万元整</v>
      </c>
      <c r="I5" s="3249"/>
    </row>
    <row r="6" spans="1:9" ht="15.75">
      <c r="A6" s="3244" t="str">
        <f>结果表!A120</f>
        <v>估价师知悉的法定优先受偿款</v>
      </c>
      <c r="B6" s="3244"/>
      <c r="C6" s="3244"/>
      <c r="D6" s="3244">
        <f>结果表!D120</f>
        <v>0</v>
      </c>
      <c r="E6" s="3244"/>
      <c r="F6" s="3244"/>
      <c r="G6" s="3244"/>
      <c r="H6" s="3244"/>
      <c r="I6" s="3244"/>
    </row>
    <row r="7" spans="1:9" ht="15">
      <c r="A7" s="3248" t="s">
        <v>112</v>
      </c>
      <c r="B7" s="3248"/>
      <c r="C7" s="3248"/>
      <c r="D7" s="3250" t="str">
        <f>结果表!D121</f>
        <v>零元整</v>
      </c>
      <c r="E7" s="3251"/>
      <c r="F7" s="3251"/>
      <c r="G7" s="3251"/>
      <c r="H7" s="3251"/>
      <c r="I7" s="3252"/>
    </row>
    <row r="8" spans="1:9" ht="15.75">
      <c r="A8" s="3244" t="str">
        <f>结果表!A122</f>
        <v>房地产抵押价值</v>
      </c>
      <c r="B8" s="3244"/>
      <c r="C8" s="3244"/>
      <c r="D8" s="3244">
        <f ca="1">结果表!D122</f>
        <v>1684</v>
      </c>
      <c r="E8" s="3244"/>
      <c r="F8" s="3244"/>
      <c r="G8" s="3244"/>
      <c r="H8" s="3244"/>
      <c r="I8" s="3244"/>
    </row>
    <row r="9" spans="1:9" ht="15">
      <c r="A9" s="3248" t="s">
        <v>112</v>
      </c>
      <c r="B9" s="3248"/>
      <c r="C9" s="3248"/>
      <c r="D9" s="3249" t="str">
        <f ca="1">结果表!D123</f>
        <v>壹仟陆佰捌拾肆万元整</v>
      </c>
      <c r="E9" s="3249"/>
      <c r="F9" s="3249"/>
      <c r="G9" s="3249"/>
      <c r="H9" s="3249"/>
      <c r="I9" s="3249"/>
    </row>
    <row r="10" spans="1:9" ht="15.75">
      <c r="A10" s="3244" t="str">
        <f>结果表!A124</f>
        <v/>
      </c>
      <c r="B10" s="3244"/>
      <c r="C10" s="3244"/>
      <c r="D10" s="3244" t="str">
        <f>结果表!D124</f>
        <v>——</v>
      </c>
      <c r="E10" s="3244"/>
      <c r="F10" s="3244"/>
      <c r="G10" s="3244"/>
      <c r="H10" s="3244"/>
      <c r="I10" s="3244"/>
    </row>
    <row r="11" spans="1:9" ht="15">
      <c r="A11" s="3248" t="s">
        <v>112</v>
      </c>
      <c r="B11" s="3248"/>
      <c r="C11" s="3248"/>
      <c r="D11" s="3249" t="e">
        <f>结果表!D125</f>
        <v>#VALUE!</v>
      </c>
      <c r="E11" s="3249"/>
      <c r="F11" s="3249"/>
      <c r="G11" s="3249"/>
      <c r="H11" s="3249"/>
      <c r="I11" s="3249"/>
    </row>
    <row r="12" spans="1:9" ht="15.75">
      <c r="A12" s="3244" t="str">
        <f>结果表!A126</f>
        <v>抵押净值</v>
      </c>
      <c r="B12" s="3244"/>
      <c r="C12" s="3244"/>
      <c r="D12" s="3244" t="e">
        <f ca="1">结果表!D126</f>
        <v>#N/A</v>
      </c>
      <c r="E12" s="3244"/>
      <c r="F12" s="3244"/>
      <c r="G12" s="3244"/>
      <c r="H12" s="3244"/>
      <c r="I12" s="3244"/>
    </row>
    <row r="13" spans="1:9" ht="15">
      <c r="A13" s="3245" t="s">
        <v>112</v>
      </c>
      <c r="B13" s="3245"/>
      <c r="C13" s="3245"/>
      <c r="D13" s="3246" t="e">
        <f ca="1">结果表!D127</f>
        <v>#N/A</v>
      </c>
      <c r="E13" s="3246"/>
      <c r="F13" s="3246"/>
      <c r="G13" s="3246"/>
      <c r="H13" s="3246"/>
      <c r="I13" s="3246"/>
    </row>
    <row r="14" spans="1:9">
      <c r="A14" s="3247" t="s">
        <v>113</v>
      </c>
      <c r="B14" s="3247"/>
      <c r="C14" s="3247"/>
      <c r="D14" s="3247"/>
      <c r="E14" s="3247"/>
      <c r="F14" s="3247"/>
      <c r="G14" s="3247"/>
      <c r="H14" s="3247"/>
      <c r="I14" s="3247"/>
    </row>
    <row r="16" spans="1:9" ht="18.75">
      <c r="A16" s="3171"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61" t="s">
        <v>114</v>
      </c>
      <c r="B1" s="3261"/>
      <c r="C1" s="3261"/>
      <c r="D1" s="3261"/>
    </row>
    <row r="2" spans="1:4" ht="18">
      <c r="A2" s="3262" t="s">
        <v>115</v>
      </c>
      <c r="B2" s="3262"/>
      <c r="C2" s="3262"/>
      <c r="D2" s="3262"/>
    </row>
    <row r="3" spans="1:4" ht="18.75">
      <c r="A3" s="3158" t="s">
        <v>116</v>
      </c>
      <c r="B3" s="3158" t="s">
        <v>117</v>
      </c>
      <c r="C3" s="3158" t="s">
        <v>118</v>
      </c>
      <c r="D3" s="3158" t="s">
        <v>119</v>
      </c>
    </row>
    <row r="4" spans="1:4" ht="56.25" customHeight="1">
      <c r="A4" s="3159">
        <f>项目基本情况!B4</f>
        <v>0</v>
      </c>
      <c r="B4" s="3160">
        <f>项目基本情况!C4</f>
        <v>0</v>
      </c>
      <c r="C4" s="3161"/>
      <c r="D4" s="3162" t="s">
        <v>120</v>
      </c>
    </row>
    <row r="5" spans="1:4" ht="56.25" customHeight="1">
      <c r="A5" s="3159">
        <f>项目基本情况!D4</f>
        <v>0</v>
      </c>
      <c r="B5" s="3160">
        <f>项目基本情况!E4</f>
        <v>0</v>
      </c>
      <c r="C5" s="3163"/>
      <c r="D5" s="3162" t="s">
        <v>120</v>
      </c>
    </row>
    <row r="6" spans="1:4" ht="18">
      <c r="A6" s="3262" t="s">
        <v>121</v>
      </c>
      <c r="B6" s="3262"/>
      <c r="C6" s="3262"/>
      <c r="D6" s="3262"/>
    </row>
    <row r="7" spans="1:4" ht="18.75">
      <c r="A7" s="3158" t="s">
        <v>116</v>
      </c>
      <c r="B7" s="3160" t="s">
        <v>122</v>
      </c>
      <c r="C7" s="3158" t="s">
        <v>118</v>
      </c>
      <c r="D7" s="3158" t="s">
        <v>119</v>
      </c>
    </row>
    <row r="8" spans="1:4" ht="56.25" customHeight="1">
      <c r="A8" s="3164" t="s">
        <v>123</v>
      </c>
      <c r="B8" s="3164" t="s">
        <v>124</v>
      </c>
      <c r="C8" s="3161"/>
      <c r="D8" s="3162" t="s">
        <v>120</v>
      </c>
    </row>
    <row r="9" spans="1:4">
      <c r="A9" s="3165"/>
      <c r="B9" s="3165"/>
      <c r="C9" s="3165"/>
      <c r="D9" s="3165"/>
    </row>
    <row r="10" spans="1:4" ht="18.75">
      <c r="A10" s="3157" t="s">
        <v>125</v>
      </c>
      <c r="B10" s="3165"/>
      <c r="C10" s="3165"/>
      <c r="D10" s="3165"/>
    </row>
    <row r="11" spans="1:4" ht="30" customHeight="1">
      <c r="A11" s="3263" t="s">
        <v>126</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6" t="str">
        <f>IF(项目基本情况!B8="抵押","4.本次评估估价师所知悉的法定优先受偿款情况说明如下：","——")</f>
        <v>4.本次评估估价师所知悉的法定优先受偿款情况说明如下：</v>
      </c>
      <c r="B14" s="3259"/>
      <c r="C14" s="3259"/>
      <c r="D14" s="3259"/>
    </row>
    <row r="15" spans="1:4" ht="42" customHeight="1">
      <c r="A15" s="325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spans="1:4" ht="30" customHeight="1">
      <c r="A16" s="3260" t="s">
        <v>127</v>
      </c>
      <c r="B16" s="3260"/>
      <c r="C16" s="3260"/>
      <c r="D16" s="3260"/>
    </row>
    <row r="17" spans="1:4" ht="144" customHeight="1">
      <c r="A17" s="3260" t="s">
        <v>128</v>
      </c>
      <c r="B17" s="3260"/>
      <c r="C17" s="3260"/>
      <c r="D17" s="3260"/>
    </row>
    <row r="18" spans="1:4" ht="15.75" customHeight="1">
      <c r="A18" s="3256" t="str">
        <f>IF(项目基本情况!B8="抵押",结果表!K120,"——")</f>
        <v>故，本次评估不存在估价师知悉的法定优先受偿款</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6"/>
      <c r="C20" s="3256"/>
      <c r="D20" s="3256"/>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7"/>
      <c r="C21" s="3257"/>
      <c r="D21" s="3257"/>
    </row>
    <row r="22" spans="1:4" ht="18.75" customHeight="1">
      <c r="A22" s="3258" t="s">
        <v>129</v>
      </c>
      <c r="B22" s="3258"/>
      <c r="C22" s="3258"/>
      <c r="D22" s="3258"/>
    </row>
    <row r="23" spans="1:4">
      <c r="A23" s="3166"/>
      <c r="B23" s="1559"/>
      <c r="C23" s="1559"/>
      <c r="D23" s="1559"/>
    </row>
    <row r="24" spans="1:4">
      <c r="A24" s="3166"/>
      <c r="B24" s="1559"/>
      <c r="C24" s="1559"/>
      <c r="D24" s="1559"/>
    </row>
    <row r="25" spans="1:4" ht="18.75">
      <c r="A25" s="3167" t="s">
        <v>130</v>
      </c>
    </row>
    <row r="26" spans="1:4" ht="18">
      <c r="A26" s="3168"/>
    </row>
    <row r="27" spans="1:4" ht="18.75">
      <c r="A27" s="3168" t="s">
        <v>131</v>
      </c>
    </row>
    <row r="30" spans="1:4" ht="18.75">
      <c r="D30" s="3167" t="s">
        <v>132</v>
      </c>
    </row>
    <row r="31" spans="1:4" ht="13.5" customHeight="1">
      <c r="C31" s="3255">
        <v>42551</v>
      </c>
      <c r="D31" s="32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3" customWidth="1"/>
    <col min="3" max="10" width="12.5" style="3153" customWidth="1"/>
    <col min="11" max="16384" width="9" style="3153"/>
  </cols>
  <sheetData>
    <row r="1" spans="1:10" ht="18.75">
      <c r="A1" s="3154" t="s">
        <v>133</v>
      </c>
      <c r="B1" s="3155"/>
      <c r="C1" s="3155"/>
      <c r="D1" s="3155"/>
      <c r="E1" s="3155"/>
      <c r="F1" s="3155"/>
      <c r="G1" s="3155"/>
      <c r="H1" s="3155"/>
      <c r="I1" s="3155"/>
      <c r="J1" s="3155"/>
    </row>
    <row r="2" spans="1:10" ht="18.75">
      <c r="A2" s="3156"/>
      <c r="B2" s="3155"/>
      <c r="C2" s="3155"/>
      <c r="D2" s="3155"/>
      <c r="E2" s="3155"/>
      <c r="F2" s="3155"/>
      <c r="G2" s="3155"/>
      <c r="H2" s="3155"/>
      <c r="I2" s="3155"/>
      <c r="J2" s="3155"/>
    </row>
    <row r="3" spans="1:10">
      <c r="A3" s="3155"/>
      <c r="B3" s="3155"/>
      <c r="C3" s="3155"/>
      <c r="D3" s="3155"/>
      <c r="E3" s="3155"/>
      <c r="F3" s="3155"/>
      <c r="G3" s="3155"/>
      <c r="H3" s="3155"/>
      <c r="I3" s="3155"/>
      <c r="J3" s="3155"/>
    </row>
    <row r="4" spans="1:10">
      <c r="A4" s="3155"/>
      <c r="B4" s="3155"/>
      <c r="C4" s="3155"/>
      <c r="D4" s="3155"/>
      <c r="E4" s="3155"/>
      <c r="F4" s="3155"/>
      <c r="G4" s="3155"/>
      <c r="H4" s="3155"/>
      <c r="I4" s="3155"/>
      <c r="J4" s="3155"/>
    </row>
    <row r="5" spans="1:10">
      <c r="A5" s="3155"/>
      <c r="B5" s="3155"/>
      <c r="C5" s="3155"/>
      <c r="D5" s="3155"/>
      <c r="E5" s="3155"/>
      <c r="F5" s="3155"/>
      <c r="G5" s="3155"/>
      <c r="H5" s="3155"/>
      <c r="I5" s="3155"/>
      <c r="J5" s="3155"/>
    </row>
    <row r="6" spans="1:10">
      <c r="A6" s="3155"/>
      <c r="B6" s="3155"/>
      <c r="C6" s="3155"/>
      <c r="D6" s="3155"/>
      <c r="E6" s="3155"/>
      <c r="F6" s="3155"/>
      <c r="G6" s="3155"/>
      <c r="H6" s="3155"/>
      <c r="I6" s="3155"/>
      <c r="J6" s="3155"/>
    </row>
    <row r="7" spans="1:10">
      <c r="A7" s="3155"/>
      <c r="B7" s="3155"/>
      <c r="C7" s="3155"/>
      <c r="D7" s="3155"/>
      <c r="E7" s="3155"/>
      <c r="F7" s="3155"/>
      <c r="G7" s="3155"/>
      <c r="H7" s="3155"/>
      <c r="I7" s="3155"/>
      <c r="J7" s="3155"/>
    </row>
    <row r="8" spans="1:10">
      <c r="A8" s="3155"/>
      <c r="B8" s="3155"/>
      <c r="C8" s="3155"/>
      <c r="D8" s="3155"/>
      <c r="E8" s="3155"/>
      <c r="F8" s="3155"/>
      <c r="G8" s="3155"/>
      <c r="H8" s="3155"/>
      <c r="I8" s="3155"/>
      <c r="J8" s="3155"/>
    </row>
    <row r="9" spans="1:10">
      <c r="A9" s="3155"/>
      <c r="B9" s="3155"/>
      <c r="C9" s="3155"/>
      <c r="D9" s="3155"/>
      <c r="E9" s="3155"/>
      <c r="F9" s="3155"/>
      <c r="G9" s="3155"/>
      <c r="H9" s="3155"/>
      <c r="I9" s="3155"/>
      <c r="J9" s="3155"/>
    </row>
    <row r="10" spans="1:10">
      <c r="A10" s="3155"/>
      <c r="B10" s="3155"/>
      <c r="C10" s="3155"/>
      <c r="D10" s="3155"/>
      <c r="E10" s="3155"/>
      <c r="F10" s="3155"/>
      <c r="G10" s="3155"/>
      <c r="H10" s="3155"/>
      <c r="I10" s="3155"/>
      <c r="J10" s="3155"/>
    </row>
    <row r="11" spans="1:10">
      <c r="A11" s="3155"/>
      <c r="B11" s="3155"/>
      <c r="C11" s="3155"/>
      <c r="D11" s="3155"/>
      <c r="E11" s="3155"/>
      <c r="F11" s="3155"/>
      <c r="G11" s="3155"/>
      <c r="H11" s="3155"/>
      <c r="I11" s="3155"/>
      <c r="J11" s="3155"/>
    </row>
    <row r="12" spans="1:10">
      <c r="A12" s="3155"/>
      <c r="B12" s="3155"/>
      <c r="C12" s="3155"/>
      <c r="D12" s="3155"/>
      <c r="E12" s="3155"/>
      <c r="F12" s="3155"/>
      <c r="G12" s="3155"/>
      <c r="H12" s="3155"/>
      <c r="I12" s="3155"/>
      <c r="J12" s="3155"/>
    </row>
    <row r="13" spans="1:10">
      <c r="A13" s="3155"/>
      <c r="B13" s="3155"/>
      <c r="C13" s="3155"/>
      <c r="D13" s="3155"/>
      <c r="E13" s="3155"/>
      <c r="F13" s="3155"/>
      <c r="G13" s="3155"/>
      <c r="H13" s="3155"/>
      <c r="I13" s="3155"/>
      <c r="J13" s="3155"/>
    </row>
    <row r="14" spans="1:10">
      <c r="A14" s="3155"/>
      <c r="B14" s="3155"/>
      <c r="C14" s="3155"/>
      <c r="D14" s="3155"/>
      <c r="E14" s="3155"/>
      <c r="F14" s="3155"/>
      <c r="G14" s="3155"/>
      <c r="H14" s="3155"/>
      <c r="I14" s="3155"/>
      <c r="J14" s="3155"/>
    </row>
    <row r="15" spans="1:10">
      <c r="A15" s="3155"/>
      <c r="B15" s="3155"/>
      <c r="C15" s="3155"/>
      <c r="D15" s="3155"/>
      <c r="E15" s="3155"/>
      <c r="F15" s="3155"/>
      <c r="G15" s="3155"/>
      <c r="H15" s="3155"/>
      <c r="I15" s="3155"/>
      <c r="J15" s="3155"/>
    </row>
    <row r="16" spans="1:10">
      <c r="A16" s="3155"/>
      <c r="B16" s="3155"/>
      <c r="C16" s="3155"/>
      <c r="D16" s="3155"/>
      <c r="E16" s="3155"/>
      <c r="F16" s="3155"/>
      <c r="G16" s="3155"/>
      <c r="H16" s="3155"/>
      <c r="I16" s="3155"/>
      <c r="J16" s="3155"/>
    </row>
    <row r="17" spans="1:10">
      <c r="A17" s="3155"/>
      <c r="B17" s="3155"/>
      <c r="C17" s="3155"/>
      <c r="D17" s="3155"/>
      <c r="E17" s="3155"/>
      <c r="F17" s="3155"/>
      <c r="G17" s="3155"/>
      <c r="H17" s="3155"/>
      <c r="I17" s="3155"/>
      <c r="J17" s="3155"/>
    </row>
    <row r="18" spans="1:10">
      <c r="A18" s="3155"/>
      <c r="B18" s="3155"/>
      <c r="C18" s="3155"/>
      <c r="D18" s="3155"/>
      <c r="E18" s="3155"/>
      <c r="F18" s="3155"/>
      <c r="G18" s="3155"/>
      <c r="H18" s="3155"/>
      <c r="I18" s="3155"/>
      <c r="J18" s="3155"/>
    </row>
    <row r="19" spans="1:10">
      <c r="A19" s="3155"/>
      <c r="B19" s="3155"/>
      <c r="C19" s="3155"/>
      <c r="D19" s="3155"/>
      <c r="E19" s="3155"/>
      <c r="F19" s="3155"/>
      <c r="G19" s="3155"/>
      <c r="H19" s="3155"/>
      <c r="I19" s="3155"/>
      <c r="J19" s="3155"/>
    </row>
    <row r="20" spans="1:10">
      <c r="A20" s="3155"/>
      <c r="B20" s="3155"/>
      <c r="C20" s="3155"/>
      <c r="D20" s="3155"/>
      <c r="E20" s="3155"/>
      <c r="F20" s="3155"/>
      <c r="G20" s="3155"/>
      <c r="H20" s="3155"/>
      <c r="I20" s="3155"/>
      <c r="J20" s="3155"/>
    </row>
    <row r="21" spans="1:10">
      <c r="A21" s="3155"/>
      <c r="B21" s="3155"/>
      <c r="C21" s="3155"/>
      <c r="D21" s="3155"/>
      <c r="E21" s="3155"/>
      <c r="F21" s="3155"/>
      <c r="G21" s="3155"/>
      <c r="H21" s="3155"/>
      <c r="I21" s="3155"/>
      <c r="J21" s="3155"/>
    </row>
    <row r="22" spans="1:10">
      <c r="A22" s="3155"/>
      <c r="B22" s="3155"/>
      <c r="C22" s="3155"/>
      <c r="D22" s="3155"/>
      <c r="E22" s="3155"/>
      <c r="F22" s="3155"/>
      <c r="G22" s="3155"/>
      <c r="H22" s="3155"/>
      <c r="I22" s="3155"/>
      <c r="J22" s="3155"/>
    </row>
    <row r="23" spans="1:10">
      <c r="A23" s="3155"/>
      <c r="B23" s="3155"/>
      <c r="C23" s="3155"/>
      <c r="D23" s="3155"/>
      <c r="E23" s="3155"/>
      <c r="F23" s="3155"/>
      <c r="G23" s="3155"/>
      <c r="H23" s="3155"/>
      <c r="I23" s="3155"/>
      <c r="J23" s="3155"/>
    </row>
    <row r="24" spans="1:10">
      <c r="A24" s="3155"/>
      <c r="B24" s="3155"/>
      <c r="C24" s="3155"/>
      <c r="D24" s="3155"/>
      <c r="E24" s="3155"/>
      <c r="F24" s="3155"/>
      <c r="G24" s="3155"/>
      <c r="H24" s="3155"/>
      <c r="I24" s="3155"/>
      <c r="J24" s="3155"/>
    </row>
    <row r="25" spans="1:10">
      <c r="A25" s="3155"/>
      <c r="B25" s="3155"/>
      <c r="C25" s="3155"/>
      <c r="D25" s="3155"/>
      <c r="E25" s="3155"/>
      <c r="F25" s="3155"/>
      <c r="G25" s="3155"/>
      <c r="H25" s="3155"/>
      <c r="I25" s="3155"/>
      <c r="J25" s="3155"/>
    </row>
    <row r="26" spans="1:10">
      <c r="A26" s="3155"/>
      <c r="B26" s="3155"/>
      <c r="C26" s="3155"/>
      <c r="D26" s="3155"/>
      <c r="E26" s="3155"/>
      <c r="F26" s="3155"/>
      <c r="G26" s="3155"/>
      <c r="H26" s="3155"/>
      <c r="I26" s="3155"/>
      <c r="J26" s="3155"/>
    </row>
    <row r="27" spans="1:10">
      <c r="A27" s="3155"/>
      <c r="B27" s="3155"/>
      <c r="C27" s="3155"/>
      <c r="D27" s="3155"/>
      <c r="E27" s="3155"/>
      <c r="F27" s="3155"/>
      <c r="G27" s="3155"/>
      <c r="H27" s="3155"/>
      <c r="I27" s="3155"/>
      <c r="J27" s="3155"/>
    </row>
    <row r="28" spans="1:10">
      <c r="A28" s="3155"/>
      <c r="B28" s="3155"/>
      <c r="C28" s="3155"/>
      <c r="D28" s="3155"/>
      <c r="E28" s="3155"/>
      <c r="F28" s="3155"/>
      <c r="G28" s="3155"/>
      <c r="H28" s="3155"/>
      <c r="I28" s="3155"/>
      <c r="J28" s="3155"/>
    </row>
    <row r="29" spans="1:10">
      <c r="A29" s="3155"/>
      <c r="B29" s="3155"/>
      <c r="C29" s="3155"/>
      <c r="D29" s="3155"/>
      <c r="E29" s="3155"/>
      <c r="F29" s="3155"/>
      <c r="G29" s="3155"/>
      <c r="H29" s="3155"/>
      <c r="I29" s="3155"/>
      <c r="J29" s="3155"/>
    </row>
    <row r="30" spans="1:10">
      <c r="A30" s="3155"/>
      <c r="B30" s="3155"/>
      <c r="C30" s="3155"/>
      <c r="D30" s="3155"/>
      <c r="E30" s="3155"/>
      <c r="F30" s="3155"/>
      <c r="G30" s="3155"/>
      <c r="H30" s="3155"/>
      <c r="I30" s="3155"/>
      <c r="J30" s="3155"/>
    </row>
    <row r="31" spans="1:10">
      <c r="A31" s="3155"/>
      <c r="B31" s="3155"/>
      <c r="C31" s="3155"/>
      <c r="D31" s="3155"/>
      <c r="E31" s="3155"/>
      <c r="F31" s="3155"/>
      <c r="G31" s="3155"/>
      <c r="H31" s="3155"/>
      <c r="I31" s="3155"/>
      <c r="J31" s="3155"/>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6" customWidth="1"/>
    <col min="2" max="16384" width="14.5" style="3087"/>
  </cols>
  <sheetData>
    <row r="1" spans="1:7" s="3135" customFormat="1" ht="18.75">
      <c r="A1" s="3137" t="s">
        <v>134</v>
      </c>
    </row>
    <row r="3" spans="1:7">
      <c r="A3" s="3138" t="s">
        <v>135</v>
      </c>
      <c r="B3" s="3087" t="s">
        <v>136</v>
      </c>
      <c r="G3" s="3139"/>
    </row>
    <row r="4" spans="1:7">
      <c r="G4" s="3139"/>
    </row>
    <row r="5" spans="1:7">
      <c r="A5" s="3140" t="s">
        <v>137</v>
      </c>
      <c r="B5" s="3087" t="s">
        <v>138</v>
      </c>
      <c r="G5" s="3139"/>
    </row>
    <row r="6" spans="1:7">
      <c r="G6" s="3139"/>
    </row>
    <row r="7" spans="1:7">
      <c r="A7" s="3141" t="s">
        <v>139</v>
      </c>
      <c r="B7" s="3087" t="s">
        <v>140</v>
      </c>
      <c r="G7" s="3139"/>
    </row>
    <row r="8" spans="1:7">
      <c r="G8" s="3139"/>
    </row>
    <row r="9" spans="1:7">
      <c r="A9" s="3142" t="s">
        <v>141</v>
      </c>
      <c r="B9" s="3087" t="s">
        <v>142</v>
      </c>
    </row>
    <row r="11" spans="1:7">
      <c r="A11" s="3143" t="s">
        <v>143</v>
      </c>
      <c r="B11" s="3144" t="s">
        <v>144</v>
      </c>
    </row>
    <row r="13" spans="1:7">
      <c r="A13" s="3145" t="s">
        <v>145</v>
      </c>
    </row>
    <row r="15" spans="1:7" ht="13.5">
      <c r="A15" s="3266" t="s">
        <v>146</v>
      </c>
      <c r="B15" s="3271" t="s">
        <v>147</v>
      </c>
      <c r="C15" s="3265"/>
    </row>
    <row r="16" spans="1:7" ht="13.5">
      <c r="A16" s="3267"/>
      <c r="B16" s="3271" t="s">
        <v>148</v>
      </c>
      <c r="C16" s="3265"/>
    </row>
    <row r="17" spans="1:3" ht="13.5">
      <c r="A17" s="3267"/>
      <c r="B17" s="3270" t="s">
        <v>149</v>
      </c>
      <c r="C17" s="3146" t="s">
        <v>146</v>
      </c>
    </row>
    <row r="18" spans="1:3" ht="13.5">
      <c r="A18" s="3267"/>
      <c r="B18" s="3270"/>
      <c r="C18" s="3146" t="s">
        <v>150</v>
      </c>
    </row>
    <row r="19" spans="1:3" ht="13.5">
      <c r="A19" s="3267"/>
      <c r="B19" s="3270"/>
      <c r="C19" s="3146" t="s">
        <v>151</v>
      </c>
    </row>
    <row r="20" spans="1:3" ht="13.5">
      <c r="A20" s="3268"/>
      <c r="B20" s="3264" t="s">
        <v>152</v>
      </c>
      <c r="C20" s="3265"/>
    </row>
    <row r="21" spans="1:3" ht="13.5">
      <c r="A21" s="3147" t="s">
        <v>153</v>
      </c>
      <c r="B21" s="3148"/>
      <c r="C21" s="3149"/>
    </row>
    <row r="22" spans="1:3" ht="13.5">
      <c r="A22" s="3269" t="s">
        <v>154</v>
      </c>
      <c r="B22" s="3264" t="s">
        <v>155</v>
      </c>
      <c r="C22" s="3265"/>
    </row>
    <row r="23" spans="1:3" ht="13.5">
      <c r="A23" s="3269"/>
      <c r="B23" s="3264" t="s">
        <v>156</v>
      </c>
      <c r="C23" s="3265"/>
    </row>
    <row r="24" spans="1:3" ht="13.5">
      <c r="A24" s="3269"/>
      <c r="B24" s="3264" t="s">
        <v>157</v>
      </c>
      <c r="C24" s="3265"/>
    </row>
    <row r="25" spans="1:3" ht="13.5">
      <c r="A25" s="3269"/>
      <c r="B25" s="3270" t="s">
        <v>158</v>
      </c>
      <c r="C25" s="3146" t="s">
        <v>159</v>
      </c>
    </row>
    <row r="26" spans="1:3" ht="13.5">
      <c r="A26" s="3269"/>
      <c r="B26" s="3270"/>
      <c r="C26" s="3146" t="s">
        <v>160</v>
      </c>
    </row>
    <row r="27" spans="1:3" ht="13.5">
      <c r="A27" s="3269"/>
      <c r="B27" s="3270"/>
      <c r="C27" s="3146" t="s">
        <v>161</v>
      </c>
    </row>
    <row r="28" spans="1:3" ht="13.5">
      <c r="A28" s="3269"/>
      <c r="B28" s="3270"/>
      <c r="C28" s="3146" t="s">
        <v>162</v>
      </c>
    </row>
    <row r="29" spans="1:3" ht="13.5">
      <c r="A29" s="3269"/>
      <c r="B29" s="3270"/>
      <c r="C29" s="3146" t="s">
        <v>163</v>
      </c>
    </row>
    <row r="30" spans="1:3" ht="13.5">
      <c r="A30" s="3269"/>
      <c r="B30" s="3270"/>
      <c r="C30" s="3146" t="s">
        <v>164</v>
      </c>
    </row>
    <row r="31" spans="1:3" ht="13.5">
      <c r="A31" s="3269"/>
      <c r="B31" s="3270"/>
      <c r="C31" s="3146" t="s">
        <v>165</v>
      </c>
    </row>
    <row r="32" spans="1:3" ht="13.5">
      <c r="A32" s="3269"/>
      <c r="B32" s="3270"/>
      <c r="C32" s="3146" t="s">
        <v>166</v>
      </c>
    </row>
    <row r="33" spans="1:3" ht="13.5">
      <c r="A33" s="3269"/>
      <c r="B33" s="3270"/>
      <c r="C33" s="3146" t="s">
        <v>167</v>
      </c>
    </row>
    <row r="34" spans="1:3">
      <c r="A34" s="3150" t="s">
        <v>168</v>
      </c>
    </row>
    <row r="37" spans="1:3">
      <c r="A37" s="3150" t="s">
        <v>169</v>
      </c>
    </row>
    <row r="38" spans="1:3" ht="13.5">
      <c r="A38" s="3151" t="s">
        <v>170</v>
      </c>
    </row>
    <row r="39" spans="1:3" ht="13.5">
      <c r="A39" s="3151" t="s">
        <v>171</v>
      </c>
    </row>
    <row r="40" spans="1:3" ht="13.5">
      <c r="A40" s="3151" t="s">
        <v>172</v>
      </c>
    </row>
    <row r="41" spans="1:3" ht="13.5">
      <c r="A41" s="3152" t="s">
        <v>173</v>
      </c>
    </row>
    <row r="42" spans="1:3" ht="13.5">
      <c r="A42" s="315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6" customWidth="1"/>
    <col min="2" max="2" width="38.625" style="3106" customWidth="1"/>
    <col min="3" max="3" width="26" style="3106" customWidth="1"/>
    <col min="4" max="4" width="35" style="3106" hidden="1" customWidth="1"/>
    <col min="5" max="5" width="30.125" style="3106" customWidth="1"/>
    <col min="6" max="6" width="35.5" style="3106" customWidth="1"/>
    <col min="7" max="7" width="31" style="3106" customWidth="1"/>
    <col min="8" max="8" width="37.5" style="3106" hidden="1" customWidth="1"/>
    <col min="9" max="16384" width="22.625" style="3106"/>
  </cols>
  <sheetData>
    <row r="1" spans="1:8" ht="24" customHeight="1">
      <c r="A1" s="3107"/>
      <c r="B1" s="3107"/>
      <c r="C1" s="3107"/>
      <c r="D1" s="3107"/>
      <c r="E1" s="3107"/>
      <c r="F1" s="3107"/>
      <c r="G1" s="3107"/>
      <c r="H1" s="3107"/>
    </row>
    <row r="2" spans="1:8" ht="24" customHeight="1">
      <c r="A2" s="3108" t="s">
        <v>175</v>
      </c>
      <c r="B2" s="3109">
        <f ca="1">TODAY()</f>
        <v>44726</v>
      </c>
      <c r="C2" s="3110" t="s">
        <v>176</v>
      </c>
      <c r="D2" s="3110"/>
      <c r="E2" s="3110"/>
      <c r="F2" s="3107"/>
      <c r="G2" s="3107"/>
      <c r="H2" s="3107"/>
    </row>
    <row r="3" spans="1:8" ht="24" customHeight="1">
      <c r="A3" s="3111" t="s">
        <v>177</v>
      </c>
      <c r="B3" s="3112" t="s">
        <v>178</v>
      </c>
      <c r="C3" s="3112" t="s">
        <v>179</v>
      </c>
      <c r="D3" s="3113" t="s">
        <v>180</v>
      </c>
      <c r="E3" s="3114" t="s">
        <v>181</v>
      </c>
      <c r="F3" s="3115" t="s">
        <v>182</v>
      </c>
      <c r="G3" s="3112" t="s">
        <v>179</v>
      </c>
      <c r="H3" s="3113" t="s">
        <v>183</v>
      </c>
    </row>
    <row r="4" spans="1:8" ht="24" customHeight="1">
      <c r="A4" s="3115" t="s">
        <v>184</v>
      </c>
      <c r="B4" s="3115">
        <f ca="1">IF(C4&lt;B2,"已过期",1119970066)</f>
        <v>1119970066</v>
      </c>
      <c r="C4" s="3116">
        <v>44876</v>
      </c>
      <c r="D4" s="3117" t="str">
        <f ca="1">A4&amp;"（注册号："&amp;B4&amp;"）"</f>
        <v>梁津（注册号：1119970066）</v>
      </c>
      <c r="E4" s="3118" t="s">
        <v>184</v>
      </c>
      <c r="F4" s="3115">
        <f ca="1">IF(G4&lt;B2,"已过期",96010014)</f>
        <v>96010014</v>
      </c>
      <c r="G4" s="3119">
        <v>47118</v>
      </c>
      <c r="H4" s="3120" t="str">
        <f ca="1">E4&amp;"（注册号："&amp;F4&amp;"）"</f>
        <v>梁津（注册号：96010014）</v>
      </c>
    </row>
    <row r="5" spans="1:8" ht="24" customHeight="1">
      <c r="A5" s="3115" t="s">
        <v>185</v>
      </c>
      <c r="B5" s="3115">
        <f ca="1">IF(C5&lt;B2,"已过期",1119970111)</f>
        <v>1119970111</v>
      </c>
      <c r="C5" s="3116">
        <v>44876</v>
      </c>
      <c r="D5" s="3117" t="str">
        <f t="shared" ref="D5:D16" ca="1" si="0">A5&amp;"（注册号："&amp;B5&amp;"）"</f>
        <v>叶凌（注册号：1119970111）</v>
      </c>
      <c r="E5" s="3118" t="s">
        <v>185</v>
      </c>
      <c r="F5" s="3115">
        <f ca="1">IF(G5&lt;B2,"已过期",94010078)</f>
        <v>94010078</v>
      </c>
      <c r="G5" s="3119">
        <v>46387</v>
      </c>
      <c r="H5" s="3120" t="str">
        <f t="shared" ref="H5:H16" ca="1" si="1">E5&amp;"（注册号："&amp;F5&amp;"）"</f>
        <v>叶凌（注册号：94010078）</v>
      </c>
    </row>
    <row r="6" spans="1:8" ht="24" customHeight="1">
      <c r="A6" s="3115" t="s">
        <v>186</v>
      </c>
      <c r="B6" s="3115">
        <f ca="1">IF(C6&lt;B2,"已过期",1120050019)</f>
        <v>1120050019</v>
      </c>
      <c r="C6" s="3116">
        <v>45410</v>
      </c>
      <c r="D6" s="3117" t="str">
        <f t="shared" ca="1" si="0"/>
        <v>王鹏（注册号：1120050019）</v>
      </c>
      <c r="E6" s="3118" t="s">
        <v>186</v>
      </c>
      <c r="F6" s="3115">
        <f ca="1">IF(G6&lt;B2,"已过期",2002110030)</f>
        <v>2002110030</v>
      </c>
      <c r="G6" s="3119">
        <v>46387</v>
      </c>
      <c r="H6" s="3120" t="str">
        <f t="shared" ca="1" si="1"/>
        <v>王鹏（注册号：2002110030）</v>
      </c>
    </row>
    <row r="7" spans="1:8" ht="24" customHeight="1">
      <c r="A7" s="3115" t="s">
        <v>187</v>
      </c>
      <c r="B7" s="3115">
        <f ca="1">IF(C7&lt;B2,"已过期",1120000080)</f>
        <v>1120000080</v>
      </c>
      <c r="C7" s="3116">
        <v>44876</v>
      </c>
      <c r="D7" s="3117" t="str">
        <f t="shared" ca="1" si="0"/>
        <v>欧红伟（注册号：1120000080）</v>
      </c>
      <c r="E7" s="3118" t="s">
        <v>187</v>
      </c>
      <c r="F7" s="3115">
        <f ca="1">IF(G7&lt;B2,"已过期",2000110082)</f>
        <v>2000110082</v>
      </c>
      <c r="G7" s="3119">
        <v>46387</v>
      </c>
      <c r="H7" s="3120" t="str">
        <f t="shared" ca="1" si="1"/>
        <v>欧红伟（注册号：2000110082）</v>
      </c>
    </row>
    <row r="8" spans="1:8" ht="24" customHeight="1">
      <c r="A8" s="3115" t="s">
        <v>188</v>
      </c>
      <c r="B8" s="3115">
        <f ca="1">IF(C8&lt;B2,"已过期",1419970001)</f>
        <v>1419970001</v>
      </c>
      <c r="C8" s="3116">
        <v>44899</v>
      </c>
      <c r="D8" s="3117" t="str">
        <f t="shared" ca="1" si="0"/>
        <v>吴薇（注册号：1419970001）</v>
      </c>
      <c r="E8" s="3118" t="s">
        <v>188</v>
      </c>
      <c r="F8" s="3115">
        <f ca="1">IF(G8&lt;B2,"已过期",2002110125)</f>
        <v>2002110125</v>
      </c>
      <c r="G8" s="3119">
        <v>47118</v>
      </c>
      <c r="H8" s="3120" t="str">
        <f t="shared" ca="1" si="1"/>
        <v>吴薇（注册号：2002110125）</v>
      </c>
    </row>
    <row r="9" spans="1:8" ht="24" customHeight="1">
      <c r="A9" s="3115" t="s">
        <v>189</v>
      </c>
      <c r="B9" s="3115">
        <f ca="1">IF(C9&lt;B2,"已过期",1120060040)</f>
        <v>1120060040</v>
      </c>
      <c r="C9" s="3121">
        <v>45592</v>
      </c>
      <c r="D9" s="3117" t="str">
        <f t="shared" ca="1" si="0"/>
        <v>陈颖（注册号：1120060040）</v>
      </c>
      <c r="E9" s="3118" t="s">
        <v>189</v>
      </c>
      <c r="F9" s="3115">
        <f ca="1">IF(G9&lt;B2,"已过期",2004110096)</f>
        <v>2004110096</v>
      </c>
      <c r="G9" s="3119">
        <v>47118</v>
      </c>
      <c r="H9" s="3120" t="str">
        <f t="shared" ca="1" si="1"/>
        <v>陈颖（注册号：2004110096）</v>
      </c>
    </row>
    <row r="10" spans="1:8" ht="24" customHeight="1">
      <c r="A10" s="3115" t="s">
        <v>190</v>
      </c>
      <c r="B10" s="3115" t="str">
        <f ca="1">IF(C10&lt;B2,"已过期",1120100036)</f>
        <v>已过期</v>
      </c>
      <c r="C10" s="3121">
        <v>44675</v>
      </c>
      <c r="D10" s="3117" t="str">
        <f t="shared" ca="1" si="0"/>
        <v>崔锴（注册号：已过期）</v>
      </c>
      <c r="E10" s="3118" t="s">
        <v>190</v>
      </c>
      <c r="F10" s="3115">
        <f ca="1">IF(G10&lt;B2,"已过期",2010110070)</f>
        <v>2010110070</v>
      </c>
      <c r="G10" s="3119">
        <v>47907</v>
      </c>
      <c r="H10" s="3120" t="str">
        <f t="shared" ca="1" si="1"/>
        <v>崔锴（注册号：2010110070）</v>
      </c>
    </row>
    <row r="11" spans="1:8" ht="24" customHeight="1">
      <c r="A11" s="3115" t="s">
        <v>191</v>
      </c>
      <c r="B11" s="3115">
        <f ca="1">IF(C11&lt;B2,"已过期",1120070131)</f>
        <v>1120070131</v>
      </c>
      <c r="C11" s="3116">
        <v>44849</v>
      </c>
      <c r="D11" s="3117" t="str">
        <f t="shared" ca="1" si="0"/>
        <v>郑燚（注册号：1120070131）</v>
      </c>
      <c r="E11" s="3118" t="s">
        <v>191</v>
      </c>
      <c r="F11" s="3115">
        <f ca="1">IF(G11&lt;B2,"已过期",2014110011)</f>
        <v>2014110011</v>
      </c>
      <c r="G11" s="3119">
        <v>49302</v>
      </c>
      <c r="H11" s="3120" t="str">
        <f t="shared" ca="1" si="1"/>
        <v>郑燚（注册号：2014110011）</v>
      </c>
    </row>
    <row r="12" spans="1:8" ht="24" customHeight="1">
      <c r="A12" s="3115" t="s">
        <v>192</v>
      </c>
      <c r="B12" s="3115">
        <f ca="1">IF(C12&lt;B2,"已过期",1120040230)</f>
        <v>1120040230</v>
      </c>
      <c r="C12" s="3121">
        <v>44864</v>
      </c>
      <c r="D12" s="3117" t="str">
        <f t="shared" ca="1" si="0"/>
        <v>苏海（注册号：1120040230）</v>
      </c>
      <c r="E12" s="3118" t="s">
        <v>192</v>
      </c>
      <c r="F12" s="3115">
        <f ca="1">IF(G12&lt;B2,"已过期",98030020)</f>
        <v>98030020</v>
      </c>
      <c r="G12" s="3119">
        <v>47118</v>
      </c>
      <c r="H12" s="3120" t="str">
        <f t="shared" ca="1" si="1"/>
        <v>苏海（注册号：98030020）</v>
      </c>
    </row>
    <row r="13" spans="1:8" ht="24" customHeight="1">
      <c r="A13" s="3115" t="s">
        <v>193</v>
      </c>
      <c r="B13" s="3115" t="str">
        <f ca="1">IF(C13&lt;B2,"已过期",1120020033)</f>
        <v>已过期</v>
      </c>
      <c r="C13" s="3116">
        <v>44339</v>
      </c>
      <c r="D13" s="3117" t="str">
        <f t="shared" ca="1" si="0"/>
        <v>刘敬东（注册号：已过期）</v>
      </c>
      <c r="E13" s="3118" t="s">
        <v>193</v>
      </c>
      <c r="F13" s="3115">
        <f ca="1">IF(G13&lt;B2,"已过期",2000110137)</f>
        <v>2000110137</v>
      </c>
      <c r="G13" s="3119">
        <v>46387</v>
      </c>
      <c r="H13" s="3120" t="str">
        <f t="shared" ca="1" si="1"/>
        <v>刘敬东（注册号：2000110137）</v>
      </c>
    </row>
    <row r="14" spans="1:8" ht="24" customHeight="1">
      <c r="A14" s="3115" t="s">
        <v>194</v>
      </c>
      <c r="B14" s="3115">
        <f ca="1">IF(C14&lt;B2,"已过期",1119980106)</f>
        <v>1119980106</v>
      </c>
      <c r="C14" s="3121">
        <v>44969</v>
      </c>
      <c r="D14" s="3117" t="str">
        <f t="shared" ca="1" si="0"/>
        <v>刘俊财（注册号：1119980106）</v>
      </c>
      <c r="E14" s="3118" t="s">
        <v>194</v>
      </c>
      <c r="F14" s="3115">
        <f ca="1">IF(G14&lt;B2,"已过期",96010063)</f>
        <v>96010063</v>
      </c>
      <c r="G14" s="3119">
        <v>47483</v>
      </c>
      <c r="H14" s="3120" t="str">
        <f t="shared" ca="1" si="1"/>
        <v>刘俊财（注册号：96010063）</v>
      </c>
    </row>
    <row r="15" spans="1:8" ht="24" customHeight="1">
      <c r="A15" s="3115" t="s">
        <v>195</v>
      </c>
      <c r="B15" s="3115">
        <v>1120210056</v>
      </c>
      <c r="C15" s="3121">
        <v>45410</v>
      </c>
      <c r="D15" s="3117" t="str">
        <f t="shared" si="0"/>
        <v>宁小鳗（注册号：1120210056）</v>
      </c>
      <c r="E15" s="3118" t="s">
        <v>196</v>
      </c>
      <c r="F15" s="3115">
        <f ca="1">IF(G15&lt;B2,"已过期",2011110090)</f>
        <v>2011110090</v>
      </c>
      <c r="G15" s="3119">
        <v>48302</v>
      </c>
      <c r="H15" s="3120" t="str">
        <f t="shared" ca="1" si="1"/>
        <v>赵雯（注册号：2011110090）</v>
      </c>
    </row>
    <row r="16" spans="1:8" s="3104" customFormat="1" ht="24" customHeight="1">
      <c r="A16" s="3115"/>
      <c r="B16" s="3115"/>
      <c r="C16" s="3115"/>
      <c r="D16" s="3117" t="str">
        <f t="shared" si="0"/>
        <v>（注册号：）</v>
      </c>
      <c r="E16" s="3118"/>
      <c r="F16" s="3115"/>
      <c r="G16" s="3115"/>
      <c r="H16" s="3122" t="str">
        <f t="shared" si="1"/>
        <v>（注册号：）</v>
      </c>
    </row>
    <row r="17" spans="1:8" ht="24" customHeight="1">
      <c r="A17" s="3272" t="s">
        <v>197</v>
      </c>
      <c r="B17" s="3272"/>
      <c r="C17" s="3272"/>
      <c r="D17" s="3272"/>
      <c r="E17" s="3272"/>
      <c r="F17" s="3272"/>
      <c r="G17" s="3272"/>
      <c r="H17" s="3272"/>
    </row>
    <row r="18" spans="1:8" ht="24" customHeight="1">
      <c r="A18" s="3273" t="s">
        <v>198</v>
      </c>
      <c r="B18" s="3273"/>
      <c r="C18" s="3273"/>
      <c r="D18" s="3113"/>
      <c r="E18" s="3274" t="s">
        <v>199</v>
      </c>
      <c r="F18" s="3273"/>
      <c r="G18" s="3273"/>
    </row>
    <row r="19" spans="1:8" s="3105" customFormat="1" ht="24" customHeight="1">
      <c r="A19" s="3123" t="s">
        <v>200</v>
      </c>
      <c r="B19" s="3112" t="s">
        <v>201</v>
      </c>
      <c r="C19" s="3112" t="s">
        <v>179</v>
      </c>
      <c r="D19" s="3113"/>
      <c r="E19" s="3118" t="s">
        <v>200</v>
      </c>
      <c r="F19" s="3112" t="s">
        <v>201</v>
      </c>
      <c r="G19" s="3112" t="s">
        <v>179</v>
      </c>
    </row>
    <row r="20" spans="1:8" s="3105" customFormat="1" ht="24" customHeight="1">
      <c r="A20" s="3124" t="s">
        <v>202</v>
      </c>
      <c r="B20" s="3124" t="s">
        <v>203</v>
      </c>
      <c r="C20" s="3119">
        <v>44820</v>
      </c>
      <c r="D20" s="3125"/>
      <c r="E20" s="3126" t="s">
        <v>204</v>
      </c>
      <c r="F20" s="3127" t="s">
        <v>205</v>
      </c>
      <c r="G20" s="3128">
        <v>44926</v>
      </c>
    </row>
    <row r="21" spans="1:8" s="3105" customFormat="1" ht="24" customHeight="1">
      <c r="A21" s="3124"/>
      <c r="B21" s="3124"/>
      <c r="C21" s="3129"/>
      <c r="D21" s="3130"/>
      <c r="E21" s="3126"/>
      <c r="F21" s="3127"/>
      <c r="G21" s="3128"/>
    </row>
    <row r="22" spans="1:8" ht="24" customHeight="1">
      <c r="C22" s="3131"/>
      <c r="D22" s="3131"/>
      <c r="E22" s="3132"/>
      <c r="F22" s="3133"/>
      <c r="G22" s="3134"/>
    </row>
  </sheetData>
  <sheetProtection password="CEE9" sheet="1" objects="1" scenarios="1"/>
  <mergeCells count="3">
    <mergeCell ref="A17:H17"/>
    <mergeCell ref="A18:C18"/>
    <mergeCell ref="E18:G18"/>
  </mergeCells>
  <phoneticPr fontId="210" type="noConversion"/>
  <conditionalFormatting sqref="C7">
    <cfRule type="expression" dxfId="245" priority="37">
      <formula>AND($C7-TODAY()&lt;30,TODAY()&lt;$C7)</formula>
    </cfRule>
    <cfRule type="cellIs" dxfId="244" priority="38" stopIfTrue="1" operator="lessThan">
      <formula>$B$2</formula>
    </cfRule>
  </conditionalFormatting>
  <conditionalFormatting sqref="C8">
    <cfRule type="expression" dxfId="243" priority="35">
      <formula>AND($C8-TODAY()&lt;30,TODAY()&lt;$C8)</formula>
    </cfRule>
    <cfRule type="cellIs" dxfId="242" priority="36" stopIfTrue="1" operator="lessThan">
      <formula>$B$2</formula>
    </cfRule>
  </conditionalFormatting>
  <conditionalFormatting sqref="C11">
    <cfRule type="expression" dxfId="241" priority="33">
      <formula>AND($C11-TODAY()&lt;30,TODAY()&lt;$C11)</formula>
    </cfRule>
    <cfRule type="cellIs" dxfId="240" priority="34" stopIfTrue="1" operator="lessThan">
      <formula>$B$2</formula>
    </cfRule>
  </conditionalFormatting>
  <conditionalFormatting sqref="G11">
    <cfRule type="cellIs" dxfId="239" priority="30" stopIfTrue="1" operator="lessThan">
      <formula>$B$2</formula>
    </cfRule>
  </conditionalFormatting>
  <conditionalFormatting sqref="B12">
    <cfRule type="cellIs" dxfId="238" priority="24" stopIfTrue="1" operator="equal">
      <formula>"已过期"</formula>
    </cfRule>
  </conditionalFormatting>
  <conditionalFormatting sqref="C12">
    <cfRule type="expression" dxfId="237" priority="25">
      <formula>AND($C12-TODAY()&lt;30,TODAY()&lt;$C12)</formula>
    </cfRule>
    <cfRule type="cellIs" dxfId="236" priority="26" stopIfTrue="1" operator="lessThan">
      <formula>$B$2</formula>
    </cfRule>
    <cfRule type="cellIs" dxfId="235" priority="27" stopIfTrue="1" operator="lessThan">
      <formula>$B$2</formula>
    </cfRule>
  </conditionalFormatting>
  <conditionalFormatting sqref="D12">
    <cfRule type="expression" dxfId="234" priority="47">
      <formula>AND($C12-TODAY()&lt;30,TODAY()&lt;$C12)</formula>
    </cfRule>
    <cfRule type="cellIs" dxfId="233" priority="48"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3:D13">
    <cfRule type="expression" dxfId="230" priority="45">
      <formula>AND($C13-TODAY()&lt;30,TODAY()&lt;$C13)</formula>
    </cfRule>
    <cfRule type="cellIs" dxfId="229" priority="46" stopIfTrue="1" operator="lessThan">
      <formula>$B$2</formula>
    </cfRule>
  </conditionalFormatting>
  <conditionalFormatting sqref="G13">
    <cfRule type="cellIs" dxfId="228" priority="42" stopIfTrue="1" operator="lessThan">
      <formula>$B$2</formula>
    </cfRule>
  </conditionalFormatting>
  <conditionalFormatting sqref="B14">
    <cfRule type="cellIs" dxfId="227" priority="15" stopIfTrue="1" operator="equal">
      <formula>"已过期"</formula>
    </cfRule>
  </conditionalFormatting>
  <conditionalFormatting sqref="C14">
    <cfRule type="expression" dxfId="226" priority="16">
      <formula>AND($C14-TODAY()&lt;30,TODAY()&lt;$C14)</formula>
    </cfRule>
    <cfRule type="cellIs" dxfId="225" priority="17" stopIfTrue="1" operator="lessThan">
      <formula>$B$2</formula>
    </cfRule>
    <cfRule type="expression" dxfId="224" priority="18">
      <formula>AND($C14-TODAY()&lt;30,TODAY()&lt;$C14)</formula>
    </cfRule>
    <cfRule type="cellIs" dxfId="223" priority="19" stopIfTrue="1" operator="lessThan">
      <formula>$B$2</formula>
    </cfRule>
  </conditionalFormatting>
  <conditionalFormatting sqref="D14">
    <cfRule type="expression" dxfId="222" priority="43">
      <formula>AND($C14-TODAY()&lt;30,TODAY()&lt;$C14)</formula>
    </cfRule>
    <cfRule type="cellIs" dxfId="221" priority="44" stopIfTrue="1" operator="lessThan">
      <formula>$B$2</formula>
    </cfRule>
  </conditionalFormatting>
  <conditionalFormatting sqref="G14">
    <cfRule type="cellIs" dxfId="220" priority="14" stopIfTrue="1" operator="lessThan">
      <formula>$B$2</formula>
    </cfRule>
  </conditionalFormatting>
  <conditionalFormatting sqref="B15">
    <cfRule type="cellIs" dxfId="219" priority="4" stopIfTrue="1" operator="equal">
      <formula>"已过期"</formula>
    </cfRule>
  </conditionalFormatting>
  <conditionalFormatting sqref="C15">
    <cfRule type="expression" dxfId="218" priority="5">
      <formula>AND($C15-TODAY()&lt;30,TODAY()&lt;$C15)</formula>
    </cfRule>
    <cfRule type="cellIs" dxfId="217" priority="6" stopIfTrue="1" operator="lessThan">
      <formula>$B$2</formula>
    </cfRule>
    <cfRule type="expression" dxfId="216" priority="7">
      <formula>AND($C15-TODAY()&lt;30,TODAY()&lt;$C15)</formula>
    </cfRule>
    <cfRule type="cellIs" dxfId="215" priority="8" stopIfTrue="1" operator="lessThan">
      <formula>$B$2</formula>
    </cfRule>
  </conditionalFormatting>
  <conditionalFormatting sqref="D15">
    <cfRule type="expression" dxfId="214" priority="10">
      <formula>AND($C15-TODAY()&lt;30,TODAY()&lt;$C15)</formula>
    </cfRule>
    <cfRule type="cellIs" dxfId="213" priority="11" stopIfTrue="1" operator="lessThan">
      <formula>$B$2</formula>
    </cfRule>
    <cfRule type="expression" dxfId="212" priority="12">
      <formula>AND($C15-TODAY()&lt;30,TODAY()&lt;$C15)</formula>
    </cfRule>
    <cfRule type="cellIs" dxfId="211" priority="13" stopIfTrue="1" operator="lessThan">
      <formula>$B$2</formula>
    </cfRule>
  </conditionalFormatting>
  <conditionalFormatting sqref="F15">
    <cfRule type="cellIs" dxfId="210" priority="9" stopIfTrue="1" operator="equal">
      <formula>"已过期"</formula>
    </cfRule>
  </conditionalFormatting>
  <conditionalFormatting sqref="G15">
    <cfRule type="cellIs" dxfId="209" priority="3" stopIfTrue="1" operator="lessThan">
      <formula>$B$2</formula>
    </cfRule>
  </conditionalFormatting>
  <conditionalFormatting sqref="A16:C16">
    <cfRule type="cellIs" dxfId="208" priority="32" stopIfTrue="1" operator="equal">
      <formula>"已过期"</formula>
    </cfRule>
  </conditionalFormatting>
  <conditionalFormatting sqref="E16:G16">
    <cfRule type="cellIs" dxfId="207" priority="31" stopIfTrue="1" operator="equal">
      <formula>"已过期"</formula>
    </cfRule>
  </conditionalFormatting>
  <conditionalFormatting sqref="C20:D20">
    <cfRule type="expression" dxfId="206" priority="52">
      <formula>AND($C20-TODAY()&lt;30,TODAY()&lt;$C20)</formula>
    </cfRule>
  </conditionalFormatting>
  <conditionalFormatting sqref="G20">
    <cfRule type="expression" dxfId="205" priority="1" stopIfTrue="1">
      <formula>AND(#REF!-TODAY()&lt;30,TODAY()&lt;#REF!)</formula>
    </cfRule>
    <cfRule type="cellIs" dxfId="204" priority="2" stopIfTrue="1" operator="lessThan">
      <formula>$B$2</formula>
    </cfRule>
  </conditionalFormatting>
  <conditionalFormatting sqref="G21">
    <cfRule type="expression" dxfId="203" priority="20" stopIfTrue="1">
      <formula>AND(#REF!-TODAY()&lt;30,TODAY()&lt;#REF!)</formula>
    </cfRule>
    <cfRule type="cellIs" dxfId="202" priority="21" stopIfTrue="1" operator="lessThan">
      <formula>$B$2</formula>
    </cfRule>
  </conditionalFormatting>
  <conditionalFormatting sqref="C9:C10">
    <cfRule type="expression" dxfId="201" priority="22">
      <formula>AND($C9-TODAY()&lt;30,TODAY()&lt;$C9)</formula>
    </cfRule>
    <cfRule type="cellIs" dxfId="200" priority="23" stopIfTrue="1" operator="lessThan">
      <formula>$B$2</formula>
    </cfRule>
  </conditionalFormatting>
  <conditionalFormatting sqref="B4:B11 F4:F11 B13 F13:F14">
    <cfRule type="cellIs" dxfId="199" priority="41" stopIfTrue="1" operator="equal">
      <formula>"已过期"</formula>
    </cfRule>
  </conditionalFormatting>
  <conditionalFormatting sqref="D16 C4:D5 D7:D12 C13:D13 C12">
    <cfRule type="expression" dxfId="198" priority="53">
      <formula>AND($C4-TODAY()&lt;30,TODAY()&lt;$C4)</formula>
    </cfRule>
  </conditionalFormatting>
  <conditionalFormatting sqref="C20:D20 G4 C4:D5 C13:D13">
    <cfRule type="cellIs" dxfId="197" priority="54" stopIfTrue="1" operator="lessThan">
      <formula>$B$2</formula>
    </cfRule>
  </conditionalFormatting>
  <conditionalFormatting sqref="G5 G7 G9">
    <cfRule type="cellIs" dxfId="196" priority="51" stopIfTrue="1" operator="lessThan">
      <formula>$B$2</formula>
    </cfRule>
  </conditionalFormatting>
  <conditionalFormatting sqref="C6:D6 D14 D16">
    <cfRule type="expression" dxfId="195" priority="49">
      <formula>AND($C6-TODAY()&lt;30,TODAY()&lt;$C6)</formula>
    </cfRule>
  </conditionalFormatting>
  <conditionalFormatting sqref="G6 G8 G10 C6:D6 D7:D12 D14 D16">
    <cfRule type="cellIs" dxfId="19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比较法-工业</vt:lpstr>
      <vt:lpstr>案例</vt:lpstr>
      <vt:lpstr>成本法 (主楼)</vt:lpstr>
      <vt:lpstr>收益法</vt:lpstr>
      <vt:lpstr>结果表 (地下)</vt:lpstr>
      <vt:lpstr>成本法 (地下车库)</vt:lpstr>
      <vt:lpstr>收益法 (车库)</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'成本法 (主楼)'!Print_Area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2022-06-14T01:45:28Z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69F68807340A4695A9D22EDD1BC68B04</vt:lpwstr>
  </property>
  <property fmtid="{D5CDD505-2E9C-101B-9397-08002B2CF9AE}" pid="3" name="KSOProductBuildVer">
    <vt:lpwstr>2052-11.1.0.11636</vt:lpwstr>
  </property>
</Properties>
</file>