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收益法（汇总）" sheetId="70" r:id="rId31"/>
    <sheet name="土地比较法-住宅、综合" sheetId="39" r:id="rId32"/>
    <sheet name="土地案例" sheetId="77" r:id="rId33"/>
    <sheet name="收益法" sheetId="15" r:id="rId34"/>
    <sheet name="收益法 (车库)"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面积明细" sheetId="79" r:id="rId48"/>
    <sheet name="房地价值" sheetId="80"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34">'收益法 (车库)'!$A$1:$AK$69</definedName>
    <definedName name="_xlnm.Print_Area" localSheetId="22">'收益法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AO8" i="1"/>
  <c r="B8" i="70"/>
  <c r="AO9" i="1"/>
  <c r="B9" i="70"/>
  <c r="AO10" i="1"/>
  <c r="B10" i="70"/>
  <c r="AO11" i="1"/>
  <c r="B11" i="70"/>
  <c r="AO12" i="1"/>
  <c r="B12" i="70"/>
  <c r="AO13" i="1"/>
  <c r="B13" i="70"/>
  <c r="B2" i="70"/>
  <c r="D19" i="9"/>
  <c r="G19" i="9"/>
  <c r="N19" i="79"/>
  <c r="N20" i="79"/>
  <c r="N18" i="79"/>
  <c r="P26" i="79"/>
  <c r="Q16" i="79"/>
  <c r="L4" i="79"/>
  <c r="K4" i="79"/>
  <c r="L5" i="79"/>
  <c r="K5" i="79"/>
  <c r="L6" i="79"/>
  <c r="K6" i="79"/>
  <c r="L7" i="79"/>
  <c r="K7" i="79"/>
  <c r="L8" i="79"/>
  <c r="K8" i="79"/>
  <c r="L9" i="79"/>
  <c r="K9" i="79"/>
  <c r="L10" i="79"/>
  <c r="K10" i="79"/>
  <c r="L11" i="79"/>
  <c r="K11" i="79"/>
  <c r="L12" i="79"/>
  <c r="K12" i="79"/>
  <c r="L13" i="79"/>
  <c r="K13" i="79"/>
  <c r="P34" i="79"/>
  <c r="L14" i="79"/>
  <c r="K14" i="79"/>
  <c r="L15" i="79"/>
  <c r="K15" i="79"/>
  <c r="L16" i="79"/>
  <c r="K16" i="79"/>
  <c r="L17" i="79"/>
  <c r="K17" i="79"/>
  <c r="L18" i="79"/>
  <c r="K18" i="79"/>
  <c r="L19" i="79"/>
  <c r="K19" i="79"/>
  <c r="L20" i="79"/>
  <c r="K20" i="79"/>
  <c r="L21" i="79"/>
  <c r="K21" i="79"/>
  <c r="L22" i="79"/>
  <c r="K22" i="79"/>
  <c r="L23" i="79"/>
  <c r="K23" i="79"/>
  <c r="L24" i="79"/>
  <c r="K24" i="79"/>
  <c r="L25" i="79"/>
  <c r="K25" i="79"/>
  <c r="L26" i="79"/>
  <c r="K26" i="79"/>
  <c r="L27" i="79"/>
  <c r="K27" i="79"/>
  <c r="L28" i="79"/>
  <c r="K28" i="79"/>
  <c r="L29" i="79"/>
  <c r="K29" i="79"/>
  <c r="L30" i="79"/>
  <c r="K30" i="79"/>
  <c r="L31" i="79"/>
  <c r="K31" i="79"/>
  <c r="L32" i="79"/>
  <c r="K32" i="79"/>
  <c r="L33" i="79"/>
  <c r="K33" i="79"/>
  <c r="L34" i="79"/>
  <c r="K34" i="79"/>
  <c r="L35" i="79"/>
  <c r="K35" i="79"/>
  <c r="L36" i="79"/>
  <c r="K36" i="79"/>
  <c r="L37" i="79"/>
  <c r="K37" i="79"/>
  <c r="L38" i="79"/>
  <c r="K38" i="79"/>
  <c r="L39" i="79"/>
  <c r="K39" i="79"/>
  <c r="L40" i="79"/>
  <c r="K40" i="79"/>
  <c r="L41" i="79"/>
  <c r="K41" i="79"/>
  <c r="L42" i="79"/>
  <c r="K42" i="79"/>
  <c r="L43" i="79"/>
  <c r="K43" i="79"/>
  <c r="L44" i="79"/>
  <c r="K44" i="79"/>
  <c r="L45" i="79"/>
  <c r="K45" i="79"/>
  <c r="L46" i="79"/>
  <c r="K46" i="79"/>
  <c r="L47" i="79"/>
  <c r="K47" i="79"/>
  <c r="L48" i="79"/>
  <c r="K48" i="79"/>
  <c r="L49" i="79"/>
  <c r="K49" i="79"/>
  <c r="L50" i="79"/>
  <c r="K50" i="79"/>
  <c r="L51" i="79"/>
  <c r="K51" i="79"/>
  <c r="L52" i="79"/>
  <c r="K52" i="79"/>
  <c r="Q15" i="79"/>
  <c r="L53" i="79"/>
  <c r="K53" i="79"/>
  <c r="L54" i="79"/>
  <c r="K54" i="79"/>
  <c r="L55" i="79"/>
  <c r="K55" i="79"/>
  <c r="L56" i="79"/>
  <c r="K56" i="79"/>
  <c r="L57" i="79"/>
  <c r="K57" i="79"/>
  <c r="L58" i="79"/>
  <c r="K58" i="79"/>
  <c r="L59" i="79"/>
  <c r="K59" i="79"/>
  <c r="L60" i="79"/>
  <c r="K60" i="79"/>
  <c r="L61" i="79"/>
  <c r="K61" i="79"/>
  <c r="L62" i="79"/>
  <c r="K62" i="79"/>
  <c r="L63" i="79"/>
  <c r="K63" i="79"/>
  <c r="L64" i="79"/>
  <c r="K64" i="79"/>
  <c r="L65" i="79"/>
  <c r="K65" i="79"/>
  <c r="L66" i="79"/>
  <c r="K66" i="79"/>
  <c r="L67" i="79"/>
  <c r="K67" i="79"/>
  <c r="L68" i="79"/>
  <c r="K68" i="79"/>
  <c r="L69" i="79"/>
  <c r="K69" i="79"/>
  <c r="L70" i="79"/>
  <c r="K70" i="79"/>
  <c r="L71" i="79"/>
  <c r="K71" i="79"/>
  <c r="L72" i="79"/>
  <c r="K72" i="79"/>
  <c r="L73" i="79"/>
  <c r="K73" i="79"/>
  <c r="L74" i="79"/>
  <c r="K74" i="79"/>
  <c r="L75" i="79"/>
  <c r="K75" i="79"/>
  <c r="L76" i="79"/>
  <c r="K76" i="79"/>
  <c r="L77" i="79"/>
  <c r="K77" i="79"/>
  <c r="Q14" i="79"/>
  <c r="L78" i="79"/>
  <c r="K78" i="79"/>
  <c r="L79" i="79"/>
  <c r="K79" i="79"/>
  <c r="L80" i="79"/>
  <c r="K80" i="79"/>
  <c r="L81" i="79"/>
  <c r="K81" i="79"/>
  <c r="L82" i="79"/>
  <c r="K82" i="79"/>
  <c r="L83" i="79"/>
  <c r="K83" i="79"/>
  <c r="L84" i="79"/>
  <c r="K84" i="79"/>
  <c r="L85" i="79"/>
  <c r="K85" i="79"/>
  <c r="L86" i="79"/>
  <c r="K86" i="79"/>
  <c r="L87" i="79"/>
  <c r="K87" i="79"/>
  <c r="L88" i="79"/>
  <c r="K88" i="79"/>
  <c r="L89" i="79"/>
  <c r="K89" i="79"/>
  <c r="L90" i="79"/>
  <c r="K90" i="79"/>
  <c r="L91" i="79"/>
  <c r="K91" i="79"/>
  <c r="L92" i="79"/>
  <c r="K92" i="79"/>
  <c r="L93" i="79"/>
  <c r="K93" i="79"/>
  <c r="L94" i="79"/>
  <c r="K94" i="79"/>
  <c r="L95" i="79"/>
  <c r="K95" i="79"/>
  <c r="L96" i="79"/>
  <c r="K96" i="79"/>
  <c r="L97" i="79"/>
  <c r="K97" i="79"/>
  <c r="L98" i="79"/>
  <c r="K98" i="79"/>
  <c r="L99" i="79"/>
  <c r="K99" i="79"/>
  <c r="L100" i="79"/>
  <c r="K100" i="79"/>
  <c r="L101" i="79"/>
  <c r="K101" i="79"/>
  <c r="L102" i="79"/>
  <c r="K102" i="79"/>
  <c r="L103" i="79"/>
  <c r="K103" i="79"/>
  <c r="L104" i="79"/>
  <c r="K104" i="79"/>
  <c r="L105" i="79"/>
  <c r="K105" i="79"/>
  <c r="L106" i="79"/>
  <c r="K106" i="79"/>
  <c r="P27" i="79"/>
  <c r="Q29" i="79"/>
  <c r="Q30" i="79"/>
  <c r="K2" i="79"/>
  <c r="K3" i="79"/>
  <c r="K107" i="79"/>
  <c r="P35" i="79"/>
  <c r="O34" i="79"/>
  <c r="H108" i="80"/>
  <c r="F108" i="80"/>
  <c r="D108" i="80"/>
  <c r="C57" i="68"/>
  <c r="I3" i="79"/>
  <c r="I2" i="79"/>
  <c r="G3" i="79"/>
  <c r="G2" i="79"/>
  <c r="L2" i="79"/>
  <c r="J2" i="79"/>
  <c r="H2" i="79"/>
  <c r="L3" i="79"/>
  <c r="H3" i="79"/>
  <c r="I79" i="79"/>
  <c r="I80" i="79"/>
  <c r="I81" i="79"/>
  <c r="I82" i="79"/>
  <c r="I83" i="79"/>
  <c r="I84" i="79"/>
  <c r="I85" i="79"/>
  <c r="I86" i="79"/>
  <c r="I87" i="79"/>
  <c r="I88" i="79"/>
  <c r="I89" i="79"/>
  <c r="I90" i="79"/>
  <c r="I91" i="79"/>
  <c r="I92" i="79"/>
  <c r="I93" i="79"/>
  <c r="I94" i="79"/>
  <c r="I95" i="79"/>
  <c r="I96" i="79"/>
  <c r="I97" i="79"/>
  <c r="I98" i="79"/>
  <c r="I99" i="79"/>
  <c r="I100" i="79"/>
  <c r="I101" i="79"/>
  <c r="I102" i="79"/>
  <c r="I103" i="79"/>
  <c r="I104" i="79"/>
  <c r="I105" i="79"/>
  <c r="I106" i="79"/>
  <c r="I54" i="79"/>
  <c r="I55" i="79"/>
  <c r="I56" i="79"/>
  <c r="I57" i="79"/>
  <c r="I58" i="79"/>
  <c r="I59" i="79"/>
  <c r="I60" i="79"/>
  <c r="I61" i="79"/>
  <c r="I62" i="79"/>
  <c r="I63" i="79"/>
  <c r="I64" i="79"/>
  <c r="I65" i="79"/>
  <c r="I66" i="79"/>
  <c r="I67" i="79"/>
  <c r="I68" i="79"/>
  <c r="I69" i="79"/>
  <c r="I70" i="79"/>
  <c r="I71" i="79"/>
  <c r="I72" i="79"/>
  <c r="I73" i="79"/>
  <c r="I74" i="79"/>
  <c r="I75" i="79"/>
  <c r="I76" i="79"/>
  <c r="I77" i="79"/>
  <c r="I53" i="79"/>
  <c r="J53" i="79"/>
  <c r="I5" i="79"/>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78" i="79"/>
  <c r="J78" i="79"/>
  <c r="I4" i="79"/>
  <c r="J4" i="79"/>
  <c r="Q16" i="1"/>
  <c r="M6" i="1"/>
  <c r="M16" i="1"/>
  <c r="N16" i="1"/>
  <c r="F50" i="68"/>
  <c r="C17" i="9"/>
  <c r="D14" i="9"/>
  <c r="D17" i="9"/>
  <c r="C18" i="9"/>
  <c r="D18" i="9"/>
  <c r="C32" i="9"/>
  <c r="H118" i="9"/>
  <c r="D14" i="74"/>
  <c r="B5" i="74"/>
  <c r="D109" i="80"/>
  <c r="C108" i="80"/>
  <c r="B108" i="80"/>
  <c r="C107" i="80"/>
  <c r="D106" i="79"/>
  <c r="G4" i="79"/>
  <c r="G5" i="79"/>
  <c r="G6" i="79"/>
  <c r="G7" i="79"/>
  <c r="G8" i="79"/>
  <c r="G9" i="79"/>
  <c r="G10" i="79"/>
  <c r="G11" i="79"/>
  <c r="G12" i="79"/>
  <c r="G13" i="79"/>
  <c r="H4" i="79"/>
  <c r="H5" i="79"/>
  <c r="H6" i="79"/>
  <c r="H7" i="79"/>
  <c r="H8" i="79"/>
  <c r="H9" i="79"/>
  <c r="H10" i="79"/>
  <c r="H11" i="79"/>
  <c r="H12" i="79"/>
  <c r="H13" i="79"/>
  <c r="R15" i="79"/>
  <c r="R16" i="79"/>
  <c r="R14" i="79"/>
  <c r="P16" i="79"/>
  <c r="P15" i="79"/>
  <c r="P14" i="79"/>
  <c r="N17" i="79"/>
  <c r="C38" i="39"/>
  <c r="D106" i="81"/>
  <c r="D107" i="81"/>
  <c r="E107" i="81"/>
  <c r="I5" i="3"/>
  <c r="F19" i="6"/>
  <c r="K5" i="3"/>
  <c r="D107" i="79"/>
  <c r="G1" i="15"/>
  <c r="E19" i="6"/>
  <c r="K6" i="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D13" i="3"/>
  <c r="BC13" i="3"/>
  <c r="BB13" i="3"/>
  <c r="BE13" i="3"/>
  <c r="BF13" i="3"/>
  <c r="BG13" i="3"/>
  <c r="BH13" i="3"/>
  <c r="BI13" i="3"/>
  <c r="BJ13" i="3"/>
  <c r="BK13" i="3"/>
  <c r="BA13" i="3"/>
  <c r="BM13" i="3"/>
  <c r="BN13" i="3"/>
  <c r="BO13" i="3"/>
  <c r="BP13" i="3"/>
  <c r="BQ13" i="3"/>
  <c r="BR13" i="3"/>
  <c r="BS13" i="3"/>
  <c r="BT13" i="3"/>
  <c r="BL13" i="3"/>
  <c r="AZ13" i="3"/>
  <c r="BD14" i="3"/>
  <c r="BC14" i="3"/>
  <c r="BB14" i="3"/>
  <c r="BE14" i="3"/>
  <c r="BF14" i="3"/>
  <c r="BG14" i="3"/>
  <c r="BH14" i="3"/>
  <c r="BI14" i="3"/>
  <c r="BJ14" i="3"/>
  <c r="BK14" i="3"/>
  <c r="BA14" i="3"/>
  <c r="BM14" i="3"/>
  <c r="BN14" i="3"/>
  <c r="BO14" i="3"/>
  <c r="BP14" i="3"/>
  <c r="BQ14" i="3"/>
  <c r="BR14" i="3"/>
  <c r="BS14" i="3"/>
  <c r="BT14" i="3"/>
  <c r="BL14" i="3"/>
  <c r="AZ1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AZ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13" i="3"/>
  <c r="AC13" i="3"/>
  <c r="G13" i="3"/>
  <c r="H14" i="3"/>
  <c r="AC14" i="3"/>
  <c r="G1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G123" i="3"/>
  <c r="H124" i="3"/>
  <c r="G124" i="3"/>
  <c r="H125" i="3"/>
  <c r="G125" i="3"/>
  <c r="H126" i="3"/>
  <c r="G126" i="3"/>
  <c r="H127" i="3"/>
  <c r="G127" i="3"/>
  <c r="H128" i="3"/>
  <c r="G128" i="3"/>
  <c r="G5" i="3"/>
  <c r="AT5" i="3"/>
  <c r="B3" i="3"/>
  <c r="AY6" i="3"/>
  <c r="D3" i="6"/>
  <c r="E3" i="6"/>
  <c r="D19" i="6"/>
  <c r="BQ5" i="3"/>
  <c r="BS5" i="3"/>
  <c r="F28" i="6"/>
  <c r="BR5" i="3"/>
  <c r="BT5" i="3"/>
  <c r="G28" i="6"/>
  <c r="E28" i="6"/>
  <c r="BA5" i="3"/>
  <c r="BB5" i="3"/>
  <c r="BC10" i="3"/>
  <c r="BB10" i="3"/>
  <c r="BD10" i="3"/>
  <c r="E8" i="6"/>
  <c r="F27" i="6"/>
  <c r="E20" i="6"/>
  <c r="E27" i="6"/>
  <c r="K19" i="6"/>
  <c r="L19" i="6"/>
  <c r="M19" i="6"/>
  <c r="I19" i="6"/>
  <c r="H19" i="6"/>
  <c r="R19" i="6"/>
  <c r="S6" i="1"/>
  <c r="T6" i="1"/>
  <c r="A7" i="1"/>
  <c r="G1" i="78"/>
  <c r="K7" i="1"/>
  <c r="D20" i="6"/>
  <c r="K20" i="6"/>
  <c r="L20" i="6"/>
  <c r="M20" i="6"/>
  <c r="I20" i="6"/>
  <c r="H20" i="6"/>
  <c r="R20" i="6"/>
  <c r="M7" i="1"/>
  <c r="S7" i="1"/>
  <c r="T7" i="1"/>
  <c r="E6" i="70"/>
  <c r="E7" i="70"/>
  <c r="E8" i="70"/>
  <c r="E9" i="70"/>
  <c r="E10" i="70"/>
  <c r="E11" i="70"/>
  <c r="E12" i="70"/>
  <c r="E13" i="70"/>
  <c r="E2" i="70"/>
  <c r="B3" i="70"/>
  <c r="D20" i="9"/>
  <c r="K8" i="1"/>
  <c r="M8" i="1"/>
  <c r="K9" i="1"/>
  <c r="M9" i="1"/>
  <c r="K10" i="1"/>
  <c r="M10" i="1"/>
  <c r="K11" i="1"/>
  <c r="M11" i="1"/>
  <c r="K12" i="1"/>
  <c r="M12" i="1"/>
  <c r="K13" i="1"/>
  <c r="M13" i="1"/>
  <c r="K14" i="1"/>
  <c r="M14" i="1"/>
  <c r="BC11" i="3"/>
  <c r="BD11" i="3"/>
  <c r="E5" i="6"/>
  <c r="E6" i="6"/>
  <c r="G7" i="1"/>
  <c r="G16" i="1"/>
  <c r="F10" i="39"/>
  <c r="AA10" i="39"/>
  <c r="F38" i="39"/>
  <c r="AA38" i="39"/>
  <c r="R47" i="39"/>
  <c r="H10" i="39"/>
  <c r="AB10" i="39"/>
  <c r="H38" i="39"/>
  <c r="AB38" i="39"/>
  <c r="T47" i="39"/>
  <c r="J10" i="39"/>
  <c r="AC10" i="39"/>
  <c r="J38" i="39"/>
  <c r="AC38" i="39"/>
  <c r="V47" i="39"/>
  <c r="R48" i="39"/>
  <c r="C48" i="39"/>
  <c r="B56" i="39"/>
  <c r="E56" i="39"/>
  <c r="F56" i="39"/>
  <c r="B57" i="39"/>
  <c r="F57" i="39"/>
  <c r="B58" i="39"/>
  <c r="F58" i="39"/>
  <c r="B59" i="39"/>
  <c r="F59" i="39"/>
  <c r="B60" i="39"/>
  <c r="F60" i="39"/>
  <c r="B61" i="39"/>
  <c r="BC5" i="3"/>
  <c r="BD5" i="3"/>
  <c r="BE5" i="3"/>
  <c r="BF5" i="3"/>
  <c r="BG5" i="3"/>
  <c r="BH5" i="3"/>
  <c r="BI5" i="3"/>
  <c r="BJ5" i="3"/>
  <c r="BK5" i="3"/>
  <c r="BP5" i="3"/>
  <c r="E11" i="6"/>
  <c r="E61" i="39"/>
  <c r="F61" i="39"/>
  <c r="B62" i="39"/>
  <c r="E12" i="6"/>
  <c r="E62" i="39"/>
  <c r="F62" i="39"/>
  <c r="B63" i="39"/>
  <c r="E13" i="6"/>
  <c r="E63" i="39"/>
  <c r="F63" i="39"/>
  <c r="B64" i="39"/>
  <c r="E14" i="6"/>
  <c r="E64" i="39"/>
  <c r="F64" i="39"/>
  <c r="B65" i="39"/>
  <c r="E15" i="6"/>
  <c r="E65" i="39"/>
  <c r="F65" i="39"/>
  <c r="F66" i="39"/>
  <c r="C6" i="68"/>
  <c r="C7" i="68"/>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G29" i="79"/>
  <c r="I107" i="79"/>
  <c r="G14" i="79"/>
  <c r="G15" i="79"/>
  <c r="G16" i="79"/>
  <c r="G17" i="79"/>
  <c r="G18" i="79"/>
  <c r="G19" i="79"/>
  <c r="G20" i="79"/>
  <c r="G21" i="79"/>
  <c r="G22" i="79"/>
  <c r="G23" i="79"/>
  <c r="G24" i="79"/>
  <c r="G25" i="79"/>
  <c r="G26" i="79"/>
  <c r="G27" i="79"/>
  <c r="G28"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B3" i="68"/>
  <c r="C20" i="9"/>
  <c r="G20" i="9"/>
  <c r="P17" i="79"/>
  <c r="E5" i="39"/>
  <c r="D3" i="4"/>
  <c r="E107" i="79"/>
  <c r="F15" i="78"/>
  <c r="F17" i="78"/>
  <c r="F18" i="78"/>
  <c r="F20" i="78"/>
  <c r="C1" i="73"/>
  <c r="J1" i="73"/>
  <c r="F23" i="78"/>
  <c r="F21" i="78"/>
  <c r="F28" i="78"/>
  <c r="B2" i="1"/>
  <c r="C42" i="1"/>
  <c r="C28" i="78"/>
  <c r="L1" i="73"/>
  <c r="F32" i="78"/>
  <c r="F33" i="78"/>
  <c r="B52" i="1"/>
  <c r="F34" i="78"/>
  <c r="E15" i="4"/>
  <c r="F6" i="1"/>
  <c r="J51" i="15"/>
  <c r="F7" i="1"/>
  <c r="J51" i="78"/>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Y7" i="1"/>
  <c r="N7" i="1"/>
  <c r="E38" i="39"/>
  <c r="E7" i="39"/>
  <c r="BM5" i="3"/>
  <c r="BO5" i="3"/>
  <c r="F29" i="6"/>
  <c r="BN5" i="3"/>
  <c r="G29" i="6"/>
  <c r="E29" i="6"/>
  <c r="E30" i="6"/>
  <c r="E31" i="6"/>
  <c r="D21" i="6"/>
  <c r="D22" i="6"/>
  <c r="D23" i="6"/>
  <c r="D24" i="6"/>
  <c r="D25" i="6"/>
  <c r="D26" i="6"/>
  <c r="D27" i="6"/>
  <c r="D28" i="6"/>
  <c r="D29" i="6"/>
  <c r="D30" i="6"/>
  <c r="D31" i="6"/>
  <c r="I5" i="6"/>
  <c r="A6" i="1"/>
  <c r="G1" i="68"/>
  <c r="Y6" i="1"/>
  <c r="N6" i="1"/>
  <c r="N20" i="1"/>
  <c r="I38" i="39"/>
  <c r="G38" i="39"/>
  <c r="I7" i="39"/>
  <c r="G7" i="39"/>
  <c r="I5" i="39"/>
  <c r="G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C18" i="43"/>
  <c r="AD5" i="3"/>
  <c r="AH5" i="3"/>
  <c r="AL5" i="3"/>
  <c r="AP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23" i="3"/>
  <c r="AC124" i="3"/>
  <c r="AC125" i="3"/>
  <c r="AC126" i="3"/>
  <c r="AC127" i="3"/>
  <c r="AC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T11" i="1"/>
  <c r="D9" i="69"/>
  <c r="C9" i="69"/>
  <c r="D19" i="12"/>
  <c r="C19" i="12"/>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E2" i="68"/>
  <c r="B3" i="67"/>
  <c r="D2" i="37"/>
  <c r="D2" i="36"/>
  <c r="D2" i="21"/>
  <c r="F20" i="31"/>
  <c r="D2" i="34"/>
  <c r="D2" i="33"/>
  <c r="F7" i="39"/>
  <c r="AA7" i="39"/>
  <c r="H7" i="39"/>
  <c r="AB7" i="39"/>
  <c r="J7" i="39"/>
  <c r="AC7" i="39"/>
  <c r="D2" i="35"/>
  <c r="B20" i="31"/>
  <c r="B2" i="36"/>
  <c r="B3" i="36"/>
  <c r="B2" i="35"/>
  <c r="B3" i="35"/>
  <c r="B2" i="37"/>
  <c r="B3" i="37"/>
  <c r="B2" i="34"/>
  <c r="B3" i="34"/>
  <c r="B2" i="21"/>
  <c r="B3" i="21"/>
  <c r="C102" i="9"/>
  <c r="C21" i="9"/>
  <c r="D102" i="9"/>
  <c r="D22" i="9"/>
  <c r="D21" i="9"/>
  <c r="C103" i="9"/>
  <c r="D103" i="9"/>
  <c r="G21" i="9"/>
  <c r="C56" i="68"/>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H4" i="52"/>
  <c r="D4" i="52"/>
  <c r="B47" i="72"/>
  <c r="D45" i="9"/>
  <c r="D53" i="9"/>
  <c r="I4" i="52"/>
  <c r="D5" i="53"/>
  <c r="B20" i="72"/>
  <c r="H102" i="9"/>
  <c r="D7" i="53"/>
  <c r="B21" i="72"/>
  <c r="E118" i="9"/>
  <c r="E4" i="52"/>
  <c r="B48" i="72"/>
  <c r="D122" i="9"/>
  <c r="H108" i="9"/>
  <c r="D15" i="53"/>
  <c r="B31" i="72"/>
  <c r="D13" i="53"/>
  <c r="E14"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B2" i="3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R1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<sst xmlns="http://schemas.openxmlformats.org/spreadsheetml/2006/main" count="9259" uniqueCount="3893">
  <si>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</si>
  <si>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</si>
  <si>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</si>
  <si>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</si>
  <si>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</si>
  <si>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</si>
  <si>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</si>
  <si>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</si>
  <si>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</si>
  <si>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</si>
  <si>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</si>
  <si>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</si>
  <si>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</si>
  <si>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</si>
  <si>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</si>
  <si>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</si>
  <si>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</si>
  <si>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</si>
  <si>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</si>
  <si>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</si>
  <si>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</si>
  <si>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</si>
  <si>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</si>
  <si>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</si>
  <si>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</si>
  <si>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</si>
  <si>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</si>
  <si>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</si>
  <si>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</si>
  <si>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</si>
  <si>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</si>
  <si>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</si>
  <si>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</si>
  <si>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</si>
  <si>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</si>
  <si>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</si>
  <si>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</si>
  <si>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</si>
  <si>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</si>
  <si>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</si>
  <si>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</si>
  <si>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</si>
  <si>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</si>
  <si>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</si>
  <si>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</si>
  <si>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</si>
  <si>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</si>
  <si>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</si>
  <si>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</si>
  <si>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</si>
  <si>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</si>
  <si>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</si>
  <si>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</si>
  <si>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</si>
  <si>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</si>
  <si>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</si>
  <si>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</si>
  <si>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</si>
  <si>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</si>
  <si>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</si>
  <si>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</si>
  <si>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</si>
  <si>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</si>
  <si>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</si>
  <si>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</si>
  <si>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</si>
  <si>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</si>
  <si>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</si>
  <si>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</si>
  <si>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</si>
  <si>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</si>
  <si>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</si>
  <si>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</si>
  <si>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</si>
  <si>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</si>
  <si>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</si>
  <si>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</si>
  <si>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</si>
  <si>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</si>
  <si>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</si>
  <si>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</si>
  <si>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</si>
  <si>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</si>
  <si>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</si>
  <si>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</si>
  <si>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</si>
  <si>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</si>
  <si>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</si>
  <si>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</si>
  <si>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</si>
  <si>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</si>
  <si>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</si>
  <si>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</si>
  <si>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</si>
  <si>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</si>
  <si>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</si>
  <si>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</si>
  <si>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</si>
  <si>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</si>
  <si>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</si>
  <si>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</si>
  <si>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</si>
  <si>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</si>
  <si>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</si>
  <si>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</si>
  <si>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</si>
  <si>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</si>
  <si>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</si>
  <si>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</si>
  <si>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</si>
  <si>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</si>
  <si>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</si>
  <si>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</si>
  <si>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</si>
  <si>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</si>
  <si>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</si>
  <si>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</si>
  <si>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</si>
  <si>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</si>
  <si>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</si>
  <si>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</si>
  <si>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</si>
  <si>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</si>
  <si>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</si>
  <si>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</si>
  <si>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</si>
  <si>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</si>
  <si>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</si>
  <si>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</si>
  <si>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</si>
  <si>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</si>
  <si>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</si>
  <si>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</si>
  <si>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</si>
  <si>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</si>
  <si>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</si>
  <si>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</si>
  <si>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</si>
  <si>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</si>
  <si>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</si>
  <si>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</si>
  <si>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</si>
  <si>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</si>
  <si>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</si>
  <si>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</si>
  <si>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</si>
  <si>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</si>
  <si>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</si>
  <si>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</si>
  <si>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</si>
  <si>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</si>
  <si>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</si>
  <si>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</si>
  <si>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</si>
  <si>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</si>
  <si>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</si>
  <si>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</si>
  <si>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</si>
  <si>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</si>
  <si>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</si>
  <si>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</si>
  <si>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</si>
  <si>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</si>
  <si>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</si>
  <si>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</si>
  <si>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</si>
  <si>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</si>
  <si>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</si>
  <si>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</si>
  <si>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</si>
  <si>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</si>
  <si>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</si>
  <si>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</si>
  <si>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</si>
  <si>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</si>
  <si>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</si>
  <si>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</si>
  <si>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</si>
  <si>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</si>
  <si>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</si>
  <si>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</si>
  <si>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</si>
  <si>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</si>
  <si>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</si>
  <si>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</si>
  <si>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</si>
  <si>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</si>
  <si>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</si>
  <si>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</si>
  <si>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</si>
  <si>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</si>
  <si>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</si>
  <si>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</si>
  <si>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</si>
  <si>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</si>
  <si>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</si>
  <si>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</si>
  <si>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</si>
  <si>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</si>
  <si>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</si>
  <si>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</si>
  <si>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</si>
  <si>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</si>
  <si>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</si>
  <si>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</si>
  <si>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</si>
  <si>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</si>
  <si>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</si>
  <si>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</si>
  <si>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</si>
  <si>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</si>
  <si>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</si>
  <si>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</si>
  <si>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</si>
  <si>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</si>
  <si>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</si>
  <si>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</si>
  <si>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</si>
  <si>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</si>
  <si>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</si>
  <si>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</si>
  <si>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</si>
  <si>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</si>
  <si>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</si>
  <si>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</si>
  <si>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</si>
  <si>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</si>
  <si>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</si>
  <si>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</si>
  <si>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</si>
  <si>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</si>
  <si>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</si>
  <si>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</si>
  <si>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</si>
  <si>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</si>
  <si>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</si>
  <si>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</si>
  <si>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</si>
  <si>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</si>
  <si>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</si>
  <si>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</si>
  <si>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</si>
  <si>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</si>
  <si>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</si>
  <si>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</si>
  <si>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</si>
  <si>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</si>
  <si>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</si>
  <si>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</si>
  <si>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</si>
  <si>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</si>
  <si>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</si>
  <si>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</si>
  <si>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</si>
  <si>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</si>
  <si>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</si>
  <si>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</si>
  <si>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</si>
  <si>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</si>
  <si>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</si>
  <si>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</si>
  <si>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</si>
  <si>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</si>
  <si>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</si>
  <si>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</si>
  <si>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</si>
  <si>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</si>
  <si>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</si>
  <si>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</si>
  <si>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</si>
  <si>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</si>
  <si>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</si>
  <si>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</si>
  <si>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</si>
  <si>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</si>
  <si>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</si>
  <si>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</si>
  <si>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</si>
  <si>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</si>
  <si>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</si>
  <si>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</si>
  <si>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</si>
  <si>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</si>
  <si>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</si>
  <si>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</si>
  <si>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</si>
  <si>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</si>
  <si>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</si>
  <si>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</si>
  <si>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</si>
  <si>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</si>
  <si>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</si>
  <si>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</si>
  <si>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</si>
  <si>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</si>
  <si>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</si>
  <si>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</si>
  <si>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</si>
  <si>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</si>
  <si>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</si>
  <si>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</si>
  <si>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</si>
  <si>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</si>
  <si>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</si>
  <si>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</si>
  <si>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</si>
  <si>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</si>
  <si>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</si>
  <si>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</si>
  <si>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</si>
  <si>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</si>
  <si>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</si>
  <si>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</si>
  <si>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</si>
  <si>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</si>
  <si>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</si>
  <si>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</si>
  <si>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</si>
  <si>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</si>
  <si>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</si>
  <si>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</si>
  <si>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</si>
  <si>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</si>
  <si>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</si>
  <si>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</si>
  <si>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</si>
  <si>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</si>
  <si>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</si>
  <si>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</si>
  <si>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</si>
  <si>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</si>
  <si>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</si>
  <si>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</si>
  <si>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</si>
  <si>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</si>
  <si>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</si>
  <si>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</si>
  <si>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</si>
  <si>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</si>
  <si>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</si>
  <si>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</si>
  <si>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</si>
  <si>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</si>
  <si>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</si>
  <si>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</si>
  <si>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</si>
  <si>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</si>
  <si>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</si>
  <si>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</si>
  <si>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</si>
  <si>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</si>
  <si>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</si>
  <si>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</si>
  <si>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</si>
  <si>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</si>
  <si>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</si>
  <si>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</si>
  <si>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</si>
  <si>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</si>
  <si>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</si>
  <si>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</si>
  <si>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</si>
  <si>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</si>
  <si>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</si>
  <si>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</si>
  <si>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</si>
  <si>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</si>
  <si>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</si>
  <si>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</si>
  <si>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</si>
  <si>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</si>
  <si>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</si>
  <si>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</si>
  <si>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</si>
  <si>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</si>
  <si>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</si>
  <si>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</si>
  <si>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</si>
  <si>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</si>
  <si>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</si>
  <si>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</si>
  <si>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</si>
  <si>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</si>
  <si>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</si>
  <si>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</si>
  <si>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</si>
  <si>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</si>
  <si>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</si>
  <si>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</si>
  <si>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</si>
  <si>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</si>
  <si>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</si>
  <si>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</si>
  <si>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</si>
  <si>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</si>
  <si>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</si>
  <si>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</si>
  <si>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</si>
  <si>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</si>
  <si>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</si>
  <si>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</si>
  <si>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</si>
  <si>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</si>
  <si>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</si>
  <si>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</si>
  <si>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</si>
  <si>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</si>
  <si>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</si>
  <si>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</si>
  <si>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</si>
  <si>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</si>
  <si>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</si>
  <si>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</si>
  <si>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</si>
  <si>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</si>
  <si>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</si>
  <si>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</si>
  <si>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</si>
  <si>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</si>
  <si>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</si>
  <si>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</si>
  <si>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</si>
  <si>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</si>
  <si>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</si>
  <si>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</si>
  <si>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</si>
  <si>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</si>
  <si>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</si>
  <si>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</si>
  <si>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</si>
  <si>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</si>
  <si>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</si>
  <si>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</si>
  <si>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</si>
  <si>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</si>
  <si>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</si>
  <si>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</si>
  <si>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</si>
  <si>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</si>
  <si>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</si>
  <si>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</si>
  <si>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</si>
  <si>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</si>
  <si>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</si>
  <si>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</si>
  <si>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</si>
  <si>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</si>
  <si>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</si>
  <si>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</si>
  <si>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</si>
  <si>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</si>
  <si>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</si>
  <si>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</si>
  <si>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</si>
  <si>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</si>
  <si>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</si>
  <si>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</si>
  <si>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</si>
  <si>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</si>
  <si>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</si>
  <si>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</si>
  <si>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</si>
  <si>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</si>
  <si>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</si>
  <si>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</si>
  <si>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</si>
  <si>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</si>
  <si>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</si>
  <si>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</si>
  <si>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</si>
  <si>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</si>
  <si>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</si>
  <si>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</si>
  <si>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</si>
  <si>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</si>
  <si>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</si>
  <si>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</si>
  <si>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</si>
  <si>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</si>
  <si>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</si>
  <si>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</si>
  <si>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</si>
  <si>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</si>
  <si>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</si>
  <si>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</si>
  <si>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</si>
  <si>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</si>
  <si>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</si>
  <si>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</si>
  <si>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</si>
  <si>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</si>
  <si>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</si>
  <si>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</si>
  <si>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</si>
  <si>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</si>
  <si>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</si>
  <si>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</si>
  <si>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</si>
  <si>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</si>
  <si>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</si>
  <si>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</si>
  <si>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</si>
  <si>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</si>
  <si>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</si>
  <si>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</si>
  <si>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</si>
  <si>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</si>
  <si>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</si>
  <si>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</si>
  <si>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</si>
  <si>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</si>
  <si>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</si>
  <si>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</si>
  <si>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</si>
  <si>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</si>
  <si>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</si>
  <si>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</si>
  <si>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</si>
  <si>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</si>
  <si>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</si>
  <si>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</si>
  <si>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</si>
  <si>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</si>
  <si>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</si>
  <si>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</si>
  <si>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</si>
  <si>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</si>
  <si>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</si>
  <si>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</si>
  <si>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</si>
  <si>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</si>
  <si>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</si>
  <si>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</si>
  <si>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</si>
  <si>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</si>
  <si>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</si>
  <si>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</si>
  <si>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</si>
  <si>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</si>
  <si>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</si>
  <si>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</si>
  <si>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</si>
  <si>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</si>
  <si>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</si>
  <si>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</si>
  <si>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</si>
  <si>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</si>
  <si>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</si>
  <si>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</si>
  <si>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</si>
  <si>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</si>
  <si>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</si>
  <si>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</si>
  <si>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</si>
  <si>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</si>
  <si>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</si>
  <si>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</si>
  <si>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</si>
  <si>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</si>
  <si>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</si>
  <si>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</si>
  <si>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</si>
  <si>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</si>
  <si>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</si>
  <si>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</si>
  <si>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</si>
  <si>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</si>
  <si>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</si>
  <si>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</si>
  <si>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</si>
  <si>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</si>
  <si>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</si>
  <si>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</si>
  <si>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</si>
  <si>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</si>
  <si>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</si>
  <si>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</si>
  <si>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</si>
  <si>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</si>
  <si>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</si>
  <si>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</si>
  <si>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</si>
  <si>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</si>
  <si>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</si>
  <si>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</si>
  <si>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</si>
  <si>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</si>
  <si>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</si>
  <si>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</si>
  <si>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</si>
  <si>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</si>
  <si>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</si>
  <si>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</si>
  <si>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</si>
  <si>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</si>
  <si>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</si>
  <si>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</si>
  <si>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</si>
  <si>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</si>
  <si>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</si>
  <si>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</si>
  <si>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</si>
  <si>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</si>
  <si>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</si>
  <si>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</si>
  <si>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</si>
  <si>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</si>
  <si>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</si>
  <si>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</si>
  <si>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</si>
  <si>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</si>
  <si>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</si>
  <si>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</si>
  <si>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</si>
  <si>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</si>
  <si>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</si>
  <si>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</si>
  <si>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</si>
  <si>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</si>
  <si>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</si>
  <si>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</si>
  <si>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</si>
  <si>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</si>
  <si>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</si>
  <si>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</si>
  <si>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</si>
  <si>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</si>
  <si>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</si>
  <si>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</si>
  <si>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</si>
  <si>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</si>
  <si>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</si>
  <si>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</si>
  <si>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</si>
  <si>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</si>
  <si>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</si>
  <si>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</si>
  <si>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</si>
  <si>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</si>
  <si>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</si>
  <si>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</si>
  <si>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</si>
  <si>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</si>
  <si>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</si>
  <si>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</si>
  <si>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</si>
  <si>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</si>
  <si>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</si>
  <si>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</si>
  <si>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</si>
  <si>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</si>
  <si>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</si>
  <si>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</si>
  <si>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</si>
  <si>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</si>
  <si>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</si>
  <si>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</si>
  <si>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</si>
  <si>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</si>
  <si>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</si>
  <si>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</si>
  <si>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</si>
  <si>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</si>
  <si>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</si>
  <si>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</si>
  <si>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</si>
  <si>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</si>
  <si>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</si>
  <si>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</si>
  <si>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</si>
  <si>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</si>
  <si>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</si>
  <si>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</si>
  <si>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</si>
  <si>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</si>
  <si>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</si>
  <si>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</si>
  <si>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</si>
  <si>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</si>
  <si>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</si>
  <si>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</si>
  <si>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</si>
  <si>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</si>
  <si>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</si>
  <si>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</si>
  <si>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</si>
  <si>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</si>
  <si>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</si>
  <si>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</si>
  <si>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</si>
  <si>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</si>
  <si>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</si>
  <si>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</si>
  <si>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</si>
  <si>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</si>
  <si>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</si>
  <si>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</si>
  <si>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</si>
  <si>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</si>
  <si>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</si>
  <si>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</si>
  <si>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</si>
  <si>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</si>
  <si>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</si>
  <si>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</si>
  <si>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</si>
  <si>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</si>
  <si>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</si>
  <si>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</si>
  <si>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</si>
  <si>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</si>
  <si>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</si>
  <si>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</si>
  <si>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</si>
  <si>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</si>
  <si>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</si>
  <si>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</si>
  <si>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</si>
  <si>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</si>
  <si>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</si>
  <si>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</si>
  <si>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</si>
  <si>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</si>
  <si>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</si>
  <si>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</si>
  <si>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</si>
  <si>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</si>
  <si>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</si>
  <si>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</si>
  <si>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</si>
  <si>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</si>
  <si>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</si>
  <si>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</si>
  <si>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</si>
  <si>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</si>
  <si>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</si>
  <si>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</si>
  <si>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</si>
  <si>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</si>
  <si>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</si>
  <si>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</si>
  <si>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</si>
  <si>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</si>
  <si>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</si>
  <si>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</si>
  <si>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</si>
  <si>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</si>
  <si>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</si>
  <si>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</si>
  <si>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</si>
  <si>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</si>
  <si>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</si>
  <si>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</si>
  <si>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</si>
  <si>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</si>
  <si>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</si>
  <si>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</si>
  <si>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</si>
  <si>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</si>
  <si>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</si>
  <si>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</si>
  <si>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</si>
  <si>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</si>
  <si>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</si>
  <si>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</si>
  <si>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</si>
  <si>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</si>
  <si>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</si>
  <si>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</si>
  <si>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</si>
  <si>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</si>
  <si>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</si>
  <si>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</si>
  <si>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</si>
  <si>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</si>
  <si>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</si>
  <si>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</si>
  <si>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</si>
  <si>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</si>
  <si>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</si>
  <si>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</si>
  <si>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</si>
  <si>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</si>
  <si>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</si>
  <si>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</si>
  <si>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</si>
  <si>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</si>
  <si>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</si>
  <si>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</si>
  <si>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</si>
  <si>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</si>
  <si>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</si>
  <si>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</si>
  <si>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</si>
  <si>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</si>
  <si>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</si>
  <si>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</si>
  <si>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</si>
  <si>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</si>
  <si>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</si>
  <si>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</si>
  <si>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</si>
  <si>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</si>
  <si>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</si>
  <si>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</si>
  <si>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</si>
  <si>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</si>
  <si>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</si>
  <si>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</si>
  <si>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</si>
  <si>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</si>
  <si>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</si>
  <si>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</si>
  <si>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</si>
  <si>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</si>
  <si>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</si>
  <si>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</si>
  <si>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</si>
  <si>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</si>
  <si>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</si>
  <si>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</si>
  <si>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</si>
  <si>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</si>
  <si>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</si>
  <si>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</si>
  <si>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</si>
  <si>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</si>
  <si>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</si>
  <si>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</si>
  <si>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</si>
  <si>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</si>
  <si>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</si>
  <si>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</si>
  <si>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</si>
  <si>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</si>
  <si>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</si>
  <si>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</si>
  <si>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</si>
  <si>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</si>
  <si>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</si>
  <si>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</si>
  <si>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</si>
  <si>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</si>
  <si>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</si>
  <si>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</si>
  <si>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</si>
  <si>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</si>
  <si>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</si>
  <si>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</si>
  <si>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</si>
  <si>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</si>
  <si>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</si>
  <si>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</si>
  <si>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</si>
  <si>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</si>
  <si>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</si>
  <si>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</si>
  <si>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</si>
  <si>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</si>
  <si>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</si>
  <si>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</si>
  <si>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</si>
  <si>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</si>
  <si>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</si>
  <si>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</si>
  <si>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</si>
  <si>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</si>
  <si>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</si>
  <si>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</si>
  <si>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</si>
  <si>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</si>
  <si>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</si>
  <si>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</si>
  <si>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</si>
  <si>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</si>
  <si>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</si>
  <si>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</si>
  <si>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</si>
  <si>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</si>
  <si>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</si>
  <si>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</si>
  <si>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</si>
  <si>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</si>
  <si>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</si>
  <si>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</si>
  <si>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</si>
  <si>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</si>
  <si>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</si>
  <si>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</si>
  <si>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</si>
  <si>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</si>
  <si>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</si>
  <si>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</si>
  <si>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</si>
  <si>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</si>
  <si>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</si>
  <si>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</si>
  <si>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</si>
  <si>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</si>
  <si>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</si>
  <si>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</si>
  <si>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</si>
  <si>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</si>
  <si>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</si>
  <si>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</si>
  <si>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</si>
  <si>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</si>
  <si>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</si>
  <si>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</si>
  <si>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</si>
  <si>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</si>
  <si>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</si>
  <si>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</si>
  <si>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</si>
  <si>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</si>
  <si>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</si>
  <si>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</si>
  <si>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</si>
  <si>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</si>
  <si>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</si>
  <si>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</si>
  <si>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</si>
  <si>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</si>
  <si>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</si>
  <si>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</si>
  <si>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</si>
  <si>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</si>
  <si>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</si>
  <si>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</si>
  <si>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</si>
  <si>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</si>
  <si>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</si>
  <si>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</si>
  <si>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</si>
  <si>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</si>
  <si>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</si>
  <si>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</si>
  <si>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</si>
  <si>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</si>
  <si>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</si>
  <si>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</si>
  <si>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</si>
  <si>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</si>
  <si>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</si>
  <si>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</si>
  <si>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</si>
  <si>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</si>
  <si>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</si>
  <si>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</si>
  <si>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</si>
  <si>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</si>
  <si>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</si>
  <si>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</si>
  <si>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</si>
  <si>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</si>
  <si>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</si>
  <si>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</si>
  <si>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</si>
  <si>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</si>
  <si>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</si>
  <si>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</si>
  <si>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</si>
  <si>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</si>
  <si>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</si>
  <si>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</si>
  <si>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</si>
  <si>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</si>
  <si>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</si>
  <si>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</si>
  <si>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</si>
  <si>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</si>
  <si>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</si>
  <si>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</si>
  <si>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</si>
  <si>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</si>
  <si>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</si>
  <si>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</si>
  <si>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</si>
  <si>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</si>
  <si>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</si>
  <si>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</si>
  <si>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</si>
  <si>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</si>
  <si>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</si>
  <si>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</si>
  <si>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</si>
  <si>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</si>
  <si>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</si>
  <si>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</si>
  <si>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</si>
  <si>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</si>
  <si>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</si>
  <si>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</si>
  <si>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</si>
  <si>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</si>
  <si>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</si>
  <si>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</si>
  <si>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</si>
  <si>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</si>
  <si>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</si>
  <si>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</si>
  <si>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</si>
  <si>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</si>
  <si>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</si>
  <si>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</si>
  <si>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</si>
  <si>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</si>
  <si>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</si>
  <si>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</si>
  <si>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</si>
  <si>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</si>
  <si>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</si>
  <si>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</si>
  <si>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</si>
  <si>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</si>
  <si>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</si>
  <si>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</si>
  <si>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</si>
  <si>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</si>
  <si>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</si>
  <si>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</si>
  <si>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</si>
  <si>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</si>
  <si>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</si>
  <si>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</si>
  <si>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</si>
  <si>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</si>
  <si>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</si>
  <si>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</si>
  <si>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</si>
  <si>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</si>
  <si>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</si>
  <si>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</si>
  <si>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</si>
  <si>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</si>
  <si>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</si>
  <si>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</si>
  <si>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</si>
  <si>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</si>
  <si>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</si>
  <si>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</si>
  <si>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</si>
  <si>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</si>
  <si>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</si>
  <si>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</si>
  <si>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</si>
  <si>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</si>
  <si>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</si>
  <si>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</si>
  <si>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</si>
  <si>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</si>
  <si>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</si>
  <si>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</si>
  <si>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</si>
  <si>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</si>
  <si>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</si>
  <si>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</si>
  <si>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</si>
  <si>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</si>
  <si>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</si>
  <si>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</si>
  <si>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</si>
  <si>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</si>
  <si>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</si>
  <si>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</si>
  <si>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</si>
  <si>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</si>
  <si>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</si>
  <si>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</si>
  <si>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</si>
  <si>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</si>
  <si>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</si>
  <si>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</si>
  <si>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</si>
  <si>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</si>
  <si>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</si>
  <si>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</si>
  <si>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</si>
  <si>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</si>
  <si>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</si>
  <si>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</si>
  <si>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</si>
  <si>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</si>
  <si>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</si>
  <si>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</si>
  <si>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</si>
  <si>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</si>
  <si>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</si>
  <si>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</si>
  <si>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</si>
  <si>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</si>
  <si>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</si>
  <si>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</si>
  <si>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</si>
  <si>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</si>
  <si>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</si>
  <si>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</si>
  <si>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</si>
  <si>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</si>
  <si>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</si>
  <si>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</si>
  <si>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</si>
  <si>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</si>
  <si>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</si>
  <si>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</si>
  <si>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</si>
  <si>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</si>
  <si>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</si>
  <si>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</si>
  <si>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</si>
  <si>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</si>
  <si>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</si>
  <si>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</si>
  <si>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</si>
  <si>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</si>
  <si>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</si>
  <si>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</si>
  <si>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</si>
  <si>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</si>
  <si>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</si>
  <si>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</si>
  <si>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</si>
  <si>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</si>
  <si>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</si>
  <si>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</si>
  <si>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</si>
  <si>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</si>
  <si>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</si>
  <si>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</si>
  <si>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</si>
  <si>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</si>
  <si>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</si>
  <si>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</si>
  <si>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</si>
  <si>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</si>
  <si>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</si>
  <si>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</si>
  <si>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</si>
  <si>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</si>
  <si>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</si>
  <si>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</si>
  <si>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</si>
  <si>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</si>
  <si>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</si>
  <si>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</si>
  <si>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</si>
  <si>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</si>
  <si>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</si>
  <si>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</si>
  <si>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</si>
  <si>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</si>
  <si>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</si>
  <si>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</si>
  <si>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</si>
  <si>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</si>
  <si>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</si>
  <si>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</si>
  <si>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</si>
  <si>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</si>
  <si>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</si>
  <si>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</si>
  <si>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</si>
  <si>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</si>
  <si>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</si>
  <si>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</si>
  <si>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</si>
  <si>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</si>
  <si>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</si>
  <si>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</si>
  <si>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</si>
  <si>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</si>
  <si>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</si>
  <si>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</si>
  <si>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</si>
  <si>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</si>
  <si>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</si>
  <si>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</si>
  <si>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</si>
  <si>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</si>
  <si>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</si>
  <si>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</si>
  <si>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</si>
  <si>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</si>
  <si>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</si>
  <si>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</si>
  <si>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</si>
  <si>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</si>
  <si>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</si>
  <si>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</si>
  <si>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</si>
  <si>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</si>
  <si>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</si>
  <si>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</si>
  <si>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</si>
  <si>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</si>
  <si>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</si>
  <si>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</si>
  <si>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</si>
  <si>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</si>
  <si>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</si>
  <si>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</si>
  <si>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</si>
  <si>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</si>
  <si>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</si>
  <si>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</si>
  <si>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</si>
  <si>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</si>
  <si>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</si>
  <si>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</si>
  <si>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</si>
  <si>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</si>
  <si>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</si>
  <si>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</si>
  <si>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</si>
  <si>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</si>
  <si>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</si>
  <si>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</si>
  <si>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</si>
  <si>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</si>
  <si>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</si>
  <si>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</si>
  <si>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</si>
  <si>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</si>
  <si>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</si>
  <si>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</si>
  <si>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</si>
  <si>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</si>
  <si>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</si>
  <si>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</si>
  <si>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</si>
  <si>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</si>
  <si>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</si>
  <si>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</si>
  <si>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</si>
  <si>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</si>
  <si>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</si>
  <si>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</si>
  <si>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</si>
  <si>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</si>
  <si>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</si>
  <si>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</si>
  <si>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</si>
  <si>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</si>
  <si>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</si>
  <si>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</si>
  <si>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</si>
  <si>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</si>
  <si>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</si>
  <si>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</si>
  <si>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</si>
  <si>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</si>
  <si>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</si>
  <si>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</si>
  <si>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</si>
  <si>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</si>
  <si>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</si>
  <si>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</si>
  <si>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</si>
  <si>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</si>
  <si>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</si>
  <si>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</si>
  <si>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</si>
  <si>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</si>
  <si>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</si>
  <si>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</si>
  <si>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</si>
  <si>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</si>
  <si>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</si>
  <si>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</si>
  <si>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</si>
  <si>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</si>
  <si>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</si>
  <si>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</si>
  <si>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</si>
  <si>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</si>
  <si>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</si>
  <si>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</si>
  <si>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</si>
  <si>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</si>
  <si>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</si>
  <si>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</si>
  <si>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</si>
  <si>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</si>
  <si>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</si>
  <si>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</si>
  <si>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</si>
  <si>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</si>
  <si>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</si>
  <si>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</si>
  <si>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</si>
  <si>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</si>
  <si>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</si>
  <si>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</si>
  <si>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</si>
  <si>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</si>
  <si>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</si>
  <si>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</si>
  <si>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</si>
  <si>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</si>
  <si>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</si>
  <si>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</si>
  <si>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</si>
  <si>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</si>
  <si>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</si>
  <si>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</si>
  <si>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</si>
  <si>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</si>
  <si>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</si>
  <si>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</si>
  <si>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</si>
  <si>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</si>
  <si>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</si>
  <si>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</si>
  <si>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</si>
  <si>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</si>
  <si>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</si>
  <si>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</si>
  <si>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</si>
  <si>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</si>
  <si>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</si>
  <si>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</si>
  <si>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</si>
  <si>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</si>
  <si>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</si>
  <si>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</si>
  <si>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</si>
  <si>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</si>
  <si>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</si>
  <si>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</si>
  <si>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</si>
  <si>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</si>
  <si>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</si>
  <si>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</si>
  <si>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</si>
  <si>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</si>
  <si>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</si>
  <si>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</si>
  <si>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</si>
  <si>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</si>
  <si>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</si>
  <si>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</si>
  <si>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</si>
  <si>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</si>
  <si>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</si>
  <si>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</si>
  <si>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</si>
  <si>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</si>
  <si>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</si>
  <si>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</si>
  <si>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</si>
  <si>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</si>
  <si>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</si>
  <si>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</si>
  <si>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</si>
  <si>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</si>
  <si>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</si>
  <si>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</si>
  <si>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</si>
  <si>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</si>
  <si>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</si>
  <si>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</si>
  <si>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</si>
  <si>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</si>
  <si>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</si>
  <si>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</si>
  <si>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</si>
  <si>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</si>
  <si>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</si>
  <si>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</si>
  <si>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</si>
  <si>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</si>
  <si>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</si>
  <si>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</si>
  <si>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</si>
  <si>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</si>
  <si>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</si>
  <si>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</si>
  <si>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</si>
  <si>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</si>
  <si>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</si>
  <si>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</si>
  <si>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</si>
  <si>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</si>
  <si>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</si>
  <si>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</si>
  <si>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</si>
  <si>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</si>
  <si>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</si>
  <si>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</si>
  <si>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</si>
  <si>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</si>
  <si>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</si>
  <si>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</si>
  <si>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</si>
  <si>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</si>
  <si>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</si>
  <si>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</si>
  <si>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</si>
  <si>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</si>
  <si>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</si>
  <si>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</si>
  <si>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</si>
  <si>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</si>
  <si>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</si>
  <si>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</si>
  <si>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</si>
  <si>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</si>
  <si>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</si>
  <si>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</si>
  <si>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</si>
  <si>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</si>
  <si>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</si>
  <si>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</si>
  <si>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</si>
  <si>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</si>
  <si>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</si>
  <si>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</si>
  <si>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</si>
  <si>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</si>
  <si>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</si>
  <si>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</si>
  <si>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</si>
  <si>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</si>
  <si>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</si>
  <si>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</si>
  <si>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</si>
  <si>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</si>
  <si>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</si>
  <si>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</si>
  <si>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</si>
  <si>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</si>
  <si>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</si>
  <si>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</si>
  <si>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</si>
  <si>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</si>
  <si>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</si>
  <si>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</si>
  <si>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</si>
  <si>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</si>
  <si>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</si>
  <si>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</si>
  <si>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</si>
  <si>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</si>
  <si>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</si>
  <si>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</si>
  <si>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</si>
  <si>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</si>
  <si>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</si>
  <si>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</si>
  <si>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</si>
  <si>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</si>
  <si>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</si>
  <si>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</si>
  <si>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</si>
  <si>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</si>
  <si>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</si>
  <si>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</si>
  <si>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</si>
  <si>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</si>
  <si>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</si>
  <si>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</si>
  <si>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</si>
  <si>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</si>
  <si>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</si>
  <si>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</si>
  <si>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</si>
  <si>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</si>
  <si>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</si>
  <si>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</si>
  <si>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</si>
  <si>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</si>
  <si>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</si>
  <si>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</si>
  <si>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</si>
  <si>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</si>
  <si>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</si>
  <si>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</si>
  <si>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</si>
  <si>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</si>
  <si>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</si>
  <si>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</si>
  <si>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</si>
  <si>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</si>
  <si>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</si>
  <si>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</si>
  <si>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</si>
  <si>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</si>
  <si>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</si>
  <si>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</si>
  <si>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</si>
  <si>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</si>
  <si>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</si>
  <si>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</si>
  <si>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</si>
  <si>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</si>
  <si>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</si>
  <si>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</si>
  <si>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</si>
  <si>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</si>
  <si>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</si>
  <si>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</si>
  <si>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</si>
  <si>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</si>
  <si>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</si>
  <si>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</si>
  <si>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</si>
  <si>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</si>
  <si>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</si>
  <si>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</si>
  <si>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</si>
  <si>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</si>
  <si>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</si>
  <si>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</si>
  <si>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</si>
  <si>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</si>
  <si>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</si>
  <si>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</si>
  <si>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</si>
  <si>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</si>
  <si>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</si>
  <si>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</si>
  <si>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</si>
  <si>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</si>
  <si>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</si>
  <si>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</si>
  <si>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</si>
  <si>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</si>
  <si>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</si>
  <si>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</si>
  <si>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</si>
  <si>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</si>
  <si>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</si>
  <si>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</si>
  <si>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</si>
  <si>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</si>
  <si>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</si>
  <si>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</si>
  <si>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</si>
  <si>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</si>
  <si>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</si>
  <si>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</si>
  <si>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</si>
  <si>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</si>
  <si>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</si>
  <si>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</si>
  <si>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</si>
  <si>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</si>
  <si>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</si>
  <si>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</si>
  <si>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</si>
  <si>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</si>
  <si>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</si>
  <si>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</si>
  <si>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</si>
  <si>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</si>
  <si>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</si>
  <si>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</si>
  <si>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</si>
  <si>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</si>
  <si>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</si>
  <si>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</si>
  <si>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</si>
  <si>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</si>
  <si>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</si>
  <si>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</si>
  <si>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</si>
  <si>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</si>
  <si>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</si>
  <si>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</si>
  <si>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</si>
  <si>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</si>
  <si>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</si>
  <si>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</si>
  <si>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</si>
  <si>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</si>
  <si>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</si>
  <si>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</si>
  <si>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</si>
  <si>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</si>
  <si>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</si>
  <si>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</si>
  <si>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</si>
  <si>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</si>
  <si>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</si>
  <si>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</si>
  <si>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</si>
  <si>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</si>
  <si>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</si>
  <si>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</si>
  <si>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</si>
  <si>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</si>
  <si>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</si>
  <si>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</si>
  <si>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</si>
  <si>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</si>
  <si>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</si>
  <si>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</si>
  <si>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</si>
  <si>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</si>
  <si>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</si>
  <si>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</si>
  <si>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</si>
  <si>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</si>
  <si>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</si>
  <si>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</si>
  <si>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</si>
  <si>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</si>
  <si>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</si>
  <si>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</si>
  <si>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</si>
  <si>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</si>
  <si>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</si>
  <si>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</si>
  <si>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</si>
  <si>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</si>
  <si>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</si>
  <si>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</si>
  <si>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</si>
  <si>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</si>
  <si>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</si>
  <si>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</si>
  <si>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</si>
  <si>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</si>
  <si>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</si>
  <si>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</si>
  <si>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</si>
  <si>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</si>
  <si>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</si>
  <si>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</si>
  <si>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</si>
  <si>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</si>
  <si>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</si>
  <si>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</si>
  <si>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</si>
  <si>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</si>
  <si>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</si>
  <si>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</si>
  <si>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</si>
  <si>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</si>
  <si>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</si>
  <si>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</si>
  <si>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</si>
  <si>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</si>
  <si>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</si>
  <si>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</si>
  <si>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</si>
  <si>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</si>
  <si>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</si>
  <si>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</si>
  <si>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</si>
  <si>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</si>
  <si>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</si>
  <si>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</si>
  <si>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</si>
  <si>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</si>
  <si>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</si>
  <si>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</si>
  <si>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</si>
  <si>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</si>
  <si>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</si>
  <si>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</si>
  <si>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</si>
  <si>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</si>
  <si>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</si>
  <si>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</si>
  <si>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</si>
  <si>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</si>
  <si>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</si>
  <si>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</si>
  <si>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</si>
  <si>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</si>
  <si>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</si>
  <si>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</si>
  <si>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</si>
  <si>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</si>
  <si>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</si>
  <si>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</si>
  <si>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</si>
  <si>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</si>
  <si>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</si>
  <si>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</si>
  <si>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</si>
  <si>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</si>
  <si>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</si>
  <si>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</si>
  <si>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</si>
  <si>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</si>
  <si>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</si>
  <si>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</si>
  <si>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</si>
  <si>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</si>
  <si>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</si>
  <si>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</si>
  <si>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</si>
  <si>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</si>
  <si>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</si>
  <si>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</si>
  <si>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</si>
  <si>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</si>
  <si>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</si>
  <si>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</si>
  <si>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</si>
  <si>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</si>
  <si>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</si>
  <si>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</si>
  <si>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</si>
  <si>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</si>
  <si>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</si>
  <si>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</si>
  <si>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</si>
  <si>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</si>
  <si>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</si>
  <si>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</si>
  <si>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</si>
  <si>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</si>
  <si>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</si>
  <si>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</si>
  <si>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</si>
  <si>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</si>
  <si>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</si>
  <si>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</si>
  <si>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</si>
  <si>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</si>
  <si>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</si>
  <si>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</si>
  <si>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</si>
  <si>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</si>
  <si>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</si>
  <si>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</si>
  <si>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</si>
  <si>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</si>
  <si>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</si>
  <si>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</si>
  <si>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</si>
  <si>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</si>
  <si>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</si>
  <si>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</si>
  <si>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</si>
  <si>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</si>
  <si>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</si>
  <si>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</si>
  <si>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</si>
  <si>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</si>
  <si>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</si>
  <si>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</si>
  <si>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</si>
  <si>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</si>
  <si>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</si>
  <si>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</si>
  <si>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</si>
  <si>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</si>
  <si>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</si>
  <si>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</si>
  <si>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</si>
  <si>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</si>
  <si>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</si>
  <si>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</si>
  <si>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</si>
  <si>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</si>
  <si>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</si>
  <si>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</si>
  <si>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</si>
  <si>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</si>
  <si>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</si>
  <si>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</si>
  <si>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</si>
  <si>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</si>
  <si>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</si>
  <si>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</si>
  <si>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</si>
  <si>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</si>
  <si>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</si>
  <si>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</si>
  <si>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</si>
  <si>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</si>
  <si>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</si>
  <si>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</si>
  <si>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</si>
  <si>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</si>
  <si>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</si>
  <si>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</si>
  <si>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</si>
  <si>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</si>
  <si>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</si>
  <si>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</si>
  <si>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</si>
  <si>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</si>
  <si>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</si>
  <si>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</si>
  <si>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</si>
  <si>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</si>
  <si>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</si>
  <si>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</si>
  <si>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</si>
  <si>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</si>
  <si>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</si>
  <si>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</si>
  <si>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</si>
  <si>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</si>
  <si>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</si>
  <si>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</si>
  <si>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</si>
  <si>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</si>
  <si>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</si>
  <si>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</si>
  <si>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</si>
  <si>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</si>
  <si>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</si>
  <si>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</si>
  <si>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</si>
  <si>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</si>
  <si>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</si>
  <si>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</si>
  <si>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</si>
  <si>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</si>
  <si>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</si>
  <si>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</si>
  <si>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</si>
  <si>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</si>
  <si>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</si>
  <si>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</si>
  <si>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</si>
  <si>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</si>
  <si>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</si>
  <si>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</si>
  <si>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</si>
  <si>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</si>
  <si>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</si>
  <si>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</si>
  <si>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</si>
  <si>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</si>
  <si>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</si>
  <si>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</si>
  <si>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</si>
  <si>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</si>
  <si>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</si>
  <si>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</si>
  <si>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</si>
  <si>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</si>
  <si>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</si>
  <si>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</si>
  <si>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</si>
  <si>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</si>
  <si>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</si>
  <si>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</si>
  <si>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</si>
  <si>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</si>
  <si>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</si>
  <si>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</si>
  <si>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</si>
  <si>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</si>
  <si>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</si>
  <si>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</si>
  <si>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</si>
  <si>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</si>
  <si>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</si>
  <si>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</si>
  <si>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</si>
  <si>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</si>
  <si>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</si>
  <si>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</si>
  <si>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</si>
  <si>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</si>
  <si>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</si>
  <si>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</si>
  <si>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</si>
  <si>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</si>
  <si>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</si>
  <si>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</si>
  <si>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</si>
  <si>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</si>
  <si>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</si>
  <si>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</si>
  <si>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</si>
  <si>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</si>
  <si>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</si>
  <si>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</si>
  <si>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</si>
  <si>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</si>
  <si>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</si>
  <si>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</si>
  <si>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</si>
  <si>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</si>
  <si>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</si>
  <si>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</si>
  <si>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</si>
  <si>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</si>
  <si>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</si>
  <si>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</si>
  <si>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</si>
  <si>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</si>
  <si>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</si>
  <si>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</si>
  <si>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</si>
  <si>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</si>
  <si>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</si>
  <si>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</si>
  <si>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</si>
  <si>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</si>
  <si>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</si>
  <si>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</si>
  <si>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</si>
  <si>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</si>
  <si>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</si>
  <si>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</si>
  <si>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</si>
  <si>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</si>
  <si>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</si>
  <si>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</si>
  <si>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</si>
  <si>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</si>
  <si>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</si>
  <si>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</si>
  <si>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</si>
  <si>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</si>
  <si>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</si>
  <si>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</si>
  <si>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</si>
  <si>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</si>
  <si>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</si>
  <si>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</si>
  <si>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</si>
  <si>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</si>
  <si>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</si>
  <si>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</si>
  <si>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</si>
  <si>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</si>
  <si>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</si>
  <si>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</si>
  <si>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</si>
  <si>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</si>
  <si>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</si>
  <si>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</si>
  <si>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</si>
  <si>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</si>
  <si>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</si>
  <si>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</si>
  <si>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</si>
  <si>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</si>
  <si>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</si>
  <si>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</si>
  <si>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</si>
  <si>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</si>
  <si>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</si>
  <si>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</si>
  <si>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</si>
  <si>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</si>
  <si>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</si>
  <si>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</si>
  <si>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</si>
  <si>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</si>
  <si>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</si>
  <si>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</si>
  <si>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</si>
  <si>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</si>
  <si>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</si>
  <si>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</si>
  <si>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</si>
  <si>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</si>
  <si>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</si>
  <si>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</si>
  <si>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</si>
  <si>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</si>
  <si>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</si>
  <si>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</si>
  <si>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</si>
  <si>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</si>
  <si>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</si>
  <si>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</si>
  <si>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</si>
  <si>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</si>
  <si>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</si>
  <si>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</si>
  <si>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</si>
  <si>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</si>
  <si>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</si>
  <si>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</si>
  <si>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</si>
  <si>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</si>
  <si>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</si>
  <si>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</si>
  <si>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</si>
  <si>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</si>
  <si>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</si>
  <si>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</si>
  <si>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</si>
  <si>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</si>
  <si>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</si>
  <si>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</si>
  <si>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</si>
  <si>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</si>
  <si>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</si>
  <si>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</si>
  <si>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</si>
  <si>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</si>
  <si>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</si>
  <si>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</si>
  <si>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</si>
  <si>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</si>
  <si>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</si>
  <si>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</si>
  <si>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</si>
  <si>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</si>
  <si>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</si>
  <si>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</si>
  <si>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</si>
  <si>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</si>
  <si>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</si>
  <si>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</si>
  <si>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</si>
  <si>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</si>
  <si>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</si>
  <si>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</si>
  <si>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</si>
  <si>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</si>
  <si>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</si>
  <si>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</si>
  <si>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</si>
  <si>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</si>
  <si>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</si>
  <si>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</si>
  <si>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</si>
  <si>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</si>
  <si>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</si>
  <si>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</si>
  <si>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</si>
  <si>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</si>
  <si>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</si>
  <si>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</si>
  <si>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</si>
  <si>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</si>
  <si>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</si>
  <si>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</si>
  <si>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</si>
  <si>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</si>
  <si>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</si>
  <si>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</si>
  <si>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</si>
  <si>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</si>
  <si>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</si>
  <si>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</si>
  <si>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</si>
  <si>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</si>
  <si>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</si>
  <si>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</si>
  <si>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</si>
  <si>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</si>
  <si>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</si>
  <si>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</si>
  <si>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</si>
  <si>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</si>
  <si>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</si>
  <si>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</si>
  <si>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</si>
  <si>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</si>
  <si>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</si>
  <si>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</si>
  <si>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</si>
  <si>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</si>
  <si>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</si>
  <si>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</si>
  <si>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</si>
  <si>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</si>
  <si>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</si>
  <si>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</si>
  <si>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</si>
  <si>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</si>
  <si>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</si>
  <si>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</si>
  <si>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</si>
  <si>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</si>
  <si>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</si>
  <si>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</si>
  <si>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</si>
  <si>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</si>
  <si>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</si>
  <si>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</si>
  <si>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</si>
  <si>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</si>
  <si>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</si>
  <si>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</si>
  <si>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</si>
  <si>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</si>
  <si>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</si>
  <si>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</si>
  <si>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</si>
  <si>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</si>
  <si>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</si>
  <si>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</si>
  <si>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</si>
  <si>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</si>
  <si>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</si>
  <si>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</si>
  <si>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</si>
  <si>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</si>
  <si>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</si>
  <si>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</si>
  <si>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</si>
  <si>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</si>
  <si>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</si>
  <si>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</si>
  <si>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</si>
  <si>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</si>
  <si>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</si>
  <si>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</si>
  <si>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</si>
  <si>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</si>
  <si>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</si>
  <si>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</si>
  <si>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</si>
  <si>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</si>
  <si>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</si>
  <si>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</si>
  <si>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</si>
  <si>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</si>
  <si>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</si>
  <si>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</si>
  <si>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</si>
  <si>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</si>
  <si>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</si>
  <si>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</si>
  <si>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</si>
  <si>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</si>
  <si>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</si>
  <si>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</si>
  <si>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</si>
  <si>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</si>
  <si>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</si>
  <si>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</si>
  <si>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</si>
  <si>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</si>
  <si>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</si>
  <si>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</si>
  <si>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</si>
  <si>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</si>
  <si>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</si>
  <si>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</si>
  <si>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</si>
  <si>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</si>
  <si>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</si>
  <si>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</si>
  <si>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</si>
  <si>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</si>
  <si>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</si>
  <si>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</si>
  <si>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</si>
  <si>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</si>
  <si>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</si>
  <si>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</si>
  <si>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</si>
  <si>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</si>
  <si>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</si>
  <si>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</si>
  <si>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</si>
  <si>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</si>
  <si>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</si>
  <si>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</si>
  <si>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</si>
  <si>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</si>
  <si>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</si>
  <si>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</si>
  <si>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</si>
  <si>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</si>
  <si>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</si>
  <si>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</si>
  <si>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</si>
  <si>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</si>
  <si>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</si>
  <si>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</si>
  <si>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</si>
  <si>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</si>
  <si>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</si>
  <si>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</si>
  <si>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</si>
  <si>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</si>
  <si>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</si>
  <si>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</si>
  <si>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</si>
  <si>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</si>
  <si>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</si>
  <si>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</si>
  <si>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</si>
  <si>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</si>
  <si>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</si>
  <si>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</si>
  <si>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</si>
  <si>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</si>
  <si>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</si>
  <si>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</si>
  <si>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</si>
  <si>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</si>
  <si>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</si>
  <si>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</si>
  <si>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</si>
  <si>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</si>
  <si>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</si>
  <si>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</si>
  <si>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</si>
  <si>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</si>
  <si>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</si>
  <si>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</si>
  <si>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</si>
  <si>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</si>
  <si>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</si>
  <si>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</si>
  <si>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</si>
  <si>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</si>
  <si>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</si>
  <si>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</si>
  <si>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</si>
  <si>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</si>
  <si>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</si>
  <si>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</si>
  <si>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</si>
  <si>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</si>
  <si>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</si>
  <si>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</si>
  <si>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</si>
  <si>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</si>
  <si>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</si>
  <si>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</si>
  <si>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</si>
  <si>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</si>
  <si>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</si>
  <si>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</si>
  <si>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</si>
  <si>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</si>
  <si>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</si>
  <si>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</si>
  <si>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</si>
  <si>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</si>
  <si>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</si>
  <si>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</si>
  <si>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</si>
  <si>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</si>
  <si>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</si>
  <si>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</si>
  <si>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</si>
  <si>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</si>
  <si>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</si>
  <si>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</si>
  <si>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</si>
  <si>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</si>
  <si>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</si>
  <si>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</si>
  <si>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</si>
  <si>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</si>
  <si>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</si>
  <si>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</si>
  <si>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</si>
  <si>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</si>
  <si>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</si>
  <si>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</si>
  <si>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</si>
  <si>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</si>
  <si>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</si>
  <si>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</si>
  <si>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</si>
  <si>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</si>
  <si>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</si>
  <si>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</si>
  <si>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</si>
  <si>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</si>
  <si>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</si>
  <si>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</si>
  <si>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</si>
  <si>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</si>
  <si>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</si>
  <si>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</si>
  <si>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</si>
  <si>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</si>
  <si>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</si>
  <si>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</si>
  <si>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</si>
  <si>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</si>
  <si>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</si>
  <si>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</si>
  <si>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</si>
  <si>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</si>
  <si>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</si>
  <si>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</si>
  <si>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</si>
  <si>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</si>
  <si>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</si>
  <si>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</si>
  <si>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</si>
  <si>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</si>
  <si>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</si>
  <si>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</si>
  <si>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</si>
  <si>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</si>
  <si>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</si>
  <si>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</si>
  <si>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</si>
  <si>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</si>
  <si>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</si>
  <si>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</si>
  <si>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</si>
  <si>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</si>
  <si>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</si>
  <si>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</si>
  <si>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</si>
  <si>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</si>
  <si>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</si>
  <si>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</si>
  <si>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</si>
  <si>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</si>
  <si>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</si>
  <si>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</si>
  <si>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</si>
  <si>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</si>
  <si>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</si>
  <si>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</si>
  <si>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</si>
  <si>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</si>
  <si>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</si>
  <si>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</si>
  <si>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</si>
  <si>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</si>
  <si>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</si>
  <si>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</si>
  <si>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</si>
  <si>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</si>
  <si>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</si>
  <si>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</si>
  <si>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</si>
  <si>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</si>
  <si>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</si>
  <si>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</si>
  <si>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</si>
  <si>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</si>
  <si>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</si>
  <si>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</si>
  <si>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</si>
  <si>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</si>
  <si>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</si>
  <si>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</si>
  <si>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</si>
  <si>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</si>
  <si>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</si>
  <si>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</si>
  <si>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</si>
  <si>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</si>
  <si>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</si>
  <si>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</si>
  <si>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</si>
  <si>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</si>
  <si>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</si>
  <si>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</si>
  <si>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</si>
  <si>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</si>
  <si>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</si>
  <si>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</si>
  <si>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</si>
  <si>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</si>
  <si>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</si>
  <si>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</si>
  <si>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</si>
  <si>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</si>
  <si>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</si>
  <si>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</si>
  <si>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</si>
  <si>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</si>
  <si>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</si>
  <si>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</si>
  <si>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</si>
  <si>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</si>
  <si>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</si>
  <si>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</si>
  <si>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</si>
  <si>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</si>
  <si>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</si>
  <si>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</si>
  <si>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</si>
  <si>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</si>
  <si>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</si>
  <si>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</si>
  <si>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</si>
  <si>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</si>
  <si>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</si>
  <si>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</si>
  <si>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</si>
  <si>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</si>
  <si>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</si>
  <si>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</si>
  <si>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</si>
  <si>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</si>
  <si>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</si>
  <si>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</si>
  <si>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</si>
  <si>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</si>
  <si>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</si>
  <si>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</si>
  <si>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</si>
  <si>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</si>
  <si>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</si>
  <si>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</si>
  <si>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</si>
  <si>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</si>
  <si>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</si>
  <si>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</si>
  <si>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</si>
  <si>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</si>
  <si>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</si>
  <si>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</si>
  <si>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</si>
  <si>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</si>
  <si>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</si>
  <si>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</si>
  <si>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</si>
  <si>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</si>
  <si>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</si>
  <si>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</si>
  <si>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</si>
  <si>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</si>
  <si>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</si>
  <si>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</si>
  <si>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</si>
  <si>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</si>
  <si>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</si>
  <si>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</si>
  <si>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</si>
  <si>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</si>
  <si>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</si>
  <si>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</si>
  <si>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</si>
  <si>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</si>
  <si>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</si>
  <si>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</si>
  <si>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</si>
  <si>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</si>
  <si>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</si>
  <si>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</si>
  <si>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</si>
  <si>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</si>
  <si>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</si>
  <si>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</si>
  <si>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</si>
  <si>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</si>
  <si>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</si>
  <si>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</si>
  <si>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</si>
  <si>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</si>
  <si>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</si>
  <si>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</si>
  <si>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</si>
  <si>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</si>
  <si>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</si>
  <si>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</si>
  <si>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</si>
  <si>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</si>
  <si>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</si>
  <si>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</si>
  <si>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</si>
  <si>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</si>
  <si>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</si>
  <si>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</si>
  <si>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</si>
  <si>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</si>
  <si>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</si>
  <si>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</si>
  <si>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</si>
  <si>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</si>
  <si>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</si>
  <si>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</si>
  <si>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</si>
  <si>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</si>
  <si>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</si>
  <si>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</si>
  <si>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</si>
  <si>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</si>
  <si>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</si>
  <si>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</si>
  <si>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</si>
  <si>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</si>
  <si>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</si>
  <si>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</si>
  <si>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</si>
  <si>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</si>
  <si>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</si>
  <si>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</si>
  <si>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</si>
  <si>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</si>
  <si>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</si>
  <si>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</si>
  <si>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</si>
  <si>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</si>
  <si>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</si>
  <si>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</si>
  <si>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</si>
  <si>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</si>
  <si>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</si>
  <si>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</si>
  <si>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</si>
  <si>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</si>
  <si>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</si>
  <si>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</si>
  <si>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</si>
  <si>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</si>
  <si>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</si>
  <si>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</si>
  <si>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</si>
  <si>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</si>
  <si>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</si>
  <si>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</si>
  <si>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</si>
  <si>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</si>
  <si>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</si>
  <si>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</si>
  <si>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</si>
  <si>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</si>
  <si>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</si>
  <si>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</si>
  <si>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</si>
  <si>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</si>
  <si>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</si>
  <si>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</si>
  <si>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</si>
  <si>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</si>
  <si>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</si>
  <si>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</si>
  <si>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</si>
  <si>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</si>
  <si>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</si>
  <si>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</si>
  <si>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</si>
  <si>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</si>
  <si>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</si>
  <si>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</si>
  <si>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</si>
  <si>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</si>
  <si>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</si>
  <si>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</si>
  <si>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</si>
  <si>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</si>
  <si>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</si>
  <si>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</si>
  <si>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</si>
  <si>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</si>
  <si>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</si>
  <si>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</si>
  <si>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</si>
  <si>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</si>
  <si>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</si>
  <si>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</si>
  <si>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</si>
  <si>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</si>
  <si>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</si>
  <si>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</si>
  <si>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</si>
  <si>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</si>
  <si>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</si>
  <si>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</si>
  <si>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</si>
  <si>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</si>
  <si>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</si>
  <si>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</si>
  <si>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</si>
  <si>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</si>
  <si>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</si>
  <si>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</si>
  <si>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</si>
  <si>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</si>
  <si>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</si>
  <si>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</si>
  <si>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</si>
  <si>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</si>
  <si>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</si>
  <si>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</si>
  <si>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</si>
  <si>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</si>
  <si>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</si>
  <si>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</si>
  <si>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</si>
  <si>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</si>
  <si>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</si>
  <si>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</si>
  <si>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</si>
  <si>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</si>
  <si>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</si>
  <si>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</si>
  <si>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</si>
  <si>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</si>
  <si>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</si>
  <si>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</si>
  <si>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</si>
  <si>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</si>
  <si>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</si>
  <si>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</si>
  <si>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</si>
  <si>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</si>
  <si>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</si>
  <si>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</si>
  <si>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</si>
  <si>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</si>
  <si>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</si>
  <si>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</si>
  <si>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</si>
  <si>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</si>
  <si>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</si>
  <si>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</si>
  <si>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</si>
  <si>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</si>
  <si>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</si>
  <si>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</si>
  <si>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</si>
  <si>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</si>
  <si>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</si>
  <si>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</si>
  <si>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</si>
  <si>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</si>
  <si>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</si>
  <si>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</si>
  <si>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</si>
  <si>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</si>
  <si>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</si>
  <si>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</si>
  <si>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</si>
  <si>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</si>
  <si>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</si>
  <si>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</si>
  <si>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</si>
  <si>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</si>
  <si>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</si>
  <si>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</si>
  <si>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</si>
  <si>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</si>
  <si>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</si>
  <si>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</si>
  <si>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</si>
  <si>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</si>
  <si>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</si>
  <si>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</si>
  <si>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</si>
  <si>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</si>
  <si>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</si>
  <si>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</si>
  <si>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</si>
  <si>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</si>
  <si>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</si>
  <si>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</si>
  <si>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</si>
  <si>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</si>
  <si>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</si>
  <si>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</si>
  <si>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</si>
  <si>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</si>
  <si>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</si>
  <si>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</si>
  <si>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</si>
  <si>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</si>
  <si>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</si>
  <si>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</si>
  <si>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</si>
  <si>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</si>
  <si>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</si>
  <si>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</si>
  <si>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</si>
  <si>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</si>
  <si>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</si>
  <si>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</si>
  <si>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</si>
  <si>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</si>
  <si>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</si>
  <si>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</si>
  <si>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</si>
  <si>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</si>
  <si>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</si>
  <si>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</si>
  <si>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</si>
  <si>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</si>
  <si>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</si>
  <si>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</si>
  <si>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</si>
  <si>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</si>
  <si>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</si>
  <si>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</si>
  <si>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</si>
  <si>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</si>
  <si>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</si>
  <si>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</si>
  <si>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</si>
  <si>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</si>
  <si>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</si>
  <si>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</si>
  <si>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</si>
  <si>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</si>
  <si>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</si>
  <si>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</si>
  <si>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</si>
  <si>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</si>
  <si>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</si>
  <si>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</si>
  <si>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</si>
  <si>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</si>
  <si>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</si>
  <si>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</si>
  <si>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</si>
  <si>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</si>
  <si>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</si>
  <si>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</si>
  <si>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</si>
  <si>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</si>
  <si>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</si>
  <si>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</si>
  <si>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</si>
  <si>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</si>
  <si>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</si>
  <si>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</si>
  <si>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</si>
  <si>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</si>
  <si>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</si>
  <si>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</si>
  <si>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</si>
  <si>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</si>
  <si>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</si>
  <si>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</si>
  <si>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</si>
  <si>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</si>
  <si>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</si>
  <si>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</si>
  <si>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</si>
  <si>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</si>
  <si>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</si>
  <si>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</si>
  <si>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</si>
  <si>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</si>
  <si>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</si>
  <si>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</si>
  <si>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</si>
  <si>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</si>
  <si>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</si>
  <si>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</si>
  <si>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</si>
  <si>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</si>
  <si>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</si>
  <si>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</si>
  <si>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</si>
  <si>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</si>
  <si>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</si>
  <si>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</si>
  <si>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</si>
  <si>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</si>
  <si>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</si>
  <si>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</si>
  <si>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</si>
  <si>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</si>
  <si>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</si>
  <si>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</si>
  <si>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</si>
  <si>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</si>
  <si>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</si>
  <si>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</si>
  <si>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</si>
  <si>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</si>
  <si>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</si>
  <si>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</si>
  <si>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</si>
  <si>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</si>
  <si>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</si>
  <si>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</si>
  <si>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</si>
  <si>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</si>
  <si>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</si>
  <si>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</si>
  <si>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</si>
  <si>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</si>
  <si>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</si>
  <si>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</si>
  <si>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</si>
  <si>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</si>
  <si>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</si>
  <si>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</si>
  <si>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</si>
  <si>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</si>
  <si>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</si>
  <si>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</si>
  <si>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</si>
  <si>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</si>
  <si>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</si>
  <si>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</si>
  <si>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</si>
  <si>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</si>
  <si>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</si>
  <si>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</si>
  <si>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</si>
  <si>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</si>
  <si>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</si>
  <si>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</si>
  <si>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</si>
  <si>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</si>
  <si>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</si>
  <si>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</si>
  <si>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</si>
  <si>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</si>
  <si>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</si>
  <si>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</si>
  <si>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</si>
  <si>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</si>
  <si>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</si>
  <si>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</si>
  <si>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</si>
  <si>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</si>
  <si>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</si>
  <si>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</si>
  <si>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</si>
  <si>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</si>
  <si>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</si>
  <si>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</si>
  <si>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</si>
  <si>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</si>
  <si>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</si>
  <si>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</si>
  <si>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</si>
  <si>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</si>
  <si>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</si>
  <si>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</si>
  <si>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</si>
  <si>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</si>
  <si>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</si>
  <si>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</si>
  <si>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</si>
  <si>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</si>
  <si>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</si>
  <si>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</si>
  <si>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</si>
  <si>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</si>
  <si>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</si>
  <si>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</si>
  <si>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</si>
  <si>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</si>
  <si>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</si>
  <si>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</si>
  <si>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</si>
  <si>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</si>
  <si>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</si>
  <si>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</si>
  <si>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</si>
  <si>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</si>
  <si>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</si>
  <si>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</si>
  <si>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</si>
  <si>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</si>
  <si>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</si>
  <si>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</si>
  <si>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</si>
  <si>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</si>
  <si>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</si>
  <si>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</si>
  <si>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</si>
  <si>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</si>
  <si>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</si>
  <si>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</si>
  <si>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</si>
  <si>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</si>
  <si>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</si>
  <si>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</si>
  <si>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</si>
  <si>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</si>
  <si>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</si>
  <si>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</si>
  <si>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</si>
  <si>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</si>
  <si>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</si>
  <si>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</si>
  <si>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</si>
  <si>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</si>
  <si>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</si>
  <si>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</si>
  <si>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</si>
  <si>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</si>
  <si>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</si>
  <si>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</si>
  <si>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</si>
  <si>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</si>
  <si>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</si>
  <si>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</si>
  <si>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</si>
  <si>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</si>
  <si>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</si>
  <si>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</si>
  <si>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</si>
  <si>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</si>
  <si>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</si>
  <si>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</si>
  <si>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</si>
  <si>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</si>
  <si>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</si>
  <si>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</si>
  <si>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</si>
  <si>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</si>
  <si>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</si>
  <si>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</si>
  <si>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</si>
  <si>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</si>
  <si>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</si>
  <si>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</si>
  <si>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</si>
  <si>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</si>
  <si>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</si>
  <si>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</si>
  <si>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</si>
  <si>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</si>
  <si>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</si>
  <si>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</si>
  <si>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</si>
  <si>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</si>
  <si>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</si>
  <si>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</si>
  <si>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</si>
  <si>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</si>
  <si>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</si>
  <si>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</si>
  <si>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</si>
  <si>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</si>
  <si>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</si>
  <si>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</si>
  <si>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</si>
  <si>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</si>
  <si>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</si>
  <si>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</si>
  <si>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</si>
  <si>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</si>
  <si>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</si>
  <si>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</si>
  <si>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</si>
  <si>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</si>
  <si>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</si>
  <si>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</si>
  <si>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</si>
  <si>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</si>
  <si>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</si>
  <si>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</si>
  <si>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</si>
  <si>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</si>
  <si>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</si>
  <si>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</si>
  <si>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</si>
  <si>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</si>
  <si>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</si>
  <si>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</si>
  <si>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</si>
  <si>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</si>
  <si>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</si>
  <si>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</si>
  <si>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</si>
  <si>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</si>
  <si>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</si>
  <si>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</si>
  <si>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</si>
  <si>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</si>
  <si>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</si>
  <si>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</si>
  <si>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</si>
  <si>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</si>
  <si>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</si>
  <si>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</si>
  <si>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</si>
  <si>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</si>
  <si>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</si>
  <si>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</si>
  <si>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</si>
  <si>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</si>
  <si>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</si>
  <si>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</si>
  <si>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</si>
  <si>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</si>
  <si>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</si>
  <si>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</si>
  <si>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</si>
  <si>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</si>
  <si>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</si>
  <si>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</si>
  <si>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</si>
  <si>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</si>
  <si>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</si>
  <si>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</si>
  <si>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</si>
  <si>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</si>
  <si>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</si>
  <si>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</si>
  <si>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</si>
  <si>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</si>
  <si>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</si>
  <si>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</si>
  <si>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</si>
  <si>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</si>
  <si>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</si>
  <si>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</si>
  <si>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</si>
  <si>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</si>
  <si>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</si>
  <si>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</si>
  <si>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</si>
  <si>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</si>
  <si>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</si>
  <si>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</si>
  <si>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</si>
  <si>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</si>
  <si>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</si>
  <si>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</si>
  <si>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</si>
  <si>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</si>
  <si>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</si>
  <si>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</si>
  <si>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</si>
  <si>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</si>
  <si>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</si>
  <si>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</si>
  <si>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</si>
  <si>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</si>
  <si>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</si>
  <si>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</si>
  <si>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</si>
  <si>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</si>
  <si>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</si>
  <si>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</si>
  <si>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</si>
  <si>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</si>
  <si>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</si>
  <si>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</si>
  <si>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</si>
  <si>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</si>
  <si>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</si>
  <si>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</si>
  <si>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</si>
  <si>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</si>
  <si>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</si>
  <si>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</si>
  <si>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</si>
  <si>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</si>
  <si>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</si>
  <si>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</si>
  <si>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</si>
  <si>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</si>
  <si>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</si>
  <si>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</si>
  <si>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</si>
  <si>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</si>
  <si>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</si>
  <si>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</si>
  <si>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</si>
  <si>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</si>
  <si>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</si>
  <si>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</si>
  <si>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</si>
  <si>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</si>
  <si>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</si>
  <si>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</si>
  <si>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</si>
  <si>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</si>
  <si>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</si>
  <si>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</si>
  <si>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</si>
  <si>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</si>
  <si>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</si>
  <si>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</si>
  <si>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</si>
  <si>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</si>
  <si>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</si>
  <si>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镇房权证字第0401003087100110号</t>
  </si>
  <si>
    <t>大港港南路401号负1层101室</t>
  </si>
  <si>
    <t>镇房权证字第0401003096100110号</t>
  </si>
  <si>
    <t>大港港南路401号负2层201室</t>
  </si>
  <si>
    <t>镇房权证字第0401003075100110号</t>
  </si>
  <si>
    <t>大港港南路401号第1层101室</t>
  </si>
  <si>
    <t>镇房权证字第0401003047100110号</t>
  </si>
  <si>
    <t>大港港南路401号第1层102室</t>
  </si>
  <si>
    <t>镇房权证字第0401003052100110号</t>
  </si>
  <si>
    <t>大港港南路401号第1层103室</t>
  </si>
  <si>
    <t>镇房权证字第0401003069100110号</t>
  </si>
  <si>
    <t>大港港南路401号第1层104室</t>
  </si>
  <si>
    <t>镇房权证字第0401003098100110号</t>
  </si>
  <si>
    <t>大港港南路401号第2层201室</t>
  </si>
  <si>
    <t>镇房权证字第0401003035100110号</t>
  </si>
  <si>
    <t>大港港南路401号第2层202室</t>
  </si>
  <si>
    <t>镇房权证字第0401003084100110号</t>
  </si>
  <si>
    <t>大港港南路401号第2层203室</t>
  </si>
  <si>
    <t>镇房权证字第0401003053100110号</t>
  </si>
  <si>
    <t>大港港南路401号第2层204室</t>
  </si>
  <si>
    <t>镇房权证字第0401003094100110号</t>
  </si>
  <si>
    <t>大港港南路401号第2层205室</t>
  </si>
  <si>
    <t>镇房权证字第0401003060100110号</t>
  </si>
  <si>
    <t>大港港南路401号第2层206室</t>
  </si>
  <si>
    <t>镇房权证字第0401003016100110号</t>
  </si>
  <si>
    <t>大港港南路401号第3层301室</t>
  </si>
  <si>
    <t>镇房权证字第0401003014100110号</t>
  </si>
  <si>
    <t>大港港南路401号第3层302室</t>
  </si>
  <si>
    <t>镇房权证字第0401003015100110号</t>
  </si>
  <si>
    <t>大港港南路401号第3层303室</t>
  </si>
  <si>
    <t>镇房权证字第0401003018100110号</t>
  </si>
  <si>
    <t>大港港南路401号第3层304室</t>
  </si>
  <si>
    <t>镇房权证字第0401003019100110号</t>
  </si>
  <si>
    <t>大港港南路401号第3层305室</t>
  </si>
  <si>
    <t>镇房权证字第0401003021100110号</t>
  </si>
  <si>
    <t>大港港南路401号第3层306室</t>
  </si>
  <si>
    <t>镇房权证字第0401003020100110号</t>
  </si>
  <si>
    <t>大港港南路401号第3层307室</t>
  </si>
  <si>
    <t>镇房权证字第0401003030100110号</t>
  </si>
  <si>
    <t>大港港南路401号第3层308室</t>
  </si>
  <si>
    <t>镇房权证字第0401003029100110号</t>
  </si>
  <si>
    <t>大港港南路401号第3层309室</t>
  </si>
  <si>
    <t>镇房权证字第0401003003100110号</t>
  </si>
  <si>
    <t>大港港南路401号第3层310室</t>
  </si>
  <si>
    <t>镇房权证字第0401003005100110号</t>
  </si>
  <si>
    <t>大港港南路401号第3层311室</t>
  </si>
  <si>
    <t>镇房权证字第0401003007100110号</t>
  </si>
  <si>
    <t>大港港南路401号第3层312室</t>
  </si>
  <si>
    <t>镇房权证字第0401002997100110号</t>
  </si>
  <si>
    <t>大港港南路401号第3层313室</t>
  </si>
  <si>
    <t>镇房权证字第0401003061100110号</t>
  </si>
  <si>
    <t>大港港南路401号第3层314室</t>
  </si>
  <si>
    <t>镇房权证字第0401003086100110号</t>
  </si>
  <si>
    <t>大港港南路401号第3层315室</t>
  </si>
  <si>
    <t>镇房权证字第0401003091100110号</t>
  </si>
  <si>
    <t>大港港南路401号第4层401室</t>
  </si>
  <si>
    <t>镇房权证字第0401003081100110号</t>
  </si>
  <si>
    <t>大港港南路401号第4层402室</t>
  </si>
  <si>
    <t>镇房权证字第0401003033100110号</t>
  </si>
  <si>
    <t>大港港南路401号第4层403室</t>
  </si>
  <si>
    <t>镇房权证字第0401003097100110号</t>
  </si>
  <si>
    <t>大港港南路401号第4层404室</t>
  </si>
  <si>
    <t>镇房权证字第0401003066100110号</t>
  </si>
  <si>
    <t>大港港南路401号第5层501室</t>
  </si>
  <si>
    <t>镇房权证字第0401003037100110号</t>
  </si>
  <si>
    <t>大港港南路401号第5层502室</t>
  </si>
  <si>
    <t>镇房权证字第0401003088100110号</t>
  </si>
  <si>
    <t>大港港南路401号第5层503室</t>
  </si>
  <si>
    <t>镇房权证字第0401003044100110号</t>
  </si>
  <si>
    <t>大港港南路401号第5层504室</t>
  </si>
  <si>
    <t>镇房权证字第0401003058100110号</t>
  </si>
  <si>
    <t>大港港南路401号第5层505室</t>
  </si>
  <si>
    <t>镇房权证字第0401003070100110号</t>
  </si>
  <si>
    <t>大港港南路401号第6层601室</t>
  </si>
  <si>
    <t>镇房权证字第0401003083100110号</t>
  </si>
  <si>
    <t>大港港南路401号第6层602室</t>
  </si>
  <si>
    <t>镇房权证字第0401003056100110号</t>
  </si>
  <si>
    <t>大港港南路401号第6层603室</t>
  </si>
  <si>
    <t>镇房权证字第0401003090100110号</t>
  </si>
  <si>
    <t>大港港南路401号第6层604室</t>
  </si>
  <si>
    <t>镇房权证字第0401003041100110号</t>
  </si>
  <si>
    <t>大港港南路401号第6层605室</t>
  </si>
  <si>
    <t>镇房权证字第0401003054100110号</t>
  </si>
  <si>
    <t>大港港南路401号第7层701室</t>
  </si>
  <si>
    <t>镇房权证字第0401003034100110号</t>
  </si>
  <si>
    <t>大港港南路401号第7层702室</t>
  </si>
  <si>
    <t>镇房权证字第0401003065100110号</t>
  </si>
  <si>
    <t>大港港南路401号第7层703室</t>
  </si>
  <si>
    <t>镇房权证字第0401003039100110号</t>
  </si>
  <si>
    <t>大港港南路401号第7层704室</t>
  </si>
  <si>
    <t>镇房权证字第0401003074100110号</t>
  </si>
  <si>
    <t>大港港南路401号第7层705室</t>
  </si>
  <si>
    <t>镇房权证字第0401003076100110号</t>
  </si>
  <si>
    <t>大港港南路401号第8层801室</t>
  </si>
  <si>
    <t>镇房权证字第0401003077100110号</t>
  </si>
  <si>
    <t>大港港南路401号第8层802室</t>
  </si>
  <si>
    <t>镇房权证字第0401003093100110号</t>
  </si>
  <si>
    <t>大港港南路401号第8层803室</t>
  </si>
  <si>
    <t>镇房权证字第0401003067100110号</t>
  </si>
  <si>
    <t>大港港南路401号第8层804室</t>
  </si>
  <si>
    <t>镇房权证字第0401003059100110号</t>
  </si>
  <si>
    <t>大港港南路401号第8层805室</t>
  </si>
  <si>
    <t>镇房权证字第0401003072100110号</t>
  </si>
  <si>
    <t>大港港南路401号第9层901室</t>
  </si>
  <si>
    <t>镇房权证字第0401003063100110号</t>
  </si>
  <si>
    <t>大港港南路401号第9层902室</t>
  </si>
  <si>
    <t>镇房权证字第0401003057100110号</t>
  </si>
  <si>
    <t>大港港南路401号第9层903室</t>
  </si>
  <si>
    <t>镇房权证字第0401003092100110号</t>
  </si>
  <si>
    <t>大港港南路401号第9层904室</t>
  </si>
  <si>
    <t>镇房权证字第0401003042100110号</t>
  </si>
  <si>
    <t>大港港南路401号第9层905室</t>
  </si>
  <si>
    <t>镇房权证字第0401003085100110号</t>
  </si>
  <si>
    <t>大港港南路401号第10层1001室</t>
  </si>
  <si>
    <t>镇房权证字第0401003040100110号</t>
  </si>
  <si>
    <t>大港港南路401号第10层1002室</t>
  </si>
  <si>
    <t>镇房权证字第0401003043100110号</t>
  </si>
  <si>
    <t>大港港南路401号第10层1003室</t>
  </si>
  <si>
    <t>镇房权证字第0401003055100110号</t>
  </si>
  <si>
    <t>大港港南路401号第10层1004室</t>
  </si>
  <si>
    <t>镇房权证字第0401003080100110号</t>
  </si>
  <si>
    <t>大港港南路401号第10层1005室</t>
  </si>
  <si>
    <t>镇房权证字第0401003025100110号</t>
  </si>
  <si>
    <t>大港港南路401号第11层1101室</t>
  </si>
  <si>
    <t>镇房权证字第0401003026100110号</t>
  </si>
  <si>
    <t>大港港南路401号第11层1102室</t>
  </si>
  <si>
    <t>镇房权证字第0401003024100110号</t>
  </si>
  <si>
    <t>大港港南路401号第11层1103室</t>
  </si>
  <si>
    <t>镇房权证字第0401003001100110号</t>
  </si>
  <si>
    <t>大港港南路401号第12层1201室</t>
  </si>
  <si>
    <t>镇房权证字第0401003000100110号</t>
  </si>
  <si>
    <t>大港港南路401号第12层1202室</t>
  </si>
  <si>
    <t>镇房权证字第0401003002100110号</t>
  </si>
  <si>
    <t>大港港南路401号第12层1203室</t>
  </si>
  <si>
    <t>镇房权证字第0401002998100110号</t>
  </si>
  <si>
    <t>大港港南路401号第13层1301室</t>
  </si>
  <si>
    <t>镇房权证字第0401002999100110号</t>
  </si>
  <si>
    <t>大港港南路401号第13层1302室</t>
  </si>
  <si>
    <t>镇房权证字第0401002996100110号</t>
  </si>
  <si>
    <t>大港港南路401号第13层1303室</t>
  </si>
  <si>
    <t>镇房权证字第0401003095100110号</t>
  </si>
  <si>
    <t>大港港南路401号第14层1401室</t>
  </si>
  <si>
    <t>镇房权证字第0401003082100110号</t>
  </si>
  <si>
    <t>大港港南路401号第14层1402室</t>
  </si>
  <si>
    <t>镇房权证字第0401003099100110号</t>
  </si>
  <si>
    <t>大港港南路401号第14层1403室</t>
  </si>
  <si>
    <t>镇房权证字第0401003078100110号</t>
  </si>
  <si>
    <t>大港港南路401号第15层1501室</t>
  </si>
  <si>
    <t>镇房权证字第0401003079100110号</t>
  </si>
  <si>
    <t>大港港南路401号第15层1502室</t>
  </si>
  <si>
    <t>镇房权证字第0401003045100110号</t>
  </si>
  <si>
    <t>大港港南路401号第16层1601室</t>
  </si>
  <si>
    <t>镇房权证字第0401003062100110号</t>
  </si>
  <si>
    <t>大港港南路401号第16层1602室</t>
  </si>
  <si>
    <t>镇房权证字第0401003073100110号</t>
  </si>
  <si>
    <t>大港港南路401号第17层1701室</t>
  </si>
  <si>
    <t>镇房权证字第0401003036100110号</t>
  </si>
  <si>
    <t>大港港南路401号第17层1702室</t>
  </si>
  <si>
    <t>镇房权证字第0401003071100110号</t>
  </si>
  <si>
    <t>大港港南路401号第17层1703室</t>
  </si>
  <si>
    <t>镇房权证字第0401003050100110号</t>
  </si>
  <si>
    <t>大港港南路401号第18层1801室</t>
  </si>
  <si>
    <t>镇房权证字第0401003051100110号</t>
  </si>
  <si>
    <t>大港港南路401号第18层1802室</t>
  </si>
  <si>
    <t>镇房权证字第0401003049100110号</t>
  </si>
  <si>
    <t>大港港南路401号第18层1803室</t>
  </si>
  <si>
    <t>镇房权证字第0401003089100110号</t>
  </si>
  <si>
    <t>大港港南路401号第19层1901室</t>
  </si>
  <si>
    <t>镇房权证字第0401003046100110号</t>
  </si>
  <si>
    <t>大港港南路401号第19层1902室</t>
  </si>
  <si>
    <t>镇房权证字第0401003048100110号</t>
  </si>
  <si>
    <t>大港港南路401号第19层1903室</t>
  </si>
  <si>
    <t>镇房权证字第0401003038100110号</t>
  </si>
  <si>
    <t>大港港南路401号第20层2001室</t>
  </si>
  <si>
    <t>镇房权证字第0401003064100110号</t>
  </si>
  <si>
    <t>大港港南路401号第20层2002室</t>
  </si>
  <si>
    <t>镇房权证字第0401003068100110号</t>
  </si>
  <si>
    <t>大港港南路401号第20层2003室</t>
  </si>
  <si>
    <t>镇房权证字第0401002994100110号</t>
  </si>
  <si>
    <t>大港港南路401号第21层2101室</t>
  </si>
  <si>
    <t>镇房权证字第0401002995100110号</t>
  </si>
  <si>
    <t>大港港南路401号第21层2102室</t>
  </si>
  <si>
    <t>镇房权证字第0401003006100110号</t>
  </si>
  <si>
    <t>大港港南路401号第21层2103室</t>
  </si>
  <si>
    <t>镇房权证字第0401003004100110号</t>
  </si>
  <si>
    <t>大港港南路401号第22层2201室</t>
  </si>
  <si>
    <t>镇房权证字第0401003031100110号</t>
  </si>
  <si>
    <t>大港港南路401号第22层2202室</t>
  </si>
  <si>
    <t>镇房权证字第0401003032100110号</t>
  </si>
  <si>
    <t>大港港南路401号第22层2203室</t>
  </si>
  <si>
    <t>镇房权证字第0401003028100110号</t>
  </si>
  <si>
    <t>大港港南路401号第23层2301室</t>
  </si>
  <si>
    <t>镇房权证字第0401003022100110号</t>
  </si>
  <si>
    <t>大港港南路401号第23层2302室</t>
  </si>
  <si>
    <t>镇房权证字第0401003017100110号</t>
  </si>
  <si>
    <t>大港港南路401号第23层2303室</t>
  </si>
  <si>
    <t>镇房权证字第0401003027100110号</t>
  </si>
  <si>
    <t>大港港南路401号第23层2304室</t>
  </si>
  <si>
    <t>镇房权证字第0401003023100110号</t>
  </si>
  <si>
    <t>大港港南路401号第23层2305室</t>
  </si>
  <si>
    <t>镇房权证字第0401003009100110号</t>
  </si>
  <si>
    <t>大港港南路401号第23层2306室</t>
  </si>
  <si>
    <t>镇房权证字第0401003008100110号</t>
  </si>
  <si>
    <t>大港港南路401号第24层2401室</t>
  </si>
  <si>
    <t>镇房权证字第0401003013100110号</t>
  </si>
  <si>
    <t>大港港南路401号第24层2402室</t>
  </si>
  <si>
    <t>镇房权证字第0401003012100110号</t>
  </si>
  <si>
    <t>大港港南路401号第24层2403室</t>
  </si>
  <si>
    <t>镇房权证字第0401003010100110号</t>
  </si>
  <si>
    <t>大港港南路401号第24层2404室</t>
  </si>
  <si>
    <t>镇房权证字第0401003011100110号</t>
  </si>
  <si>
    <t>大港港南路401号第24层2405室</t>
  </si>
  <si>
    <t>是</t>
  </si>
  <si>
    <t>是</t>
    <phoneticPr fontId="4" type="noConversion"/>
  </si>
  <si>
    <t>否</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</si>
  <si>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</si>
  <si>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</si>
  <si>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</si>
  <si>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</si>
  <si>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</si>
  <si>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</si>
  <si>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</si>
  <si>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</si>
  <si>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</si>
  <si>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</si>
  <si>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</si>
  <si>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</si>
  <si>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</si>
  <si>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</si>
  <si>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</si>
  <si>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</si>
  <si>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</si>
  <si>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</si>
  <si>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</si>
  <si>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</si>
  <si>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</si>
  <si>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</si>
  <si>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</si>
  <si>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</si>
  <si>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</si>
  <si>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</si>
  <si>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</si>
  <si>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</si>
  <si>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</si>
  <si>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</si>
  <si>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</si>
  <si>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1＜容积率≤2.50</t>
  </si>
  <si>
    <t>倪戚华</t>
  </si>
  <si>
    <t>容积率≤0.60</t>
  </si>
  <si>
    <t>2017-12-07</t>
  </si>
  <si>
    <t>江苏圌山旅游文化发展有限公司</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</si>
  <si>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</si>
  <si>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</si>
  <si>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</si>
  <si>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</si>
  <si>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</si>
  <si>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</si>
  <si>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</si>
  <si>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</si>
  <si>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</si>
  <si>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</si>
  <si>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</si>
  <si>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</si>
  <si>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</si>
  <si>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</si>
  <si>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</si>
  <si>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</si>
  <si>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</si>
  <si>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</si>
  <si>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</si>
  <si>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</si>
  <si>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</si>
  <si>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</si>
  <si>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</si>
  <si>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</si>
  <si>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</si>
  <si>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</si>
  <si>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</si>
  <si>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</si>
  <si>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</si>
  <si>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</si>
  <si>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</si>
  <si>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</si>
  <si>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</si>
  <si>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</si>
  <si>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</si>
  <si>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</si>
  <si>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</si>
  <si>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</si>
  <si>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</si>
  <si>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</si>
  <si>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</si>
  <si>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</si>
  <si>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</si>
  <si>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</si>
  <si>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</si>
  <si>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</si>
  <si>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</si>
  <si>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</si>
  <si>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</si>
  <si>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</si>
  <si>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</si>
  <si>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</si>
  <si>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</si>
  <si>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</si>
  <si>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</si>
  <si>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</si>
  <si>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</si>
  <si>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</si>
  <si>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</si>
  <si>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</si>
  <si>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</si>
  <si>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</si>
  <si>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</si>
  <si>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</si>
  <si>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</si>
  <si>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</si>
  <si>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</si>
  <si>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</si>
  <si>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</si>
  <si>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</si>
  <si>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</si>
  <si>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</si>
  <si>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</si>
  <si>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</si>
  <si>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</si>
  <si>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</si>
  <si>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</si>
  <si>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</si>
  <si>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</si>
  <si>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</si>
  <si>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</si>
  <si>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</si>
  <si>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</si>
  <si>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</si>
  <si>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</si>
  <si>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</si>
  <si>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</si>
  <si>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</si>
  <si>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</si>
  <si>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</si>
  <si>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</si>
  <si>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</si>
  <si>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</si>
  <si>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</si>
  <si>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</si>
  <si>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</si>
  <si>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</si>
  <si>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</si>
  <si>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</si>
  <si>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</si>
  <si>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</si>
  <si>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</si>
  <si>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</si>
  <si>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</si>
  <si>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</si>
  <si>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</si>
  <si>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</si>
  <si>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</si>
  <si>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</si>
  <si>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</si>
  <si>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</si>
  <si>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</si>
  <si>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</si>
  <si>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</si>
  <si>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</si>
  <si>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</si>
  <si>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</si>
  <si>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</si>
  <si>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</si>
  <si>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</si>
  <si>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</si>
  <si>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</si>
  <si>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</si>
  <si>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</si>
  <si>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</si>
  <si>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</si>
  <si>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</si>
  <si>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</si>
  <si>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</si>
  <si>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</si>
  <si>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</si>
  <si>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</si>
  <si>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</si>
  <si>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</si>
  <si>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</si>
  <si>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</si>
  <si>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</si>
  <si>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</si>
  <si>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</si>
  <si>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</si>
  <si>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</si>
  <si>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</si>
  <si>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办公项目</t>
  </si>
  <si>
    <t>现房</t>
  </si>
  <si>
    <t>办公用房</t>
  </si>
  <si>
    <t>成新度</t>
  </si>
  <si>
    <t>收益法</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</si>
  <si>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</si>
  <si>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</si>
  <si>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</si>
  <si>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</si>
  <si>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</si>
  <si>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</si>
  <si>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</si>
  <si>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</si>
  <si>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</si>
  <si>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办公用房</t>
    <phoneticPr fontId="8" type="noConversion"/>
  </si>
  <si>
    <t>押一</t>
  </si>
  <si>
    <t>按租金收入计税</t>
  </si>
  <si>
    <t>钢混</t>
  </si>
  <si>
    <t>非生产用房</t>
  </si>
  <si>
    <t>收益法 (车库)</t>
  </si>
  <si>
    <t>收益法 (车库)</t>
    <phoneticPr fontId="17" type="noConversion"/>
  </si>
  <si>
    <t>自定义</t>
  </si>
  <si>
    <t>其他省市系数</t>
  </si>
  <si>
    <t>成本法</t>
  </si>
  <si>
    <t>成本比率</t>
  </si>
  <si>
    <t>《房屋所有权证》证号</t>
    <phoneticPr fontId="144" type="noConversion"/>
  </si>
  <si>
    <t>房屋坐落</t>
    <phoneticPr fontId="144" type="noConversion"/>
  </si>
  <si>
    <t>分摊土地面积</t>
    <phoneticPr fontId="144" type="noConversion"/>
  </si>
  <si>
    <t>建筑面积</t>
    <phoneticPr fontId="144" type="noConversion"/>
  </si>
  <si>
    <t>楼层</t>
    <phoneticPr fontId="144" type="noConversion"/>
  </si>
  <si>
    <r>
      <t>负</t>
    </r>
    <r>
      <rPr>
        <sz val="11"/>
        <color theme="1"/>
        <rFont val="宋体"/>
        <family val="3"/>
        <charset val="134"/>
        <scheme val="minor"/>
      </rPr>
      <t>1层</t>
    </r>
    <phoneticPr fontId="144" type="noConversion"/>
  </si>
  <si>
    <r>
      <t>负</t>
    </r>
    <r>
      <rPr>
        <sz val="11"/>
        <color theme="1"/>
        <rFont val="宋体"/>
        <family val="3"/>
        <charset val="134"/>
        <scheme val="minor"/>
      </rPr>
      <t>2层</t>
    </r>
    <r>
      <rPr>
        <sz val="11"/>
        <color theme="1"/>
        <rFont val="宋体"/>
        <family val="2"/>
        <charset val="134"/>
        <scheme val="minor"/>
      </rPr>
      <t/>
    </r>
  </si>
  <si>
    <t>3层</t>
    <phoneticPr fontId="144" type="noConversion"/>
  </si>
  <si>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</si>
  <si>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</si>
  <si>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</si>
  <si>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</si>
  <si>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</si>
  <si>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</si>
  <si>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</si>
  <si>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</si>
  <si>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</si>
  <si>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</si>
  <si>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</si>
  <si>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</si>
  <si>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</si>
  <si>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</si>
  <si>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</si>
  <si>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</si>
  <si>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</si>
  <si>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</si>
  <si>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</si>
  <si>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</si>
  <si>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</si>
  <si>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合计</t>
    <phoneticPr fontId="144" type="noConversion"/>
  </si>
  <si>
    <t>序号</t>
    <phoneticPr fontId="144" type="noConversion"/>
  </si>
  <si>
    <t>镇房权证字第0401003087100110号</t>
    <phoneticPr fontId="144" type="noConversion"/>
  </si>
  <si>
    <t>镇房权证字第0401003096100110号</t>
    <phoneticPr fontId="144" type="noConversion"/>
  </si>
  <si>
    <r>
      <rPr>
        <sz val="10"/>
        <rFont val="宋体"/>
        <family val="3"/>
        <charset val="134"/>
      </rPr>
      <t>铭东路以北</t>
    </r>
    <r>
      <rPr>
        <sz val="10"/>
        <rFont val="Arial"/>
        <family val="2"/>
      </rPr>
      <t>,</t>
    </r>
    <r>
      <rPr>
        <sz val="10"/>
        <rFont val="宋体"/>
        <family val="3"/>
        <charset val="134"/>
      </rPr>
      <t>慈行路以西</t>
    </r>
    <phoneticPr fontId="144" type="noConversion"/>
  </si>
  <si>
    <t>宜侯路以南、赵声路以西</t>
    <phoneticPr fontId="144" type="noConversion"/>
  </si>
  <si>
    <t>赵声路以东、平昌路以北</t>
    <phoneticPr fontId="144" type="noConversion"/>
  </si>
  <si>
    <t>收益法（汇总）</t>
  </si>
  <si>
    <t>土地价值</t>
    <phoneticPr fontId="144" type="noConversion"/>
  </si>
  <si>
    <t>建筑物价值</t>
  </si>
  <si>
    <t>建筑物价值</t>
    <phoneticPr fontId="144" type="noConversion"/>
  </si>
  <si>
    <t>单价</t>
    <phoneticPr fontId="144" type="noConversion"/>
  </si>
  <si>
    <t>总价</t>
  </si>
  <si>
    <t>总价</t>
    <phoneticPr fontId="144" type="noConversion"/>
  </si>
  <si>
    <t>大港港南路401号负1层101室</t>
    <phoneticPr fontId="144" type="noConversion"/>
  </si>
  <si>
    <t>高区</t>
    <phoneticPr fontId="144" type="noConversion"/>
  </si>
  <si>
    <t>中区</t>
    <phoneticPr fontId="144" type="noConversion"/>
  </si>
  <si>
    <t>低区</t>
    <phoneticPr fontId="144" type="noConversion"/>
  </si>
  <si>
    <t>办公均价</t>
    <phoneticPr fontId="144" type="noConversion"/>
  </si>
  <si>
    <t>办公总价</t>
    <phoneticPr fontId="144" type="noConversion"/>
  </si>
  <si>
    <r>
      <t>1</t>
    </r>
    <r>
      <rPr>
        <sz val="11"/>
        <color theme="1"/>
        <rFont val="宋体"/>
        <family val="3"/>
        <charset val="134"/>
        <scheme val="minor"/>
      </rPr>
      <t>7-24层</t>
    </r>
    <phoneticPr fontId="144" type="noConversion"/>
  </si>
  <si>
    <r>
      <t>9</t>
    </r>
    <r>
      <rPr>
        <sz val="11"/>
        <color theme="1"/>
        <rFont val="宋体"/>
        <family val="3"/>
        <charset val="134"/>
        <scheme val="minor"/>
      </rPr>
      <t>-16层</t>
    </r>
    <phoneticPr fontId="144" type="noConversion"/>
  </si>
  <si>
    <t>1-8层</t>
    <phoneticPr fontId="144" type="noConversion"/>
  </si>
  <si>
    <t>楼层</t>
    <phoneticPr fontId="144" type="noConversion"/>
  </si>
  <si>
    <t>修正系数</t>
    <phoneticPr fontId="144" type="noConversion"/>
  </si>
  <si>
    <t>层数</t>
    <phoneticPr fontId="144" type="noConversion"/>
  </si>
  <si>
    <t>总面积</t>
    <phoneticPr fontId="144" type="noConversion"/>
  </si>
  <si>
    <t>单价</t>
    <phoneticPr fontId="144" type="noConversion"/>
  </si>
  <si>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</si>
  <si>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</si>
  <si>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</si>
  <si>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</si>
  <si>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房地产价值</t>
  </si>
  <si>
    <t>楼面单价</t>
  </si>
  <si>
    <r>
      <t>总</t>
    </r>
    <r>
      <rPr>
        <sz val="9"/>
        <color theme="1"/>
        <rFont val="Arial"/>
        <family val="2"/>
      </rPr>
      <t xml:space="preserve"> </t>
    </r>
    <r>
      <rPr>
        <sz val="9"/>
        <color theme="1"/>
        <rFont val="华文细黑"/>
        <family val="3"/>
        <charset val="134"/>
      </rPr>
      <t>价</t>
    </r>
  </si>
  <si>
    <t>大写金额</t>
  </si>
  <si>
    <t>元整</t>
  </si>
  <si>
    <t>估价师知悉的法定优先受偿款</t>
  </si>
  <si>
    <t>江苏省镇江市镇江新区大港港南路401号负1层101室地下车库用房房地产</t>
    <phoneticPr fontId="144" type="noConversion"/>
  </si>
  <si>
    <t>江苏省镇江市镇江新区大港港南路401号第3层301室办公用房房地产</t>
    <phoneticPr fontId="144" type="noConversion"/>
  </si>
  <si>
    <t>江苏省镇江市镇江新区大港港南路401号第3层302室办公用房房地产</t>
    <phoneticPr fontId="144" type="noConversion"/>
  </si>
  <si>
    <t>江苏省镇江市镇江新区大港港南路401号第3层303室办公用房房地产</t>
    <phoneticPr fontId="144" type="noConversion"/>
  </si>
  <si>
    <t>江苏省镇江市镇江新区大港港南路401号第3层304室办公用房房地产</t>
    <phoneticPr fontId="144" type="noConversion"/>
  </si>
  <si>
    <t>江苏省镇江市镇江新区大港港南路401号第3层305室办公用房房地产</t>
    <phoneticPr fontId="144" type="noConversion"/>
  </si>
  <si>
    <t>江苏省镇江市镇江新区大港港南路401号第3层306室办公用房房地产</t>
    <phoneticPr fontId="144" type="noConversion"/>
  </si>
  <si>
    <t>江苏省镇江市镇江新区大港港南路401号第3层307室办公用房房地产</t>
    <phoneticPr fontId="144" type="noConversion"/>
  </si>
  <si>
    <t>江苏省镇江市镇江新区大港港南路401号第3层308室办公用房房地产</t>
    <phoneticPr fontId="144" type="noConversion"/>
  </si>
  <si>
    <t>江苏省镇江市镇江新区大港港南路401号第3层309室办公用房房地产</t>
    <phoneticPr fontId="144" type="noConversion"/>
  </si>
  <si>
    <t>江苏省镇江市镇江新区大港港南路401号第3层310室办公用房房地产</t>
    <phoneticPr fontId="144" type="noConversion"/>
  </si>
  <si>
    <t>江苏省镇江市镇江新区大港港南路401号第3层311室办公用房房地产</t>
    <phoneticPr fontId="144" type="noConversion"/>
  </si>
  <si>
    <t>江苏省镇江市镇江新区大港港南路401号第3层312室办公用房房地产</t>
    <phoneticPr fontId="144" type="noConversion"/>
  </si>
  <si>
    <t>江苏省镇江市镇江新区大港港南路401号第3层313室办公用房房地产</t>
    <phoneticPr fontId="144" type="noConversion"/>
  </si>
  <si>
    <t>江苏省镇江市镇江新区大港港南路401号第3层314室办公用房房地产</t>
    <phoneticPr fontId="144" type="noConversion"/>
  </si>
  <si>
    <t>江苏省镇江市镇江新区大港港南路401号第3层315室办公用房房地产</t>
    <phoneticPr fontId="144" type="noConversion"/>
  </si>
  <si>
    <t>江苏省镇江市镇江新区大港港南路401号第4层401室办公用房房地产</t>
    <phoneticPr fontId="144" type="noConversion"/>
  </si>
  <si>
    <t>江苏省镇江市镇江新区大港港南路401号第4层402室办公用房房地产</t>
    <phoneticPr fontId="144" type="noConversion"/>
  </si>
  <si>
    <t>江苏省镇江市镇江新区大港港南路401号第4层403室办公用房房地产</t>
    <phoneticPr fontId="144" type="noConversion"/>
  </si>
  <si>
    <t>江苏省镇江市镇江新区大港港南路401号第4层404室办公用房房地产</t>
    <phoneticPr fontId="144" type="noConversion"/>
  </si>
  <si>
    <t>江苏省镇江市镇江新区大港港南路401号第5层501室办公用房房地产</t>
    <phoneticPr fontId="144" type="noConversion"/>
  </si>
  <si>
    <t>江苏省镇江市镇江新区大港港南路401号第5层502室办公用房房地产</t>
    <phoneticPr fontId="144" type="noConversion"/>
  </si>
  <si>
    <t>江苏省镇江市镇江新区大港港南路401号第5层503室办公用房房地产</t>
    <phoneticPr fontId="144" type="noConversion"/>
  </si>
  <si>
    <t>江苏省镇江市镇江新区大港港南路401号第5层504室办公用房房地产</t>
    <phoneticPr fontId="144" type="noConversion"/>
  </si>
  <si>
    <t>江苏省镇江市镇江新区大港港南路401号第5层505室办公用房房地产</t>
    <phoneticPr fontId="144" type="noConversion"/>
  </si>
  <si>
    <t>江苏省镇江市镇江新区大港港南路401号第6层601室办公用房房地产</t>
    <phoneticPr fontId="144" type="noConversion"/>
  </si>
  <si>
    <t>江苏省镇江市镇江新区大港港南路401号第6层603室办公用房房地产</t>
    <phoneticPr fontId="144" type="noConversion"/>
  </si>
  <si>
    <t>江苏省镇江市镇江新区大港港南路401号第6层602室办公用房房地产</t>
    <phoneticPr fontId="144" type="noConversion"/>
  </si>
  <si>
    <t>江苏省镇江市镇江新区大港港南路401号第6层604室办公用房房地产</t>
    <phoneticPr fontId="144" type="noConversion"/>
  </si>
  <si>
    <t>江苏省镇江市镇江新区大港港南路401号第6层605室办公用房房地产</t>
    <phoneticPr fontId="144" type="noConversion"/>
  </si>
  <si>
    <t>江苏省镇江市镇江新区大港港南路401号第7层701室办公用房房地产</t>
    <phoneticPr fontId="144" type="noConversion"/>
  </si>
  <si>
    <t>江苏省镇江市镇江新区大港港南路401号第7层702室办公用房房地产</t>
    <phoneticPr fontId="144" type="noConversion"/>
  </si>
  <si>
    <t>江苏省镇江市镇江新区大港港南路401号第7层703室办公用房房地产</t>
    <phoneticPr fontId="144" type="noConversion"/>
  </si>
  <si>
    <t>江苏省镇江市镇江新区大港港南路401号第7层704室办公用房房地产</t>
    <phoneticPr fontId="144" type="noConversion"/>
  </si>
  <si>
    <t>江苏省镇江市镇江新区大港港南路401号第7层705室办公用房房地产</t>
    <phoneticPr fontId="144" type="noConversion"/>
  </si>
  <si>
    <t>江苏省镇江市镇江新区大港港南路401号第8层801室办公用房房地产</t>
    <phoneticPr fontId="144" type="noConversion"/>
  </si>
  <si>
    <t>江苏省镇江市镇江新区大港港南路401号第8层802室办公用房房地产</t>
    <phoneticPr fontId="144" type="noConversion"/>
  </si>
  <si>
    <t>江苏省镇江市镇江新区大港港南路401号第8层803室办公用房房地产</t>
    <phoneticPr fontId="144" type="noConversion"/>
  </si>
  <si>
    <t>江苏省镇江市镇江新区大港港南路401号第8层804室办公用房房地产</t>
    <phoneticPr fontId="144" type="noConversion"/>
  </si>
  <si>
    <t>江苏省镇江市镇江新区大港港南路401号第8层805室办公用房房地产</t>
    <phoneticPr fontId="144" type="noConversion"/>
  </si>
  <si>
    <t>江苏省镇江市镇江新区大港港南路401号第9层901室办公用房房地产</t>
    <phoneticPr fontId="144" type="noConversion"/>
  </si>
  <si>
    <t>江苏省镇江市镇江新区大港港南路401号第9层902室办公用房房地产</t>
    <phoneticPr fontId="144" type="noConversion"/>
  </si>
  <si>
    <t>江苏省镇江市镇江新区大港港南路401号第9层903室办公用房房地产</t>
    <phoneticPr fontId="144" type="noConversion"/>
  </si>
  <si>
    <t>江苏省镇江市镇江新区大港港南路401号第9层904室办公用房房地产</t>
    <phoneticPr fontId="144" type="noConversion"/>
  </si>
  <si>
    <t>江苏省镇江市镇江新区大港港南路401号第9层905室办公用房房地产</t>
    <phoneticPr fontId="144" type="noConversion"/>
  </si>
  <si>
    <t>江苏省镇江市镇江新区大港港南路401号第10层1001室办公用房房地产</t>
    <phoneticPr fontId="144" type="noConversion"/>
  </si>
  <si>
    <t>江苏省镇江市镇江新区大港港南路401号第10层1002室办公用房房地产</t>
    <phoneticPr fontId="144" type="noConversion"/>
  </si>
  <si>
    <t>江苏省镇江市镇江新区大港港南路401号第10层1003室办公用房房地产</t>
    <phoneticPr fontId="144" type="noConversion"/>
  </si>
  <si>
    <t>江苏省镇江市镇江新区大港港南路401号第10层1004室办公用房房地产</t>
    <phoneticPr fontId="144" type="noConversion"/>
  </si>
  <si>
    <t>江苏省镇江市镇江新区大港港南路401号第10层1005室办公用房房地产</t>
    <phoneticPr fontId="144" type="noConversion"/>
  </si>
  <si>
    <t>江苏省镇江市镇江新区大港港南路401号第11层1101室办公用房房地产</t>
    <phoneticPr fontId="144" type="noConversion"/>
  </si>
  <si>
    <t>江苏省镇江市镇江新区大港港南路401号第11层1102室办公用房房地产</t>
    <phoneticPr fontId="144" type="noConversion"/>
  </si>
  <si>
    <t>江苏省镇江市镇江新区大港港南路401号第11层1103室办公用房房地产</t>
    <phoneticPr fontId="144" type="noConversion"/>
  </si>
  <si>
    <t>江苏省镇江市镇江新区大港港南路401号第12层1202室办公用房房地产</t>
    <phoneticPr fontId="144" type="noConversion"/>
  </si>
  <si>
    <t>江苏省镇江市镇江新区大港港南路401号第12层1203室办公用房房地产</t>
    <phoneticPr fontId="144" type="noConversion"/>
  </si>
  <si>
    <t>江苏省镇江市镇江新区大港港南路401号第13层1301室办公用房房地产</t>
    <phoneticPr fontId="144" type="noConversion"/>
  </si>
  <si>
    <t>江苏省镇江市镇江新区大港港南路401号第13层1302室办公用房房地产</t>
    <phoneticPr fontId="144" type="noConversion"/>
  </si>
  <si>
    <t>江苏省镇江市镇江新区大港港南路401号第13层1303室办公用房房地产</t>
    <phoneticPr fontId="144" type="noConversion"/>
  </si>
  <si>
    <t>江苏省镇江市镇江新区大港港南路401号第14层1401室办公用房房地产</t>
    <phoneticPr fontId="144" type="noConversion"/>
  </si>
  <si>
    <t>江苏省镇江市镇江新区大港港南路401号第14层1402室办公用房房地产</t>
    <phoneticPr fontId="144" type="noConversion"/>
  </si>
  <si>
    <t>江苏省镇江市镇江新区大港港南路401号第14层1403室办公用房房地产</t>
    <phoneticPr fontId="144" type="noConversion"/>
  </si>
  <si>
    <t>江苏省镇江市镇江新区大港港南路401号第15层1501室办公用房房地产</t>
    <phoneticPr fontId="144" type="noConversion"/>
  </si>
  <si>
    <t>江苏省镇江市镇江新区大港港南路401号第15层1502室办公用房房地产</t>
    <phoneticPr fontId="144" type="noConversion"/>
  </si>
  <si>
    <t>江苏省镇江市镇江新区大港港南路401号第16层1601室办公用房房地产</t>
    <phoneticPr fontId="144" type="noConversion"/>
  </si>
  <si>
    <t>江苏省镇江市镇江新区大港港南路401号第16层1602室办公用房房地产</t>
    <phoneticPr fontId="144" type="noConversion"/>
  </si>
  <si>
    <t>江苏省镇江市镇江新区大港港南路401号第17层1701室办公用房房地产</t>
    <phoneticPr fontId="144" type="noConversion"/>
  </si>
  <si>
    <t>江苏省镇江市镇江新区大港港南路401号第17层1702室办公用房房地产</t>
    <phoneticPr fontId="144" type="noConversion"/>
  </si>
  <si>
    <t>江苏省镇江市镇江新区大港港南路401号第17层1703室办公用房房地产</t>
    <phoneticPr fontId="144" type="noConversion"/>
  </si>
  <si>
    <t>江苏省镇江市镇江新区大港港南路401号第18层1801室办公用房房地产</t>
    <phoneticPr fontId="144" type="noConversion"/>
  </si>
  <si>
    <t>江苏省镇江市镇江新区大港港南路401号第18层1802室办公用房房地产</t>
    <phoneticPr fontId="144" type="noConversion"/>
  </si>
  <si>
    <t>江苏省镇江市镇江新区大港港南路401号第18层1803室办公用房房地产</t>
    <phoneticPr fontId="144" type="noConversion"/>
  </si>
  <si>
    <t>江苏省镇江市镇江新区大港港南路401号第19层1901室办公用房房地产</t>
    <phoneticPr fontId="144" type="noConversion"/>
  </si>
  <si>
    <t>江苏省镇江市镇江新区大港港南路401号第19层1902室办公用房房地产</t>
    <phoneticPr fontId="144" type="noConversion"/>
  </si>
  <si>
    <t>江苏省镇江市镇江新区大港港南路401号第19层1903室办公用房房地产</t>
    <phoneticPr fontId="144" type="noConversion"/>
  </si>
  <si>
    <t>江苏省镇江市镇江新区大港港南路401号第20层2001室办公用房房地产</t>
    <phoneticPr fontId="144" type="noConversion"/>
  </si>
  <si>
    <t>江苏省镇江市镇江新区大港港南路401号第20层2002室办公用房房地产</t>
    <phoneticPr fontId="144" type="noConversion"/>
  </si>
  <si>
    <t>江苏省镇江市镇江新区大港港南路401号第20层2003室办公用房房地产</t>
    <phoneticPr fontId="144" type="noConversion"/>
  </si>
  <si>
    <t>江苏省镇江市镇江新区大港港南路401号第21层2101室办公用房房地产</t>
    <phoneticPr fontId="144" type="noConversion"/>
  </si>
  <si>
    <t>江苏省镇江市镇江新区大港港南路401号第21层2102室办公用房房地产</t>
    <phoneticPr fontId="144" type="noConversion"/>
  </si>
  <si>
    <t>江苏省镇江市镇江新区大港港南路401号第21层2103室办公用房房地产</t>
    <phoneticPr fontId="144" type="noConversion"/>
  </si>
  <si>
    <t>江苏省镇江市镇江新区大港港南路401号第22层2201室办公用房房地产</t>
    <phoneticPr fontId="144" type="noConversion"/>
  </si>
  <si>
    <t>江苏省镇江市镇江新区大港港南路401号第22层2202室办公用房房地产</t>
    <phoneticPr fontId="144" type="noConversion"/>
  </si>
  <si>
    <t>江苏省镇江市镇江新区大港港南路401号第22层2203室办公用房房地产</t>
    <phoneticPr fontId="144" type="noConversion"/>
  </si>
  <si>
    <t>江苏省镇江市镇江新区大港港南路401号第23层2301室办公用房房地产</t>
    <phoneticPr fontId="144" type="noConversion"/>
  </si>
  <si>
    <t>江苏省镇江市镇江新区大港港南路401号第23层2303室办公用房房地产</t>
    <phoneticPr fontId="144" type="noConversion"/>
  </si>
  <si>
    <t>江苏省镇江市镇江新区大港港南路401号第23层2304室办公用房房地产</t>
    <phoneticPr fontId="144" type="noConversion"/>
  </si>
  <si>
    <t>江苏省镇江市镇江新区大港港南路401号第23层2305室办公用房房地产</t>
    <phoneticPr fontId="144" type="noConversion"/>
  </si>
  <si>
    <t>江苏省镇江市镇江新区大港港南路401号第23层2306室办公用房房地产</t>
    <phoneticPr fontId="144" type="noConversion"/>
  </si>
  <si>
    <t>江苏省镇江市镇江新区大港港南路401号第24层2401室办公用房房地产</t>
    <phoneticPr fontId="144" type="noConversion"/>
  </si>
  <si>
    <t>江苏省镇江市镇江新区大港港南路401号第24层2402室办公用房房地产</t>
    <phoneticPr fontId="144" type="noConversion"/>
  </si>
  <si>
    <t>江苏省镇江市镇江新区大港港南路401号第24层2403室办公用房房地产</t>
    <phoneticPr fontId="144" type="noConversion"/>
  </si>
  <si>
    <t>江苏省镇江市镇江新区大港港南路401号第24层2404室办公用房房地产</t>
    <phoneticPr fontId="144" type="noConversion"/>
  </si>
  <si>
    <t>江苏省镇江市镇江新区大港港南路401号第24层2405室办公用房房地产</t>
    <phoneticPr fontId="144" type="noConversion"/>
  </si>
  <si>
    <t>镇房权证字第0401003075100110号</t>
    <phoneticPr fontId="144" type="noConversion"/>
  </si>
  <si>
    <t>镇房权证字第0401003047100110号</t>
    <phoneticPr fontId="144" type="noConversion"/>
  </si>
  <si>
    <t>镇房权证字第0401003052100110号</t>
    <phoneticPr fontId="144" type="noConversion"/>
  </si>
  <si>
    <t>镇房权证字第0401003069100110号</t>
    <phoneticPr fontId="144" type="noConversion"/>
  </si>
  <si>
    <t>镇房权证字第0401003098100110号</t>
    <phoneticPr fontId="144" type="noConversion"/>
  </si>
  <si>
    <t>镇房权证字第0401003035100110号</t>
    <phoneticPr fontId="144" type="noConversion"/>
  </si>
  <si>
    <t>镇房权证字第0401003084100110号</t>
    <phoneticPr fontId="144" type="noConversion"/>
  </si>
  <si>
    <t>镇房权证字第0401003053100110号</t>
    <phoneticPr fontId="144" type="noConversion"/>
  </si>
  <si>
    <t>镇房权证字第0401003094100110号</t>
    <phoneticPr fontId="144" type="noConversion"/>
  </si>
  <si>
    <t>镇房权证字第0401003060100110号</t>
    <phoneticPr fontId="144" type="noConversion"/>
  </si>
  <si>
    <t>1层</t>
    <phoneticPr fontId="144" type="noConversion"/>
  </si>
  <si>
    <t>2层</t>
  </si>
  <si>
    <t>地下车库</t>
    <phoneticPr fontId="8" type="noConversion"/>
  </si>
  <si>
    <t>车库—办公</t>
  </si>
  <si>
    <t>序号</t>
  </si>
  <si>
    <t>《房屋所有权证》证号</t>
  </si>
  <si>
    <t>房屋坐落</t>
  </si>
  <si>
    <t>分摊土地面积</t>
  </si>
  <si>
    <t>楼层</t>
  </si>
  <si>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</si>
  <si>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</si>
  <si>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</si>
  <si>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</si>
  <si>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</si>
  <si>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</si>
  <si>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</si>
  <si>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3</t>
    </r>
    <r>
      <rPr>
        <sz val="9"/>
        <color theme="1"/>
        <rFont val="华文细黑"/>
        <family val="3"/>
        <charset val="134"/>
      </rPr>
      <t>层</t>
    </r>
  </si>
  <si>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</si>
  <si>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</si>
  <si>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</si>
  <si>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</si>
  <si>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</si>
  <si>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</si>
  <si>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</si>
  <si>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</si>
  <si>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</si>
  <si>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</si>
  <si>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</si>
  <si>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</si>
  <si>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</si>
  <si>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</si>
  <si>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</si>
  <si>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</si>
  <si>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</si>
  <si>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</si>
  <si>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</si>
  <si>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</si>
  <si>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</si>
  <si>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</si>
  <si>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</si>
  <si>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</si>
  <si>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</si>
  <si>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</si>
  <si>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</si>
  <si>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</si>
  <si>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</si>
  <si>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</si>
  <si>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</si>
  <si>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</si>
  <si>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</si>
  <si>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</si>
  <si>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</si>
  <si>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</si>
  <si>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</si>
  <si>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</si>
  <si>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</si>
  <si>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</si>
  <si>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</si>
  <si>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</si>
  <si>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</si>
  <si>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</si>
  <si>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</si>
  <si>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</si>
  <si>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</si>
  <si>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</si>
  <si>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</si>
  <si>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</si>
  <si>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</si>
  <si>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</si>
  <si>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</si>
  <si>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</si>
  <si>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</si>
  <si>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</si>
  <si>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</si>
  <si>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</si>
  <si>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</si>
  <si>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</si>
  <si>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</si>
  <si>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</si>
  <si>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</si>
  <si>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</si>
  <si>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</si>
  <si>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</si>
  <si>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</si>
  <si>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</si>
  <si>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</si>
  <si>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</si>
  <si>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</si>
  <si>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</si>
  <si>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</si>
  <si>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</si>
  <si>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</si>
  <si>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</si>
  <si>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</si>
  <si>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</si>
  <si>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</si>
  <si>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</si>
  <si>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</si>
  <si>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</si>
  <si>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</si>
  <si>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</si>
  <si>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</si>
  <si>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</si>
  <si>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</si>
  <si>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</si>
  <si>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</si>
  <si>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</si>
  <si>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</si>
  <si>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</si>
  <si>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</si>
  <si>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</si>
  <si>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</si>
  <si>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</si>
  <si>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</si>
  <si>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</si>
  <si>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</si>
  <si>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</si>
  <si>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</si>
  <si>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</si>
  <si>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</si>
  <si>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</si>
  <si>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</si>
  <si>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</si>
  <si>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</si>
  <si>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</si>
  <si>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</si>
  <si>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</si>
  <si>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</si>
  <si>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</si>
  <si>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</si>
  <si>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</si>
  <si>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</si>
  <si>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</si>
  <si>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</si>
  <si>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</si>
  <si>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</si>
  <si>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</si>
  <si>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</si>
  <si>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</si>
  <si>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</si>
  <si>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</si>
  <si>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</si>
  <si>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</si>
  <si>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</si>
  <si>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</si>
  <si>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</si>
  <si>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</si>
  <si>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</si>
  <si>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</si>
  <si>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</si>
  <si>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</si>
  <si>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</si>
  <si>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</si>
  <si>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</si>
  <si>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</si>
  <si>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</si>
  <si>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</si>
  <si>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</si>
  <si>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</si>
  <si>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</si>
  <si>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</si>
  <si>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</si>
  <si>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</si>
  <si>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</si>
  <si>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</si>
  <si>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</si>
  <si>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</si>
  <si>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</si>
  <si>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</si>
  <si>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</si>
  <si>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</si>
  <si>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</si>
  <si>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</si>
  <si>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</si>
  <si>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</si>
  <si>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</si>
  <si>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</si>
  <si>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</si>
  <si>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</si>
  <si>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</si>
  <si>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</si>
  <si>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</si>
  <si>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</si>
  <si>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</si>
  <si>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</si>
  <si>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</si>
  <si>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</si>
  <si>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</si>
  <si>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</si>
  <si>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</si>
  <si>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</si>
  <si>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</si>
  <si>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</si>
  <si>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</si>
  <si>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</si>
  <si>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</si>
  <si>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</si>
  <si>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</si>
  <si>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</si>
  <si>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</si>
  <si>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</si>
  <si>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</si>
  <si>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</si>
  <si>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</si>
  <si>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</si>
  <si>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</si>
  <si>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</si>
  <si>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</si>
  <si>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</si>
  <si>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</si>
  <si>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</si>
  <si>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</si>
  <si>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</si>
  <si>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</si>
  <si>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</si>
  <si>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</si>
  <si>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</si>
  <si>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</si>
  <si>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</si>
  <si>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</si>
  <si>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</si>
  <si>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</si>
  <si>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1层</t>
  </si>
  <si>
    <t>车库总价</t>
    <phoneticPr fontId="144" type="noConversion"/>
  </si>
  <si>
    <t>车库单价</t>
    <phoneticPr fontId="144" type="noConversion"/>
  </si>
  <si>
    <t>低区</t>
    <phoneticPr fontId="144" type="noConversion"/>
  </si>
  <si>
    <r>
      <t>1</t>
    </r>
    <r>
      <rPr>
        <sz val="11"/>
        <color theme="1"/>
        <rFont val="宋体"/>
        <family val="3"/>
        <charset val="134"/>
        <scheme val="minor"/>
      </rPr>
      <t>6399.7x+15361.2*1.02x+15724.32*1.04x</t>
    </r>
    <phoneticPr fontId="144" type="noConversion"/>
  </si>
  <si>
    <t>办公占比</t>
    <phoneticPr fontId="144" type="noConversion"/>
  </si>
  <si>
    <t>办公总价</t>
    <phoneticPr fontId="144" type="noConversion"/>
  </si>
  <si>
    <t>汇总后办公价值</t>
    <phoneticPr fontId="144" type="noConversion"/>
  </si>
  <si>
    <t>江苏省镇江市镇江新区大港港南路401号负2层201室地下车库用房房地产</t>
    <phoneticPr fontId="144" type="noConversion"/>
  </si>
  <si>
    <t>江苏省镇江市镇江新区大港港南路401号第23层2302室办公用房房地产</t>
    <phoneticPr fontId="144" type="noConversion"/>
  </si>
  <si>
    <t>江苏省镇江市镇江新区大港港南路401号第1层101室办公用房房地产</t>
    <phoneticPr fontId="144" type="noConversion"/>
  </si>
  <si>
    <t>江苏省镇江市镇江新区大港港南路401号第1层102室办公用房房地产</t>
    <phoneticPr fontId="144" type="noConversion"/>
  </si>
  <si>
    <t>江苏省镇江市镇江新区大港港南路401号第1层103室办公用房房地产</t>
    <phoneticPr fontId="144" type="noConversion"/>
  </si>
  <si>
    <t>江苏省镇江市镇江新区大港港南路401号第1层104室办公用房房地产</t>
    <phoneticPr fontId="144" type="noConversion"/>
  </si>
  <si>
    <t>江苏省镇江市镇江新区大港港南路401号第2层201室办公用房房地产</t>
    <phoneticPr fontId="144" type="noConversion"/>
  </si>
  <si>
    <t>江苏省镇江市镇江新区大港港南路401号第2层202室办公用房房地产</t>
    <phoneticPr fontId="144" type="noConversion"/>
  </si>
  <si>
    <t>江苏省镇江市镇江新区大港港南路401号第2层203室办公用房房地产</t>
    <phoneticPr fontId="144" type="noConversion"/>
  </si>
  <si>
    <t>江苏省镇江市镇江新区大港港南路401号第2层204室办公用房房地产</t>
    <phoneticPr fontId="144" type="noConversion"/>
  </si>
  <si>
    <t>江苏省镇江市镇江新区大港港南路401号第2层205室办公用房房地产</t>
    <phoneticPr fontId="144" type="noConversion"/>
  </si>
  <si>
    <t>江苏省镇江市镇江新区大港港南路401号第2层206室办公用房房地产</t>
    <phoneticPr fontId="144" type="noConversion"/>
  </si>
  <si>
    <r>
      <rPr>
        <sz val="9"/>
        <color theme="1"/>
        <rFont val="宋体"/>
        <family val="3"/>
        <charset val="134"/>
      </rPr>
      <t>镇房权证字第</t>
    </r>
    <r>
      <rPr>
        <sz val="9"/>
        <color theme="1"/>
        <rFont val="Arial"/>
        <family val="2"/>
      </rPr>
      <t>0401003075100110</t>
    </r>
    <r>
      <rPr>
        <sz val="9"/>
        <color theme="1"/>
        <rFont val="宋体"/>
        <family val="3"/>
        <charset val="134"/>
      </rPr>
      <t>号</t>
    </r>
    <phoneticPr fontId="144" type="noConversion"/>
  </si>
  <si>
    <r>
      <t>镇房权证字第</t>
    </r>
    <r>
      <rPr>
        <sz val="9"/>
        <color theme="1"/>
        <rFont val="Arial"/>
        <family val="2"/>
      </rPr>
      <t>0401003087100110</t>
    </r>
    <r>
      <rPr>
        <sz val="9"/>
        <color theme="1"/>
        <rFont val="华文细黑"/>
        <family val="3"/>
        <charset val="134"/>
      </rPr>
      <t>号</t>
    </r>
    <phoneticPr fontId="144" type="noConversion"/>
  </si>
  <si>
    <r>
      <rPr>
        <sz val="10"/>
        <rFont val="宋体"/>
        <family val="3"/>
        <charset val="134"/>
      </rPr>
      <t>黄山西路以南</t>
    </r>
    <r>
      <rPr>
        <sz val="10"/>
        <rFont val="Arial"/>
        <family val="2"/>
      </rPr>
      <t>,</t>
    </r>
    <r>
      <rPr>
        <sz val="10"/>
        <rFont val="宋体"/>
        <family val="3"/>
        <charset val="134"/>
      </rPr>
      <t>檀山路以东</t>
    </r>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</si>
</sst>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2" borderId="2" xfId="0" applyFont="1" applyFill="1" applyBorder="1" applyAlignment="1" applyProtection="1">
      <alignment horizontal="center" vertical="center" wrapText="1"/>
      <protection locked="0"/>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0" fillId="17" borderId="0" xfId="14" applyFont="1" applyFill="1"/>
    <xf numFmtId="0" fontId="100" fillId="0" borderId="1" xfId="0" applyFont="1" applyBorder="1" applyAlignment="1">
      <alignment horizontal="center" vertical="center"/>
    </xf>
    <xf numFmtId="0" fontId="100" fillId="0" borderId="0" xfId="0" applyFont="1">
      <alignment vertical="center"/>
    </xf>
    <xf numFmtId="0" fontId="100" fillId="0" borderId="1" xfId="0" applyFont="1" applyFill="1" applyBorder="1" applyAlignment="1">
      <alignment horizontal="center"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5" fillId="0" borderId="157" xfId="0" applyFont="1" applyBorder="1" applyAlignment="1">
      <alignment vertical="center" wrapText="1"/>
    </xf>
    <xf numFmtId="0" fontId="257" fillId="0" borderId="159" xfId="0" applyFont="1" applyBorder="1" applyAlignment="1">
      <alignment vertical="center" wrapText="1"/>
    </xf>
    <xf numFmtId="0" fontId="51" fillId="6" borderId="3" xfId="0" applyFont="1" applyFill="1" applyBorder="1" applyAlignment="1" applyProtection="1">
      <alignment horizontal="center" vertical="center" wrapText="1"/>
    </xf>
    <xf numFmtId="0" fontId="0" fillId="5" borderId="1" xfId="0" applyFill="1" applyBorder="1" applyAlignment="1">
      <alignment horizontal="center" vertical="center"/>
    </xf>
    <xf numFmtId="0" fontId="100" fillId="5" borderId="1" xfId="0" applyFont="1" applyFill="1" applyBorder="1" applyAlignment="1">
      <alignment horizontal="center" vertical="center"/>
    </xf>
    <xf numFmtId="0" fontId="100" fillId="5" borderId="0" xfId="0" applyFont="1" applyFill="1">
      <alignment vertical="center"/>
    </xf>
    <xf numFmtId="0" fontId="0" fillId="5" borderId="0" xfId="0" applyFill="1">
      <alignment vertical="center"/>
    </xf>
    <xf numFmtId="0" fontId="255" fillId="0" borderId="157" xfId="0" applyFont="1" applyBorder="1" applyAlignment="1">
      <alignment vertical="center" wrapText="1"/>
    </xf>
    <xf numFmtId="0" fontId="255" fillId="0" borderId="82" xfId="0" applyFont="1" applyBorder="1">
      <alignment vertical="center"/>
    </xf>
    <xf numFmtId="0" fontId="255" fillId="0" borderId="65" xfId="0" applyFont="1" applyBorder="1">
      <alignment vertical="center"/>
    </xf>
    <xf numFmtId="0" fontId="256" fillId="0" borderId="81" xfId="0" applyFont="1" applyBorder="1">
      <alignment vertical="center"/>
    </xf>
    <xf numFmtId="0" fontId="255" fillId="0" borderId="43" xfId="0" applyFont="1" applyBorder="1">
      <alignment vertical="center"/>
    </xf>
    <xf numFmtId="0" fontId="256" fillId="0" borderId="43" xfId="0" applyFont="1" applyBorder="1">
      <alignment vertical="center"/>
    </xf>
    <xf numFmtId="0" fontId="51" fillId="9" borderId="1" xfId="0" applyFont="1" applyFill="1" applyBorder="1" applyAlignment="1" applyProtection="1">
      <alignment horizontal="center" vertical="center" wrapText="1"/>
      <protection locked="0"/>
    </xf>
    <xf numFmtId="0" fontId="51" fillId="9" borderId="1" xfId="0" applyFont="1" applyFill="1" applyBorder="1" applyAlignment="1" applyProtection="1">
      <alignment vertical="center" wrapText="1"/>
      <protection locked="0"/>
    </xf>
    <xf numFmtId="0" fontId="81" fillId="9" borderId="2" xfId="0" applyFont="1" applyFill="1" applyBorder="1" applyAlignment="1" applyProtection="1">
      <alignment horizontal="center" vertical="center" wrapText="1"/>
      <protection locked="0"/>
    </xf>
    <xf numFmtId="176" fontId="51" fillId="9" borderId="1" xfId="0" applyNumberFormat="1" applyFont="1" applyFill="1" applyBorder="1" applyAlignment="1" applyProtection="1">
      <alignment horizontal="center" vertical="center" wrapText="1"/>
    </xf>
    <xf numFmtId="176" fontId="51" fillId="9" borderId="2" xfId="0" applyNumberFormat="1" applyFont="1" applyFill="1" applyBorder="1" applyAlignment="1" applyProtection="1">
      <alignment horizontal="center" vertical="center" wrapText="1"/>
      <protection locked="0"/>
    </xf>
    <xf numFmtId="176" fontId="51" fillId="9" borderId="2" xfId="0" applyNumberFormat="1" applyFont="1" applyFill="1" applyBorder="1" applyAlignment="1" applyProtection="1">
      <alignment horizontal="center" vertical="center" wrapText="1"/>
    </xf>
    <xf numFmtId="176" fontId="51" fillId="9" borderId="13" xfId="0" applyNumberFormat="1" applyFont="1" applyFill="1" applyBorder="1" applyAlignment="1" applyProtection="1">
      <alignment horizontal="center" vertical="center" wrapText="1"/>
    </xf>
    <xf numFmtId="176" fontId="51" fillId="9" borderId="1" xfId="0" applyNumberFormat="1" applyFont="1" applyFill="1" applyBorder="1" applyAlignment="1" applyProtection="1">
      <alignment vertical="center" wrapText="1"/>
      <protection locked="0"/>
    </xf>
    <xf numFmtId="176" fontId="51" fillId="9" borderId="1" xfId="0" applyNumberFormat="1" applyFont="1" applyFill="1" applyBorder="1" applyAlignment="1" applyProtection="1">
      <alignment horizontal="center" vertical="center" wrapText="1"/>
      <protection locked="0"/>
    </xf>
    <xf numFmtId="0" fontId="51" fillId="9" borderId="4" xfId="0" applyFont="1" applyFill="1" applyBorder="1" applyAlignment="1" applyProtection="1">
      <alignment horizontal="center" vertical="center" wrapText="1"/>
      <protection locked="0"/>
    </xf>
    <xf numFmtId="0" fontId="51" fillId="9" borderId="1" xfId="0"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xf>
    <xf numFmtId="176" fontId="51" fillId="9" borderId="24" xfId="0" applyNumberFormat="1" applyFont="1" applyFill="1" applyBorder="1" applyAlignment="1" applyProtection="1">
      <alignment horizontal="center" vertical="center" wrapText="1"/>
    </xf>
    <xf numFmtId="0" fontId="51" fillId="9" borderId="0" xfId="0" applyFont="1" applyFill="1" applyAlignment="1" applyProtection="1">
      <alignment horizontal="center" vertical="center" wrapText="1"/>
    </xf>
    <xf numFmtId="0" fontId="48" fillId="9" borderId="1" xfId="0" applyFont="1" applyFill="1" applyBorder="1" applyAlignment="1" applyProtection="1">
      <alignment horizontal="center" vertical="center" wrapText="1"/>
      <protection locked="0"/>
    </xf>
    <xf numFmtId="0" fontId="48" fillId="9" borderId="2" xfId="0" applyFont="1" applyFill="1" applyBorder="1" applyAlignment="1" applyProtection="1">
      <alignment horizontal="center" vertical="center" wrapText="1"/>
      <protection locked="0"/>
    </xf>
    <xf numFmtId="176" fontId="48" fillId="9" borderId="1" xfId="0" applyNumberFormat="1" applyFont="1" applyFill="1" applyBorder="1" applyAlignment="1" applyProtection="1">
      <alignment horizontal="center" vertical="center" wrapText="1"/>
    </xf>
    <xf numFmtId="176" fontId="48" fillId="9" borderId="2" xfId="0" applyNumberFormat="1" applyFont="1" applyFill="1" applyBorder="1" applyAlignment="1" applyProtection="1">
      <alignment horizontal="center" vertical="center" wrapText="1"/>
      <protection locked="0"/>
    </xf>
    <xf numFmtId="176" fontId="48" fillId="9" borderId="2" xfId="0" applyNumberFormat="1" applyFont="1" applyFill="1" applyBorder="1" applyAlignment="1" applyProtection="1">
      <alignment horizontal="center" vertical="center" wrapText="1"/>
    </xf>
    <xf numFmtId="176" fontId="48" fillId="9" borderId="13" xfId="0" applyNumberFormat="1" applyFont="1" applyFill="1" applyBorder="1" applyAlignment="1" applyProtection="1">
      <alignment horizontal="center" vertical="center" wrapText="1"/>
    </xf>
    <xf numFmtId="176" fontId="48" fillId="9" borderId="1" xfId="0" applyNumberFormat="1" applyFont="1" applyFill="1" applyBorder="1" applyAlignment="1" applyProtection="1">
      <alignment vertical="center" wrapText="1"/>
      <protection locked="0"/>
    </xf>
    <xf numFmtId="176" fontId="48" fillId="9" borderId="1" xfId="0" applyNumberFormat="1" applyFont="1" applyFill="1" applyBorder="1" applyAlignment="1" applyProtection="1">
      <alignment horizontal="center" vertical="center" wrapText="1"/>
      <protection locked="0"/>
    </xf>
    <xf numFmtId="0" fontId="48" fillId="9" borderId="4" xfId="0" applyFont="1" applyFill="1" applyBorder="1" applyAlignment="1" applyProtection="1">
      <alignment horizontal="center" vertical="center" wrapText="1"/>
      <protection locked="0"/>
    </xf>
    <xf numFmtId="0" fontId="48" fillId="9" borderId="1" xfId="0" applyFont="1" applyFill="1" applyBorder="1" applyAlignment="1" applyProtection="1">
      <alignment horizontal="center" vertical="center" wrapText="1"/>
    </xf>
    <xf numFmtId="0" fontId="48" fillId="9" borderId="3" xfId="0" applyFont="1" applyFill="1" applyBorder="1" applyAlignment="1" applyProtection="1">
      <alignment horizontal="center" vertical="center" wrapText="1"/>
    </xf>
    <xf numFmtId="176" fontId="48" fillId="9" borderId="24" xfId="0" applyNumberFormat="1" applyFont="1" applyFill="1" applyBorder="1" applyAlignment="1" applyProtection="1">
      <alignment horizontal="center" vertical="center" wrapText="1"/>
    </xf>
    <xf numFmtId="0" fontId="48" fillId="9" borderId="0" xfId="0" applyFont="1" applyFill="1" applyAlignment="1" applyProtection="1">
      <alignment horizontal="center" vertical="center" wrapText="1"/>
    </xf>
    <xf numFmtId="1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5" fillId="0" borderId="63" xfId="0" applyFont="1" applyBorder="1">
      <alignment vertical="center"/>
    </xf>
    <xf numFmtId="0" fontId="255" fillId="0" borderId="64" xfId="0" applyFont="1" applyBorder="1">
      <alignment vertical="center"/>
    </xf>
    <xf numFmtId="0" fontId="255" fillId="0" borderId="65" xfId="0" applyFont="1" applyBorder="1">
      <alignmen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center" vertical="center"/>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257" fillId="0" borderId="160" xfId="0" applyFont="1" applyBorder="1" applyAlignment="1">
      <alignment vertical="center" wrapText="1"/>
    </xf>
    <xf numFmtId="0" fontId="257" fillId="0" borderId="158"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6</xdr:col>
      <xdr:colOff>356438</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13</xdr:col>
      <xdr:colOff>770590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13</xdr:col>
      <xdr:colOff>962025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6</xdr:col>
      <xdr:colOff>238735</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twoCellAnchor editAs="oneCell">
    <xdr:from>
      <xdr:col>0</xdr:col>
      <xdr:colOff>0</xdr:colOff>
      <xdr:row>91</xdr:row>
      <xdr:rowOff>0</xdr:rowOff>
    </xdr:from>
    <xdr:to>
      <xdr:col>6</xdr:col>
      <xdr:colOff>447675</xdr:colOff>
      <xdr:row>117</xdr:row>
      <xdr:rowOff>101579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4225"/>
          <a:ext cx="5629275" cy="43116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估价对象为北京市房地产，为所有。根据《国有土地使用证》[]，估价对象（分摊）出让国有建设用地使用权面积为10471.89平方米，建筑面积为72564.65平方米。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估价对象为北京市房地产,属开发建设的办公项目，该项目尚在开发建设中。根据《国有土地使用证》[]，估价对象（分摊）出让国有建设用地使用权面积为10471.89平方米，规划建筑面积为72564.65平方米。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为估价委托人在向中信信托办理贷款手续过程中，确定房地产抵押贷款额度提供参考依据而评估房地产抵押价值。</v>
      </c>
    </row>
    <row r="12" spans="1:2" s="1596" customFormat="1">
      <c r="A12" s="1594" t="s">
        <v>1226</v>
      </c>
      <c r="B12" s="1595" t="str">
        <f>'预评函-1'!A15</f>
        <v>2018年7月15日（评估专业人员实地查勘之日）</v>
      </c>
    </row>
    <row r="13" spans="1:2" s="1596" customFormat="1">
      <c r="A13" s="1594" t="s">
        <v>1227</v>
      </c>
      <c r="B13" s="1595"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45737</v>
      </c>
    </row>
    <row r="21" spans="1:2" s="1596" customFormat="1">
      <c r="A21" s="1594" t="s">
        <v>1235</v>
      </c>
      <c r="B21" s="1595">
        <f ca="1">'预评函-2'!D7</f>
        <v>6303</v>
      </c>
    </row>
    <row r="22" spans="1:2" s="1596" customFormat="1">
      <c r="A22" s="1594" t="s">
        <v>1236</v>
      </c>
      <c r="B22" s="1595" t="str">
        <f ca="1">'预评函-2'!D6</f>
        <v>肆亿伍仟柒佰叁拾柒万元整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45737</v>
      </c>
    </row>
    <row r="31" spans="1:2" s="1596" customFormat="1">
      <c r="A31" s="1594" t="s">
        <v>1274</v>
      </c>
      <c r="B31" s="1595">
        <f ca="1">'预评函-2'!D15</f>
        <v>6303</v>
      </c>
    </row>
    <row r="32" spans="1:2" s="1596" customFormat="1">
      <c r="A32" s="1594" t="s">
        <v>1241</v>
      </c>
      <c r="B32" s="1595" t="str">
        <f ca="1">'预评函-2'!D14</f>
        <v>肆亿伍仟柒佰叁拾柒万元整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72564.650000000038</v>
      </c>
    </row>
    <row r="44" spans="1:2" s="1596" customFormat="1">
      <c r="A44" s="1594" t="s">
        <v>1273</v>
      </c>
      <c r="B44" s="1595" t="str">
        <f>'预评函-3'!C2</f>
        <v>(分摊)土地面积</v>
      </c>
    </row>
    <row r="45" spans="1:2" s="1596" customFormat="1">
      <c r="A45" s="1594" t="s">
        <v>1245</v>
      </c>
      <c r="B45" s="1595">
        <f>'预评函-3'!C4</f>
        <v>10471.89</v>
      </c>
    </row>
    <row r="46" spans="1:2" s="1596" customFormat="1">
      <c r="A46" s="1594" t="s">
        <v>1271</v>
      </c>
      <c r="B46" s="1595" t="str">
        <f>'预评函-3'!D2</f>
        <v>出让国有建设用地使用权价值</v>
      </c>
    </row>
    <row r="47" spans="1:2" s="1596" customFormat="1">
      <c r="A47" s="1594" t="s">
        <v>1246</v>
      </c>
      <c r="B47" s="1595">
        <f ca="1">'预评函-3'!D4</f>
        <v>19804</v>
      </c>
    </row>
    <row r="48" spans="1:2" s="1596" customFormat="1">
      <c r="A48" s="1594" t="s">
        <v>1247</v>
      </c>
      <c r="B48" s="1595">
        <f ca="1">'预评函-3'!E4</f>
        <v>2729</v>
      </c>
    </row>
    <row r="49" spans="1:2" s="1596" customFormat="1">
      <c r="A49" s="1594" t="s">
        <v>1248</v>
      </c>
      <c r="B49" s="1595" t="str">
        <f ca="1">'预评函-3'!D5</f>
        <v>壹亿玖仟捌佰零肆万元整</v>
      </c>
    </row>
    <row r="50" spans="1:2" s="1596" customFormat="1">
      <c r="A50" s="1594" t="s">
        <v>1272</v>
      </c>
      <c r="B50" s="1595" t="str">
        <f>'预评函-3'!F2</f>
        <v>在建建筑物价值</v>
      </c>
    </row>
    <row r="51" spans="1:2" s="1596" customFormat="1">
      <c r="A51" s="1594" t="s">
        <v>1249</v>
      </c>
      <c r="B51" s="1595">
        <f ca="1">'预评函-3'!F4</f>
        <v>25933</v>
      </c>
    </row>
    <row r="52" spans="1:2" s="1596" customFormat="1">
      <c r="A52" s="1594" t="s">
        <v>1250</v>
      </c>
      <c r="B52" s="1595">
        <f ca="1">'预评函-3'!G4</f>
        <v>3574</v>
      </c>
    </row>
    <row r="53" spans="1:2" s="1596" customFormat="1">
      <c r="A53" s="1594" t="s">
        <v>1278</v>
      </c>
      <c r="B53" s="1595" t="str">
        <f ca="1">'预评函-3'!F5</f>
        <v>贰亿伍仟玖佰叁拾叁万元整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3473</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2025" t="s">
        <v>864</v>
      </c>
      <c r="C54" s="2022" t="s">
        <v>1281</v>
      </c>
    </row>
    <row r="55" spans="1:4">
      <c r="A55" s="3065"/>
      <c r="B55" s="2025" t="s">
        <v>865</v>
      </c>
      <c r="C55" s="2022" t="s">
        <v>1282</v>
      </c>
    </row>
    <row r="56" spans="1:4">
      <c r="A56" s="3065"/>
      <c r="B56" s="2025" t="s">
        <v>866</v>
      </c>
      <c r="C56" s="2022" t="s">
        <v>1286</v>
      </c>
    </row>
    <row r="57" spans="1:4">
      <c r="A57" s="306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74" t="str">
        <f>IF(B10="北京市","北京市",C10)&amp;F10&amp;IF(结果表!G1="在建","出让国有建设用地使用权及在建建筑物",IF(结果表!G1="土地","出让国有建设用地使用权",))&amp;B9&amp;"预评估"</f>
        <v>北京市房地产抵押价值预评估</v>
      </c>
      <c r="C1" s="3075"/>
      <c r="D1" s="3075"/>
      <c r="E1" s="3075"/>
      <c r="F1" s="3075"/>
      <c r="G1" s="3075"/>
      <c r="H1" s="3075"/>
      <c r="I1" s="307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43296</v>
      </c>
      <c r="C3" s="2040" t="s">
        <v>1779</v>
      </c>
      <c r="D3" s="2039">
        <f>B3</f>
        <v>43296</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1120140022</v>
      </c>
      <c r="D4" s="2042" t="s">
        <v>3053</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68" t="s">
        <v>3462</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3054</v>
      </c>
      <c r="C8" s="2058"/>
      <c r="D8" s="3077" t="s">
        <v>1785</v>
      </c>
      <c r="E8" s="2059" t="s">
        <v>3055</v>
      </c>
      <c r="F8" s="2060"/>
      <c r="G8" s="2029"/>
      <c r="H8" s="2029"/>
      <c r="I8" s="2029"/>
      <c r="J8" s="2045"/>
      <c r="K8" s="2046"/>
      <c r="L8" s="2031"/>
      <c r="M8" s="2031"/>
      <c r="N8" s="2032"/>
      <c r="O8" s="2033"/>
      <c r="P8" s="2032"/>
      <c r="Q8" s="2032"/>
      <c r="R8" s="2032"/>
    </row>
    <row r="9" spans="1:19" ht="18" customHeight="1" thickBot="1">
      <c r="A9" s="2043" t="s">
        <v>1786</v>
      </c>
      <c r="B9" s="2061" t="s">
        <v>3055</v>
      </c>
      <c r="C9" s="2062"/>
      <c r="D9" s="3078"/>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v>55026</v>
      </c>
      <c r="F13" s="2082"/>
      <c r="G13" s="2082">
        <v>55026</v>
      </c>
      <c r="H13" s="2082"/>
      <c r="I13" s="1050"/>
      <c r="J13" s="2045"/>
      <c r="K13" s="2056"/>
      <c r="L13" s="2031"/>
      <c r="M13" s="2031"/>
      <c r="N13" s="2032"/>
      <c r="O13" s="2033"/>
      <c r="P13" s="2032"/>
      <c r="Q13" s="2032"/>
      <c r="R13" s="2032"/>
    </row>
    <row r="14" spans="1:19" ht="18" customHeight="1">
      <c r="A14" s="2079"/>
      <c r="B14" s="2080"/>
      <c r="C14" s="2081" t="s">
        <v>1799</v>
      </c>
      <c r="D14" s="1053"/>
      <c r="E14" s="1053">
        <v>40</v>
      </c>
      <c r="F14" s="1053"/>
      <c r="G14" s="1053">
        <v>40</v>
      </c>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f>IF(B12="出让",IF(E13="","",ROUNDDOWN(MIN((E13-$D$3)/365,E14),2)),E14)</f>
        <v>32.130000000000003</v>
      </c>
      <c r="F15" s="1052" t="str">
        <f>IF(B12="出让",IF(F13="","",ROUNDDOWN(MIN((F13-$D$3)/365,F14),2)),F14)</f>
        <v/>
      </c>
      <c r="G15" s="1052">
        <f>IF(B12="出让",IF(G13="","",ROUNDDOWN(MIN((G13-$D$3)/365,G14),2)),G14)</f>
        <v>32.130000000000003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84"/>
      <c r="C16" s="3085"/>
      <c r="D16" s="3086"/>
      <c r="E16" s="2088" t="s">
        <v>1802</v>
      </c>
      <c r="F16" s="3087"/>
      <c r="G16" s="3088"/>
      <c r="H16" s="3088"/>
      <c r="I16" s="3089"/>
      <c r="J16" s="2032"/>
      <c r="K16" s="2085"/>
      <c r="L16" s="2086"/>
      <c r="M16" s="2086"/>
      <c r="N16" s="2087"/>
      <c r="O16" s="2086"/>
      <c r="P16" s="2087"/>
      <c r="Q16" s="2032"/>
      <c r="R16" s="2032"/>
    </row>
    <row r="17" spans="1:22" ht="18" customHeight="1">
      <c r="A17" s="2089" t="s">
        <v>1803</v>
      </c>
      <c r="B17" s="2038" t="s">
        <v>1804</v>
      </c>
      <c r="C17" s="1057">
        <f>'数据-汇总表'!E3</f>
        <v>72564.650000000038</v>
      </c>
      <c r="D17" s="2090" t="s">
        <v>1805</v>
      </c>
      <c r="E17" s="3090" t="s">
        <v>1806</v>
      </c>
      <c r="F17" s="3091"/>
      <c r="G17" s="3091"/>
      <c r="H17" s="3091"/>
      <c r="I17" s="3092"/>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10471.89</v>
      </c>
      <c r="D18" s="2093" t="s">
        <v>1805</v>
      </c>
      <c r="E18" s="3093" t="s">
        <v>1809</v>
      </c>
      <c r="F18" s="3094"/>
      <c r="G18" s="3094"/>
      <c r="H18" s="3094"/>
      <c r="I18" s="3095"/>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80" t="s">
        <v>1814</v>
      </c>
      <c r="C20" s="3081"/>
      <c r="D20" s="3082" t="s">
        <v>1815</v>
      </c>
      <c r="E20" s="3083"/>
      <c r="F20" s="2100" t="s">
        <v>1816</v>
      </c>
      <c r="G20" s="2045"/>
      <c r="H20" s="2045"/>
      <c r="I20" s="2045"/>
      <c r="J20" s="2045"/>
      <c r="K20" s="307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7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7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67" t="s">
        <v>1829</v>
      </c>
      <c r="B27" s="2065" t="s">
        <v>1830</v>
      </c>
      <c r="C27" s="2122" t="s">
        <v>3453</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67"/>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67"/>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68"/>
      <c r="B30" s="2038" t="s">
        <v>1833</v>
      </c>
      <c r="C30" s="3069"/>
      <c r="D30" s="307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71" t="s">
        <v>1834</v>
      </c>
      <c r="B31" s="2129" t="s">
        <v>3454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72"/>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72"/>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66" t="s">
        <v>1843</v>
      </c>
      <c r="T34" s="2137" t="str">
        <f>NUMBERSTRING(7-K34,1)&amp;"通"</f>
        <v>七通</v>
      </c>
      <c r="U34" s="2032"/>
      <c r="V34" s="2032"/>
    </row>
    <row r="35" spans="1:22" ht="18" customHeight="1">
      <c r="A35" s="2138"/>
      <c r="B35" s="3073" t="s">
        <v>1844</v>
      </c>
      <c r="C35" s="3073"/>
      <c r="D35" s="3073"/>
      <c r="E35" s="3073"/>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6"/>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77" sqref="A77:XFD7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10609</v>
      </c>
      <c r="B3" s="14">
        <f>IF(C3="否",G5-AT5,G5)</f>
        <v>73514.720000000045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73514.720000000045</v>
      </c>
      <c r="H5" s="16">
        <f t="shared" ref="H5:AT5" si="0">SUM(H13:H656)</f>
        <v>73514.720000000045</v>
      </c>
      <c r="I5" s="16">
        <f t="shared" si="0"/>
        <v>58289.510000000009</v>
      </c>
      <c r="J5" s="16">
        <f t="shared" si="0"/>
        <v>0</v>
      </c>
      <c r="K5" s="16">
        <f t="shared" si="0"/>
        <v>0</v>
      </c>
      <c r="L5" s="16">
        <f t="shared" si="0"/>
        <v>0</v>
      </c>
      <c r="M5" s="16">
        <f t="shared" si="0"/>
        <v>15225.21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72564.650000000038</v>
      </c>
      <c r="BA5" s="18">
        <f t="shared" si="1"/>
        <v>72564.650000000038</v>
      </c>
      <c r="BB5" s="18">
        <f t="shared" si="1"/>
        <v>57339.44000000001</v>
      </c>
      <c r="BC5" s="18">
        <f t="shared" si="1"/>
        <v>0</v>
      </c>
      <c r="BD5" s="18">
        <f t="shared" si="1"/>
        <v>15225.21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10609</v>
      </c>
      <c r="F6" s="16" t="s">
        <v>1</v>
      </c>
      <c r="G6" s="16" t="s">
        <v>2</v>
      </c>
      <c r="H6" s="20">
        <f>SUMIF(I$12:AB$12,"总值",I6:AB6)</f>
        <v>10609</v>
      </c>
      <c r="I6" s="16">
        <f t="shared" ref="I6:AB6" si="2">ROUND($A$3*I5/$B$3,2)</f>
        <v>8411.83</v>
      </c>
      <c r="J6" s="16">
        <f t="shared" si="2"/>
        <v>0</v>
      </c>
      <c r="K6" s="16">
        <f t="shared" si="2"/>
        <v>0</v>
      </c>
      <c r="L6" s="16">
        <f t="shared" si="2"/>
        <v>0</v>
      </c>
      <c r="M6" s="16">
        <f t="shared" si="2"/>
        <v>2197.17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10471.89</v>
      </c>
      <c r="AZ6" s="16" t="s">
        <v>3</v>
      </c>
      <c r="BA6" s="16">
        <f>ROUND($AY$6*BA5/$AZ$5,2)</f>
        <v>10471.89</v>
      </c>
      <c r="BB6" s="16">
        <f>ROUND($AY$6*BB5/$AZ$5,2)</f>
        <v>8274.7199999999993</v>
      </c>
      <c r="BC6" s="16">
        <f t="shared" ref="BC6:BH6" si="4">ROUND($AY$6*BC5/$AZ$5,2)</f>
        <v>0</v>
      </c>
      <c r="BD6" s="16">
        <f t="shared" si="4"/>
        <v>2197.17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3059</v>
      </c>
      <c r="J9" s="984"/>
      <c r="K9" s="2194" t="s">
        <v>3275</v>
      </c>
      <c r="L9" s="984"/>
      <c r="M9" s="2194" t="s">
        <v>3275</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3276</v>
      </c>
      <c r="L10" s="984"/>
      <c r="M10" s="2200" t="s">
        <v>3651</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t="s">
        <v>70</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t="str">
        <f>M10</f>
        <v>车库—办公</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t="str">
        <f>M11</f>
        <v>——</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51">
      <c r="A13" s="1275"/>
      <c r="B13" s="1275" t="s">
        <v>3060</v>
      </c>
      <c r="C13" s="2156" t="s">
        <v>3061</v>
      </c>
      <c r="D13" s="2956" t="s">
        <v>3272</v>
      </c>
      <c r="E13" s="16">
        <f>IF($C$3="是",ROUND($A$3*G13/$B$3,2),ROUND($A$3*(G13-AT13)/$B$3,2))</f>
        <v>1104.17</v>
      </c>
      <c r="F13" s="32"/>
      <c r="G13" s="33">
        <f>H13+AC13+AT13</f>
        <v>7651.29</v>
      </c>
      <c r="H13" s="20">
        <f>SUMIF(I$12:AB$12,"总值",I13:AB13)</f>
        <v>7651.29</v>
      </c>
      <c r="I13" s="2216"/>
      <c r="J13" s="2216"/>
      <c r="K13" s="2216"/>
      <c r="L13" s="2216"/>
      <c r="M13" s="2216">
        <v>7651.29</v>
      </c>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镇房权证字第0401003087100110号</v>
      </c>
      <c r="AX13" s="11" t="str">
        <f t="shared" si="6"/>
        <v>大港港南路401号负1层101室</v>
      </c>
      <c r="AY13" s="2983">
        <f>ROUND($AY$6*AZ13/$AZ$5,2)</f>
        <v>1104.17</v>
      </c>
      <c r="AZ13" s="16">
        <f>BA13+BL13</f>
        <v>7651.29</v>
      </c>
      <c r="BA13" s="16">
        <f>SUM(BB13:BK13)</f>
        <v>7651.29</v>
      </c>
      <c r="BB13" s="16">
        <f>IF($D13="是",I13-J13,0)</f>
        <v>0</v>
      </c>
      <c r="BC13" s="16">
        <f>IF($D13="是",K13-L13,0)</f>
        <v>0</v>
      </c>
      <c r="BD13" s="16">
        <f>IF($D13="是",M13-N13,0)</f>
        <v>7651.29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51">
      <c r="A14" s="1275"/>
      <c r="B14" s="1275" t="s">
        <v>3062</v>
      </c>
      <c r="C14" s="2156" t="s">
        <v>3063</v>
      </c>
      <c r="D14" s="2956" t="s">
        <v>3272</v>
      </c>
      <c r="E14" s="16">
        <f>IF($C$3="是",ROUND($A$3*G14/$B$3,2),ROUND($A$3*(G14-AT14)/$B$3,2))</f>
        <v>1093</v>
      </c>
      <c r="F14" s="32"/>
      <c r="G14" s="33">
        <f>H14+AC14+AT14</f>
        <v>7573.92</v>
      </c>
      <c r="H14" s="20">
        <f>SUMIF(I$12:AB$12,"总值",I14:AB14)</f>
        <v>7573.92</v>
      </c>
      <c r="I14" s="2216"/>
      <c r="J14" s="2216"/>
      <c r="K14" s="2216"/>
      <c r="L14" s="2216"/>
      <c r="M14" s="2216">
        <v>7573.92</v>
      </c>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镇房权证字第0401003096100110号</v>
      </c>
      <c r="AX14" s="11" t="str">
        <f t="shared" si="6"/>
        <v>大港港南路401号负2层201室</v>
      </c>
      <c r="AY14" s="2983">
        <f>ROUND($AY$6*AZ14/$AZ$5,2)</f>
        <v>1093</v>
      </c>
      <c r="AZ14" s="16">
        <f>BA14+BL14</f>
        <v>7573.92</v>
      </c>
      <c r="BA14" s="16">
        <f>SUM(BB14:BK14)</f>
        <v>7573.92</v>
      </c>
      <c r="BB14" s="16">
        <f>IF($D14="是",I14-J14,0)</f>
        <v>0</v>
      </c>
      <c r="BC14" s="16">
        <f>IF($D14="是",K14-L14,0)</f>
        <v>0</v>
      </c>
      <c r="BD14" s="16">
        <f>IF($D14="是",M14-N14,0)</f>
        <v>7573.92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hidden="1">
      <c r="A15" s="1275"/>
      <c r="B15" s="1275"/>
      <c r="C15" s="2156"/>
      <c r="D15" s="2956" t="s">
        <v>3274</v>
      </c>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29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hidden="1">
      <c r="A16" s="1275"/>
      <c r="B16" s="1275"/>
      <c r="C16" s="2156"/>
      <c r="D16" s="2956" t="s">
        <v>3274</v>
      </c>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29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hidden="1">
      <c r="A17" s="1275"/>
      <c r="B17" s="1275"/>
      <c r="C17" s="2156"/>
      <c r="D17" s="2956" t="s">
        <v>3274</v>
      </c>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29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70" customFormat="1" ht="12.75" hidden="1">
      <c r="A18" s="1275"/>
      <c r="B18" s="1275"/>
      <c r="C18" s="2156"/>
      <c r="D18" s="2956" t="s">
        <v>3274</v>
      </c>
      <c r="E18" s="16">
        <f t="shared" ref="E18:E112" si="7">IF($C$3="是",ROUND($A$3*G18/$B$3,2),ROUND($A$3*(G18-AT18)/$B$3,2))</f>
        <v>0</v>
      </c>
      <c r="F18" s="32"/>
      <c r="G18" s="33">
        <f t="shared" ref="G18:G109" si="8">H18+AC18+AT18</f>
        <v>0</v>
      </c>
      <c r="H18" s="20">
        <f t="shared" ref="H18:H109" si="9">SUMIF(I$12:AB$12,"总值",I18:AB18)</f>
        <v>0</v>
      </c>
      <c r="I18" s="2216"/>
      <c r="J18" s="2216"/>
      <c r="K18" s="2216"/>
      <c r="L18" s="2216"/>
      <c r="M18" s="2216"/>
      <c r="N18" s="2216"/>
      <c r="O18" s="2216"/>
      <c r="P18" s="2216"/>
      <c r="Q18" s="2216"/>
      <c r="R18" s="2216"/>
      <c r="S18" s="2216"/>
      <c r="T18" s="2216"/>
      <c r="U18" s="2216"/>
      <c r="V18" s="2216"/>
      <c r="W18" s="2216"/>
      <c r="X18" s="2216"/>
      <c r="Y18" s="2216"/>
      <c r="Z18" s="2216"/>
      <c r="AA18" s="2216"/>
      <c r="AB18" s="2216"/>
      <c r="AC18" s="16">
        <f t="shared" ref="AC18:AC109" si="10">SUMIF(AD$12:AS$12,"总值",AD18:AS18)</f>
        <v>0</v>
      </c>
      <c r="AD18" s="2217"/>
      <c r="AE18" s="2217"/>
      <c r="AF18" s="2217"/>
      <c r="AG18" s="2217"/>
      <c r="AH18" s="2217"/>
      <c r="AI18" s="2217"/>
      <c r="AJ18" s="2217"/>
      <c r="AK18" s="2217"/>
      <c r="AL18" s="2217"/>
      <c r="AM18" s="2217"/>
      <c r="AN18" s="2217"/>
      <c r="AO18" s="2217"/>
      <c r="AP18" s="2217"/>
      <c r="AQ18" s="2217"/>
      <c r="AR18" s="2217"/>
      <c r="AS18" s="2217"/>
      <c r="AT18" s="2218"/>
      <c r="AU18" s="2219"/>
      <c r="AV18" s="11">
        <f t="shared" ref="AV18:AV112" si="11">A18</f>
        <v>0</v>
      </c>
      <c r="AW18" s="11">
        <f t="shared" ref="AW18:AW112" si="12">B18</f>
        <v>0</v>
      </c>
      <c r="AX18" s="11">
        <f t="shared" ref="AX18:AX112" si="13">C18</f>
        <v>0</v>
      </c>
      <c r="AY18" s="298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70" customFormat="1" ht="12.75" hidden="1">
      <c r="A19" s="1275"/>
      <c r="B19" s="1275"/>
      <c r="C19" s="2156"/>
      <c r="D19" s="2956" t="s">
        <v>3274</v>
      </c>
      <c r="E19" s="16">
        <f t="shared" si="7"/>
        <v>0</v>
      </c>
      <c r="F19" s="32"/>
      <c r="G19" s="33">
        <f t="shared" si="8"/>
        <v>0</v>
      </c>
      <c r="H19" s="20">
        <f t="shared" si="9"/>
        <v>0</v>
      </c>
      <c r="I19" s="2216"/>
      <c r="J19" s="2216"/>
      <c r="K19" s="2216"/>
      <c r="L19" s="2216"/>
      <c r="M19" s="2216"/>
      <c r="N19" s="2216"/>
      <c r="O19" s="2216"/>
      <c r="P19" s="2216"/>
      <c r="Q19" s="2216"/>
      <c r="R19" s="2216"/>
      <c r="S19" s="2216"/>
      <c r="T19" s="2216"/>
      <c r="U19" s="2216"/>
      <c r="V19" s="2216"/>
      <c r="W19" s="2216"/>
      <c r="X19" s="2216"/>
      <c r="Y19" s="2216"/>
      <c r="Z19" s="2216"/>
      <c r="AA19" s="2216"/>
      <c r="AB19" s="2216"/>
      <c r="AC19" s="16">
        <f t="shared" si="10"/>
        <v>0</v>
      </c>
      <c r="AD19" s="2217"/>
      <c r="AE19" s="2217"/>
      <c r="AF19" s="2217"/>
      <c r="AG19" s="2217"/>
      <c r="AH19" s="2217"/>
      <c r="AI19" s="2217"/>
      <c r="AJ19" s="2217"/>
      <c r="AK19" s="2217"/>
      <c r="AL19" s="2217"/>
      <c r="AM19" s="2217"/>
      <c r="AN19" s="2217"/>
      <c r="AO19" s="2217"/>
      <c r="AP19" s="2217"/>
      <c r="AQ19" s="2217"/>
      <c r="AR19" s="2217"/>
      <c r="AS19" s="2217"/>
      <c r="AT19" s="2218"/>
      <c r="AU19" s="2219"/>
      <c r="AV19" s="11">
        <f t="shared" si="11"/>
        <v>0</v>
      </c>
      <c r="AW19" s="11">
        <f t="shared" si="12"/>
        <v>0</v>
      </c>
      <c r="AX19" s="11">
        <f t="shared" si="13"/>
        <v>0</v>
      </c>
      <c r="AY19" s="298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70" customFormat="1" ht="12.75" hidden="1">
      <c r="A20" s="1275"/>
      <c r="B20" s="1275"/>
      <c r="C20" s="2156"/>
      <c r="D20" s="2956" t="s">
        <v>3274</v>
      </c>
      <c r="E20" s="16">
        <f t="shared" si="7"/>
        <v>0</v>
      </c>
      <c r="F20" s="32"/>
      <c r="G20" s="33">
        <f t="shared" si="8"/>
        <v>0</v>
      </c>
      <c r="H20" s="20">
        <f t="shared" si="9"/>
        <v>0</v>
      </c>
      <c r="I20" s="2216"/>
      <c r="J20" s="2216"/>
      <c r="K20" s="2216"/>
      <c r="L20" s="2216"/>
      <c r="M20" s="2216"/>
      <c r="N20" s="2216"/>
      <c r="O20" s="2216"/>
      <c r="P20" s="2216"/>
      <c r="Q20" s="2216"/>
      <c r="R20" s="2216"/>
      <c r="S20" s="2216"/>
      <c r="T20" s="2216"/>
      <c r="U20" s="2216"/>
      <c r="V20" s="2216"/>
      <c r="W20" s="2216"/>
      <c r="X20" s="2216"/>
      <c r="Y20" s="2216"/>
      <c r="Z20" s="2216"/>
      <c r="AA20" s="2216"/>
      <c r="AB20" s="2216"/>
      <c r="AC20" s="16">
        <f t="shared" si="10"/>
        <v>0</v>
      </c>
      <c r="AD20" s="2217"/>
      <c r="AE20" s="2217"/>
      <c r="AF20" s="2217"/>
      <c r="AG20" s="2217"/>
      <c r="AH20" s="2217"/>
      <c r="AI20" s="2217"/>
      <c r="AJ20" s="2217"/>
      <c r="AK20" s="2217"/>
      <c r="AL20" s="2217"/>
      <c r="AM20" s="2217"/>
      <c r="AN20" s="2217"/>
      <c r="AO20" s="2217"/>
      <c r="AP20" s="2217"/>
      <c r="AQ20" s="2217"/>
      <c r="AR20" s="2217"/>
      <c r="AS20" s="2217"/>
      <c r="AT20" s="2218"/>
      <c r="AU20" s="2219"/>
      <c r="AV20" s="11">
        <f t="shared" si="11"/>
        <v>0</v>
      </c>
      <c r="AW20" s="11">
        <f t="shared" si="12"/>
        <v>0</v>
      </c>
      <c r="AX20" s="11">
        <f t="shared" si="13"/>
        <v>0</v>
      </c>
      <c r="AY20" s="298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70" customFormat="1" ht="12.75" hidden="1">
      <c r="A21" s="1275"/>
      <c r="B21" s="1275"/>
      <c r="C21" s="2156"/>
      <c r="D21" s="2956" t="s">
        <v>3274</v>
      </c>
      <c r="E21" s="16">
        <f t="shared" si="7"/>
        <v>0</v>
      </c>
      <c r="F21" s="32"/>
      <c r="G21" s="33">
        <f t="shared" si="8"/>
        <v>0</v>
      </c>
      <c r="H21" s="20">
        <f t="shared" si="9"/>
        <v>0</v>
      </c>
      <c r="I21" s="2216"/>
      <c r="J21" s="2216"/>
      <c r="K21" s="2216"/>
      <c r="L21" s="2216"/>
      <c r="M21" s="2216"/>
      <c r="N21" s="2216"/>
      <c r="O21" s="2216"/>
      <c r="P21" s="2216"/>
      <c r="Q21" s="2216"/>
      <c r="R21" s="2216"/>
      <c r="S21" s="2216"/>
      <c r="T21" s="2216"/>
      <c r="U21" s="2216"/>
      <c r="V21" s="2216"/>
      <c r="W21" s="2216"/>
      <c r="X21" s="2216"/>
      <c r="Y21" s="2216"/>
      <c r="Z21" s="2216"/>
      <c r="AA21" s="2216"/>
      <c r="AB21" s="2216"/>
      <c r="AC21" s="16">
        <f t="shared" si="10"/>
        <v>0</v>
      </c>
      <c r="AD21" s="2217"/>
      <c r="AE21" s="2217"/>
      <c r="AF21" s="2217"/>
      <c r="AG21" s="2217"/>
      <c r="AH21" s="2217"/>
      <c r="AI21" s="2217"/>
      <c r="AJ21" s="2217"/>
      <c r="AK21" s="2217"/>
      <c r="AL21" s="2217"/>
      <c r="AM21" s="2217"/>
      <c r="AN21" s="2217"/>
      <c r="AO21" s="2217"/>
      <c r="AP21" s="2217"/>
      <c r="AQ21" s="2217"/>
      <c r="AR21" s="2217"/>
      <c r="AS21" s="2217"/>
      <c r="AT21" s="2218"/>
      <c r="AU21" s="2219"/>
      <c r="AV21" s="11">
        <f t="shared" si="11"/>
        <v>0</v>
      </c>
      <c r="AW21" s="11">
        <f t="shared" si="12"/>
        <v>0</v>
      </c>
      <c r="AX21" s="11">
        <f t="shared" si="13"/>
        <v>0</v>
      </c>
      <c r="AY21" s="298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70" customFormat="1" ht="12.75" hidden="1">
      <c r="A22" s="1275"/>
      <c r="B22" s="1275"/>
      <c r="C22" s="2156"/>
      <c r="D22" s="2956" t="s">
        <v>3274</v>
      </c>
      <c r="E22" s="16">
        <f t="shared" si="7"/>
        <v>0</v>
      </c>
      <c r="F22" s="32"/>
      <c r="G22" s="33">
        <f t="shared" si="8"/>
        <v>0</v>
      </c>
      <c r="H22" s="20">
        <f t="shared" si="9"/>
        <v>0</v>
      </c>
      <c r="I22" s="2216"/>
      <c r="J22" s="2216"/>
      <c r="K22" s="2216"/>
      <c r="L22" s="2216"/>
      <c r="M22" s="2216"/>
      <c r="N22" s="2216"/>
      <c r="O22" s="2216"/>
      <c r="P22" s="2216"/>
      <c r="Q22" s="2216"/>
      <c r="R22" s="2216"/>
      <c r="S22" s="2216"/>
      <c r="T22" s="2216"/>
      <c r="U22" s="2216"/>
      <c r="V22" s="2216"/>
      <c r="W22" s="2216"/>
      <c r="X22" s="2216"/>
      <c r="Y22" s="2216"/>
      <c r="Z22" s="2216"/>
      <c r="AA22" s="2216"/>
      <c r="AB22" s="2216"/>
      <c r="AC22" s="16">
        <f t="shared" si="10"/>
        <v>0</v>
      </c>
      <c r="AD22" s="2217"/>
      <c r="AE22" s="2217"/>
      <c r="AF22" s="2217"/>
      <c r="AG22" s="2217"/>
      <c r="AH22" s="2217"/>
      <c r="AI22" s="2217"/>
      <c r="AJ22" s="2217"/>
      <c r="AK22" s="2217"/>
      <c r="AL22" s="2217"/>
      <c r="AM22" s="2217"/>
      <c r="AN22" s="2217"/>
      <c r="AO22" s="2217"/>
      <c r="AP22" s="2217"/>
      <c r="AQ22" s="2217"/>
      <c r="AR22" s="2217"/>
      <c r="AS22" s="2217"/>
      <c r="AT22" s="2218"/>
      <c r="AU22" s="2219"/>
      <c r="AV22" s="11">
        <f t="shared" si="11"/>
        <v>0</v>
      </c>
      <c r="AW22" s="11">
        <f t="shared" si="12"/>
        <v>0</v>
      </c>
      <c r="AX22" s="11">
        <f t="shared" si="13"/>
        <v>0</v>
      </c>
      <c r="AY22" s="298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70" customFormat="1" ht="12.75" hidden="1">
      <c r="A23" s="1275"/>
      <c r="B23" s="1275"/>
      <c r="C23" s="2156"/>
      <c r="D23" s="2956" t="s">
        <v>3274</v>
      </c>
      <c r="E23" s="16">
        <f t="shared" si="7"/>
        <v>0</v>
      </c>
      <c r="F23" s="32"/>
      <c r="G23" s="33">
        <f t="shared" si="8"/>
        <v>0</v>
      </c>
      <c r="H23" s="20">
        <f t="shared" si="9"/>
        <v>0</v>
      </c>
      <c r="I23" s="2216"/>
      <c r="J23" s="2216"/>
      <c r="K23" s="2216"/>
      <c r="L23" s="2216"/>
      <c r="M23" s="2216"/>
      <c r="N23" s="2216"/>
      <c r="O23" s="2216"/>
      <c r="P23" s="2216"/>
      <c r="Q23" s="2216"/>
      <c r="R23" s="2216"/>
      <c r="S23" s="2216"/>
      <c r="T23" s="2216"/>
      <c r="U23" s="2216"/>
      <c r="V23" s="2216"/>
      <c r="W23" s="2216"/>
      <c r="X23" s="2216"/>
      <c r="Y23" s="2216"/>
      <c r="Z23" s="2216"/>
      <c r="AA23" s="2216"/>
      <c r="AB23" s="2216"/>
      <c r="AC23" s="16">
        <f t="shared" si="10"/>
        <v>0</v>
      </c>
      <c r="AD23" s="2217"/>
      <c r="AE23" s="2217"/>
      <c r="AF23" s="2217"/>
      <c r="AG23" s="2217"/>
      <c r="AH23" s="2217"/>
      <c r="AI23" s="2217"/>
      <c r="AJ23" s="2217"/>
      <c r="AK23" s="2217"/>
      <c r="AL23" s="2217"/>
      <c r="AM23" s="2217"/>
      <c r="AN23" s="2217"/>
      <c r="AO23" s="2217"/>
      <c r="AP23" s="2217"/>
      <c r="AQ23" s="2217"/>
      <c r="AR23" s="2217"/>
      <c r="AS23" s="2217"/>
      <c r="AT23" s="2218"/>
      <c r="AU23" s="2219"/>
      <c r="AV23" s="11">
        <f t="shared" si="11"/>
        <v>0</v>
      </c>
      <c r="AW23" s="11">
        <f t="shared" si="12"/>
        <v>0</v>
      </c>
      <c r="AX23" s="11">
        <f t="shared" si="13"/>
        <v>0</v>
      </c>
      <c r="AY23" s="2983">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70" customFormat="1" ht="12.75" hidden="1">
      <c r="A24" s="1275"/>
      <c r="B24" s="1275"/>
      <c r="C24" s="2156"/>
      <c r="D24" s="2956" t="s">
        <v>3274</v>
      </c>
      <c r="E24" s="16">
        <f t="shared" si="7"/>
        <v>0</v>
      </c>
      <c r="F24" s="32"/>
      <c r="G24" s="33">
        <f t="shared" si="8"/>
        <v>0</v>
      </c>
      <c r="H24" s="20">
        <f t="shared" si="9"/>
        <v>0</v>
      </c>
      <c r="I24" s="2216"/>
      <c r="J24" s="2216"/>
      <c r="K24" s="2216"/>
      <c r="L24" s="2216"/>
      <c r="M24" s="2216"/>
      <c r="N24" s="2216"/>
      <c r="O24" s="2216"/>
      <c r="P24" s="2216"/>
      <c r="Q24" s="2216"/>
      <c r="R24" s="2216"/>
      <c r="S24" s="2216"/>
      <c r="T24" s="2216"/>
      <c r="U24" s="2216"/>
      <c r="V24" s="2216"/>
      <c r="W24" s="2216"/>
      <c r="X24" s="2216"/>
      <c r="Y24" s="2216"/>
      <c r="Z24" s="2216"/>
      <c r="AA24" s="2216"/>
      <c r="AB24" s="2216"/>
      <c r="AC24" s="16">
        <f t="shared" si="10"/>
        <v>0</v>
      </c>
      <c r="AD24" s="2217"/>
      <c r="AE24" s="2217"/>
      <c r="AF24" s="2217"/>
      <c r="AG24" s="2217"/>
      <c r="AH24" s="2217"/>
      <c r="AI24" s="2217"/>
      <c r="AJ24" s="2217"/>
      <c r="AK24" s="2217"/>
      <c r="AL24" s="2217"/>
      <c r="AM24" s="2217"/>
      <c r="AN24" s="2217"/>
      <c r="AO24" s="2217"/>
      <c r="AP24" s="2217"/>
      <c r="AQ24" s="2217"/>
      <c r="AR24" s="2217"/>
      <c r="AS24" s="2217"/>
      <c r="AT24" s="2218"/>
      <c r="AU24" s="2219"/>
      <c r="AV24" s="11">
        <f t="shared" si="11"/>
        <v>0</v>
      </c>
      <c r="AW24" s="11">
        <f t="shared" si="12"/>
        <v>0</v>
      </c>
      <c r="AX24" s="11">
        <f t="shared" si="13"/>
        <v>0</v>
      </c>
      <c r="AY24" s="298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70" customFormat="1" ht="51">
      <c r="A25" s="1275"/>
      <c r="B25" s="1275" t="s">
        <v>3084</v>
      </c>
      <c r="C25" s="2156" t="s">
        <v>3085</v>
      </c>
      <c r="D25" s="2956" t="s">
        <v>3273</v>
      </c>
      <c r="E25" s="16">
        <f t="shared" si="7"/>
        <v>77.010000000000005</v>
      </c>
      <c r="F25" s="32"/>
      <c r="G25" s="33">
        <f t="shared" si="8"/>
        <v>533.66999999999996</v>
      </c>
      <c r="H25" s="20">
        <f t="shared" si="9"/>
        <v>533.66999999999996</v>
      </c>
      <c r="I25" s="2216">
        <v>533.66999999999996</v>
      </c>
      <c r="J25" s="2216"/>
      <c r="K25" s="2216"/>
      <c r="L25" s="2216"/>
      <c r="M25" s="2216"/>
      <c r="N25" s="2216"/>
      <c r="O25" s="2216"/>
      <c r="P25" s="2216"/>
      <c r="Q25" s="2216"/>
      <c r="R25" s="2216"/>
      <c r="S25" s="2216"/>
      <c r="T25" s="2216"/>
      <c r="U25" s="2216"/>
      <c r="V25" s="2216"/>
      <c r="W25" s="2216"/>
      <c r="X25" s="2216"/>
      <c r="Y25" s="2216"/>
      <c r="Z25" s="2216"/>
      <c r="AA25" s="2216"/>
      <c r="AB25" s="2216"/>
      <c r="AC25" s="16">
        <f t="shared" si="10"/>
        <v>0</v>
      </c>
      <c r="AD25" s="2217"/>
      <c r="AE25" s="2217"/>
      <c r="AF25" s="2217"/>
      <c r="AG25" s="2217"/>
      <c r="AH25" s="2217"/>
      <c r="AI25" s="2217"/>
      <c r="AJ25" s="2217"/>
      <c r="AK25" s="2217"/>
      <c r="AL25" s="2217"/>
      <c r="AM25" s="2217"/>
      <c r="AN25" s="2217"/>
      <c r="AO25" s="2217"/>
      <c r="AP25" s="2217"/>
      <c r="AQ25" s="2217"/>
      <c r="AR25" s="2217"/>
      <c r="AS25" s="2217"/>
      <c r="AT25" s="2218"/>
      <c r="AU25" s="2219"/>
      <c r="AV25" s="11">
        <f t="shared" si="11"/>
        <v>0</v>
      </c>
      <c r="AW25" s="11" t="str">
        <f t="shared" si="12"/>
        <v>镇房权证字第0401003016100110号</v>
      </c>
      <c r="AX25" s="11" t="str">
        <f t="shared" si="13"/>
        <v>大港港南路401号第3层301室</v>
      </c>
      <c r="AY25" s="2983">
        <f t="shared" si="14"/>
        <v>77.010000000000005</v>
      </c>
      <c r="AZ25" s="16">
        <f t="shared" si="15"/>
        <v>533.66999999999996</v>
      </c>
      <c r="BA25" s="16">
        <f t="shared" si="16"/>
        <v>533.66999999999996</v>
      </c>
      <c r="BB25" s="16">
        <f t="shared" si="17"/>
        <v>533.66999999999996</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70" customFormat="1" ht="51">
      <c r="A26" s="1275"/>
      <c r="B26" s="1275" t="s">
        <v>3086</v>
      </c>
      <c r="C26" s="2156" t="s">
        <v>3087</v>
      </c>
      <c r="D26" s="2956" t="s">
        <v>3273</v>
      </c>
      <c r="E26" s="16">
        <f t="shared" si="7"/>
        <v>48.68</v>
      </c>
      <c r="F26" s="32"/>
      <c r="G26" s="33">
        <f t="shared" si="8"/>
        <v>337.31</v>
      </c>
      <c r="H26" s="20">
        <f t="shared" si="9"/>
        <v>337.31</v>
      </c>
      <c r="I26" s="2216">
        <v>337.31</v>
      </c>
      <c r="J26" s="2216"/>
      <c r="K26" s="2216"/>
      <c r="L26" s="2216"/>
      <c r="M26" s="2216"/>
      <c r="N26" s="2216"/>
      <c r="O26" s="2216"/>
      <c r="P26" s="2216"/>
      <c r="Q26" s="2216"/>
      <c r="R26" s="2216"/>
      <c r="S26" s="2216"/>
      <c r="T26" s="2216"/>
      <c r="U26" s="2216"/>
      <c r="V26" s="2216"/>
      <c r="W26" s="2216"/>
      <c r="X26" s="2216"/>
      <c r="Y26" s="2216"/>
      <c r="Z26" s="2216"/>
      <c r="AA26" s="2216"/>
      <c r="AB26" s="2216"/>
      <c r="AC26" s="16">
        <f t="shared" si="10"/>
        <v>0</v>
      </c>
      <c r="AD26" s="2217"/>
      <c r="AE26" s="2217"/>
      <c r="AF26" s="2217"/>
      <c r="AG26" s="2217"/>
      <c r="AH26" s="2217"/>
      <c r="AI26" s="2217"/>
      <c r="AJ26" s="2217"/>
      <c r="AK26" s="2217"/>
      <c r="AL26" s="2217"/>
      <c r="AM26" s="2217"/>
      <c r="AN26" s="2217"/>
      <c r="AO26" s="2217"/>
      <c r="AP26" s="2217"/>
      <c r="AQ26" s="2217"/>
      <c r="AR26" s="2217"/>
      <c r="AS26" s="2217"/>
      <c r="AT26" s="2218"/>
      <c r="AU26" s="2219"/>
      <c r="AV26" s="11">
        <f t="shared" si="11"/>
        <v>0</v>
      </c>
      <c r="AW26" s="11" t="str">
        <f t="shared" si="12"/>
        <v>镇房权证字第0401003014100110号</v>
      </c>
      <c r="AX26" s="11" t="str">
        <f t="shared" si="13"/>
        <v>大港港南路401号第3层302室</v>
      </c>
      <c r="AY26" s="2983">
        <f t="shared" si="14"/>
        <v>48.68</v>
      </c>
      <c r="AZ26" s="16">
        <f t="shared" si="15"/>
        <v>337.31</v>
      </c>
      <c r="BA26" s="16">
        <f t="shared" si="16"/>
        <v>337.31</v>
      </c>
      <c r="BB26" s="16">
        <f t="shared" si="17"/>
        <v>337.31</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70" customFormat="1" ht="51">
      <c r="A27" s="1275"/>
      <c r="B27" s="1275" t="s">
        <v>3088</v>
      </c>
      <c r="C27" s="2156" t="s">
        <v>3089</v>
      </c>
      <c r="D27" s="2956" t="s">
        <v>3273</v>
      </c>
      <c r="E27" s="16">
        <f t="shared" si="7"/>
        <v>27.42</v>
      </c>
      <c r="F27" s="32"/>
      <c r="G27" s="33">
        <f t="shared" si="8"/>
        <v>189.98</v>
      </c>
      <c r="H27" s="20">
        <f t="shared" si="9"/>
        <v>189.98</v>
      </c>
      <c r="I27" s="2216">
        <v>189.98</v>
      </c>
      <c r="J27" s="2216"/>
      <c r="K27" s="2216"/>
      <c r="L27" s="2216"/>
      <c r="M27" s="2216"/>
      <c r="N27" s="2216"/>
      <c r="O27" s="2216"/>
      <c r="P27" s="2216"/>
      <c r="Q27" s="2216"/>
      <c r="R27" s="2216"/>
      <c r="S27" s="2216"/>
      <c r="T27" s="2216"/>
      <c r="U27" s="2216"/>
      <c r="V27" s="2216"/>
      <c r="W27" s="2216"/>
      <c r="X27" s="2216"/>
      <c r="Y27" s="2216"/>
      <c r="Z27" s="2216"/>
      <c r="AA27" s="2216"/>
      <c r="AB27" s="2216"/>
      <c r="AC27" s="16">
        <f t="shared" si="10"/>
        <v>0</v>
      </c>
      <c r="AD27" s="2217"/>
      <c r="AE27" s="2217"/>
      <c r="AF27" s="2217"/>
      <c r="AG27" s="2217"/>
      <c r="AH27" s="2217"/>
      <c r="AI27" s="2217"/>
      <c r="AJ27" s="2217"/>
      <c r="AK27" s="2217"/>
      <c r="AL27" s="2217"/>
      <c r="AM27" s="2217"/>
      <c r="AN27" s="2217"/>
      <c r="AO27" s="2217"/>
      <c r="AP27" s="2217"/>
      <c r="AQ27" s="2217"/>
      <c r="AR27" s="2217"/>
      <c r="AS27" s="2217"/>
      <c r="AT27" s="2218"/>
      <c r="AU27" s="2219"/>
      <c r="AV27" s="11">
        <f t="shared" si="11"/>
        <v>0</v>
      </c>
      <c r="AW27" s="11" t="str">
        <f t="shared" si="12"/>
        <v>镇房权证字第0401003015100110号</v>
      </c>
      <c r="AX27" s="11" t="str">
        <f t="shared" si="13"/>
        <v>大港港南路401号第3层303室</v>
      </c>
      <c r="AY27" s="2983">
        <f t="shared" si="14"/>
        <v>27.42</v>
      </c>
      <c r="AZ27" s="16">
        <f t="shared" si="15"/>
        <v>189.98</v>
      </c>
      <c r="BA27" s="16">
        <f t="shared" si="16"/>
        <v>189.98</v>
      </c>
      <c r="BB27" s="16">
        <f t="shared" si="17"/>
        <v>189.98</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70" customFormat="1" ht="51">
      <c r="A28" s="1275"/>
      <c r="B28" s="1275" t="s">
        <v>3090</v>
      </c>
      <c r="C28" s="2156" t="s">
        <v>3091</v>
      </c>
      <c r="D28" s="2956" t="s">
        <v>3273</v>
      </c>
      <c r="E28" s="16">
        <f t="shared" si="7"/>
        <v>22.35</v>
      </c>
      <c r="F28" s="32"/>
      <c r="G28" s="33">
        <f t="shared" si="8"/>
        <v>154.85</v>
      </c>
      <c r="H28" s="20">
        <f t="shared" si="9"/>
        <v>154.85</v>
      </c>
      <c r="I28" s="2216">
        <v>154.85</v>
      </c>
      <c r="J28" s="2216"/>
      <c r="K28" s="2216"/>
      <c r="L28" s="2216"/>
      <c r="M28" s="2216"/>
      <c r="N28" s="2216"/>
      <c r="O28" s="2216"/>
      <c r="P28" s="2216"/>
      <c r="Q28" s="2216"/>
      <c r="R28" s="2216"/>
      <c r="S28" s="2216"/>
      <c r="T28" s="2216"/>
      <c r="U28" s="2216"/>
      <c r="V28" s="2216"/>
      <c r="W28" s="2216"/>
      <c r="X28" s="2216"/>
      <c r="Y28" s="2216"/>
      <c r="Z28" s="2216"/>
      <c r="AA28" s="2216"/>
      <c r="AB28" s="2216"/>
      <c r="AC28" s="16">
        <f t="shared" si="10"/>
        <v>0</v>
      </c>
      <c r="AD28" s="2217"/>
      <c r="AE28" s="2217"/>
      <c r="AF28" s="2217"/>
      <c r="AG28" s="2217"/>
      <c r="AH28" s="2217"/>
      <c r="AI28" s="2217"/>
      <c r="AJ28" s="2217"/>
      <c r="AK28" s="2217"/>
      <c r="AL28" s="2217"/>
      <c r="AM28" s="2217"/>
      <c r="AN28" s="2217"/>
      <c r="AO28" s="2217"/>
      <c r="AP28" s="2217"/>
      <c r="AQ28" s="2217"/>
      <c r="AR28" s="2217"/>
      <c r="AS28" s="2217"/>
      <c r="AT28" s="2218"/>
      <c r="AU28" s="2219"/>
      <c r="AV28" s="11">
        <f t="shared" si="11"/>
        <v>0</v>
      </c>
      <c r="AW28" s="11" t="str">
        <f t="shared" si="12"/>
        <v>镇房权证字第0401003018100110号</v>
      </c>
      <c r="AX28" s="11" t="str">
        <f t="shared" si="13"/>
        <v>大港港南路401号第3层304室</v>
      </c>
      <c r="AY28" s="2983">
        <f t="shared" si="14"/>
        <v>22.35</v>
      </c>
      <c r="AZ28" s="16">
        <f t="shared" si="15"/>
        <v>154.85</v>
      </c>
      <c r="BA28" s="16">
        <f t="shared" si="16"/>
        <v>154.85</v>
      </c>
      <c r="BB28" s="16">
        <f t="shared" si="17"/>
        <v>154.85</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70" customFormat="1" ht="51">
      <c r="A29" s="1275"/>
      <c r="B29" s="1275" t="s">
        <v>3092</v>
      </c>
      <c r="C29" s="2156" t="s">
        <v>3093</v>
      </c>
      <c r="D29" s="2956" t="s">
        <v>3273</v>
      </c>
      <c r="E29" s="16">
        <f t="shared" si="7"/>
        <v>57.95</v>
      </c>
      <c r="F29" s="32"/>
      <c r="G29" s="33">
        <f t="shared" si="8"/>
        <v>401.57</v>
      </c>
      <c r="H29" s="20">
        <f t="shared" si="9"/>
        <v>401.57</v>
      </c>
      <c r="I29" s="2216">
        <v>401.57</v>
      </c>
      <c r="J29" s="2216"/>
      <c r="K29" s="2216"/>
      <c r="L29" s="2216"/>
      <c r="M29" s="2216"/>
      <c r="N29" s="2216"/>
      <c r="O29" s="2216"/>
      <c r="P29" s="2216"/>
      <c r="Q29" s="2216"/>
      <c r="R29" s="2216"/>
      <c r="S29" s="2216"/>
      <c r="T29" s="2216"/>
      <c r="U29" s="2216"/>
      <c r="V29" s="2216"/>
      <c r="W29" s="2216"/>
      <c r="X29" s="2216"/>
      <c r="Y29" s="2216"/>
      <c r="Z29" s="2216"/>
      <c r="AA29" s="2216"/>
      <c r="AB29" s="2216"/>
      <c r="AC29" s="16">
        <f t="shared" si="10"/>
        <v>0</v>
      </c>
      <c r="AD29" s="2217"/>
      <c r="AE29" s="2217"/>
      <c r="AF29" s="2217"/>
      <c r="AG29" s="2217"/>
      <c r="AH29" s="2217"/>
      <c r="AI29" s="2217"/>
      <c r="AJ29" s="2217"/>
      <c r="AK29" s="2217"/>
      <c r="AL29" s="2217"/>
      <c r="AM29" s="2217"/>
      <c r="AN29" s="2217"/>
      <c r="AO29" s="2217"/>
      <c r="AP29" s="2217"/>
      <c r="AQ29" s="2217"/>
      <c r="AR29" s="2217"/>
      <c r="AS29" s="2217"/>
      <c r="AT29" s="2218"/>
      <c r="AU29" s="2219"/>
      <c r="AV29" s="11">
        <f t="shared" si="11"/>
        <v>0</v>
      </c>
      <c r="AW29" s="11" t="str">
        <f t="shared" si="12"/>
        <v>镇房权证字第0401003019100110号</v>
      </c>
      <c r="AX29" s="11" t="str">
        <f t="shared" si="13"/>
        <v>大港港南路401号第3层305室</v>
      </c>
      <c r="AY29" s="2983">
        <f t="shared" si="14"/>
        <v>57.95</v>
      </c>
      <c r="AZ29" s="16">
        <f t="shared" si="15"/>
        <v>401.57</v>
      </c>
      <c r="BA29" s="16">
        <f t="shared" si="16"/>
        <v>401.57</v>
      </c>
      <c r="BB29" s="16">
        <f t="shared" si="17"/>
        <v>401.57</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70" customFormat="1" ht="51">
      <c r="A30" s="1275"/>
      <c r="B30" s="1275" t="s">
        <v>3094</v>
      </c>
      <c r="C30" s="2156" t="s">
        <v>3095</v>
      </c>
      <c r="D30" s="2956" t="s">
        <v>3273</v>
      </c>
      <c r="E30" s="16">
        <f t="shared" si="7"/>
        <v>48.51</v>
      </c>
      <c r="F30" s="32"/>
      <c r="G30" s="33">
        <f t="shared" si="8"/>
        <v>336.14</v>
      </c>
      <c r="H30" s="20">
        <f t="shared" si="9"/>
        <v>336.14</v>
      </c>
      <c r="I30" s="2216">
        <v>336.14</v>
      </c>
      <c r="J30" s="2216"/>
      <c r="K30" s="2216"/>
      <c r="L30" s="2216"/>
      <c r="M30" s="2216"/>
      <c r="N30" s="2216"/>
      <c r="O30" s="2216"/>
      <c r="P30" s="2216"/>
      <c r="Q30" s="2216"/>
      <c r="R30" s="2216"/>
      <c r="S30" s="2216"/>
      <c r="T30" s="2216"/>
      <c r="U30" s="2216"/>
      <c r="V30" s="2216"/>
      <c r="W30" s="2216"/>
      <c r="X30" s="2216"/>
      <c r="Y30" s="2216"/>
      <c r="Z30" s="2216"/>
      <c r="AA30" s="2216"/>
      <c r="AB30" s="2216"/>
      <c r="AC30" s="16">
        <f t="shared" si="10"/>
        <v>0</v>
      </c>
      <c r="AD30" s="2217"/>
      <c r="AE30" s="2217"/>
      <c r="AF30" s="2217"/>
      <c r="AG30" s="2217"/>
      <c r="AH30" s="2217"/>
      <c r="AI30" s="2217"/>
      <c r="AJ30" s="2217"/>
      <c r="AK30" s="2217"/>
      <c r="AL30" s="2217"/>
      <c r="AM30" s="2217"/>
      <c r="AN30" s="2217"/>
      <c r="AO30" s="2217"/>
      <c r="AP30" s="2217"/>
      <c r="AQ30" s="2217"/>
      <c r="AR30" s="2217"/>
      <c r="AS30" s="2217"/>
      <c r="AT30" s="2218"/>
      <c r="AU30" s="2219"/>
      <c r="AV30" s="11">
        <f t="shared" si="11"/>
        <v>0</v>
      </c>
      <c r="AW30" s="11" t="str">
        <f t="shared" si="12"/>
        <v>镇房权证字第0401003021100110号</v>
      </c>
      <c r="AX30" s="11" t="str">
        <f t="shared" si="13"/>
        <v>大港港南路401号第3层306室</v>
      </c>
      <c r="AY30" s="2983">
        <f t="shared" si="14"/>
        <v>48.51</v>
      </c>
      <c r="AZ30" s="16">
        <f t="shared" si="15"/>
        <v>336.14</v>
      </c>
      <c r="BA30" s="16">
        <f t="shared" si="16"/>
        <v>336.14</v>
      </c>
      <c r="BB30" s="16">
        <f t="shared" si="17"/>
        <v>336.14</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70" customFormat="1" ht="51">
      <c r="A31" s="1275"/>
      <c r="B31" s="1275" t="s">
        <v>3096</v>
      </c>
      <c r="C31" s="2156" t="s">
        <v>3097</v>
      </c>
      <c r="D31" s="2956" t="s">
        <v>3273</v>
      </c>
      <c r="E31" s="16">
        <f t="shared" si="7"/>
        <v>58.21</v>
      </c>
      <c r="F31" s="32"/>
      <c r="G31" s="33">
        <f t="shared" si="8"/>
        <v>403.36</v>
      </c>
      <c r="H31" s="20">
        <f t="shared" si="9"/>
        <v>403.36</v>
      </c>
      <c r="I31" s="2216">
        <v>403.36</v>
      </c>
      <c r="J31" s="2216"/>
      <c r="K31" s="2216"/>
      <c r="L31" s="2216"/>
      <c r="M31" s="2216"/>
      <c r="N31" s="2216"/>
      <c r="O31" s="2216"/>
      <c r="P31" s="2216"/>
      <c r="Q31" s="2216"/>
      <c r="R31" s="2216"/>
      <c r="S31" s="2216"/>
      <c r="T31" s="2216"/>
      <c r="U31" s="2216"/>
      <c r="V31" s="2216"/>
      <c r="W31" s="2216"/>
      <c r="X31" s="2216"/>
      <c r="Y31" s="2216"/>
      <c r="Z31" s="2216"/>
      <c r="AA31" s="2216"/>
      <c r="AB31" s="2216"/>
      <c r="AC31" s="16">
        <f t="shared" si="10"/>
        <v>0</v>
      </c>
      <c r="AD31" s="2217"/>
      <c r="AE31" s="2217"/>
      <c r="AF31" s="2217"/>
      <c r="AG31" s="2217"/>
      <c r="AH31" s="2217"/>
      <c r="AI31" s="2217"/>
      <c r="AJ31" s="2217"/>
      <c r="AK31" s="2217"/>
      <c r="AL31" s="2217"/>
      <c r="AM31" s="2217"/>
      <c r="AN31" s="2217"/>
      <c r="AO31" s="2217"/>
      <c r="AP31" s="2217"/>
      <c r="AQ31" s="2217"/>
      <c r="AR31" s="2217"/>
      <c r="AS31" s="2217"/>
      <c r="AT31" s="2218"/>
      <c r="AU31" s="2219"/>
      <c r="AV31" s="11">
        <f t="shared" si="11"/>
        <v>0</v>
      </c>
      <c r="AW31" s="11" t="str">
        <f t="shared" si="12"/>
        <v>镇房权证字第0401003020100110号</v>
      </c>
      <c r="AX31" s="11" t="str">
        <f t="shared" si="13"/>
        <v>大港港南路401号第3层307室</v>
      </c>
      <c r="AY31" s="2983">
        <f t="shared" si="14"/>
        <v>58.21</v>
      </c>
      <c r="AZ31" s="16">
        <f t="shared" si="15"/>
        <v>403.36</v>
      </c>
      <c r="BA31" s="16">
        <f t="shared" si="16"/>
        <v>403.36</v>
      </c>
      <c r="BB31" s="16">
        <f t="shared" si="17"/>
        <v>403.36</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70" customFormat="1" ht="51">
      <c r="A32" s="1275"/>
      <c r="B32" s="1275" t="s">
        <v>3098</v>
      </c>
      <c r="C32" s="2156" t="s">
        <v>3099</v>
      </c>
      <c r="D32" s="2956" t="s">
        <v>3273</v>
      </c>
      <c r="E32" s="16">
        <f t="shared" si="7"/>
        <v>22.4</v>
      </c>
      <c r="F32" s="32"/>
      <c r="G32" s="33">
        <f t="shared" si="8"/>
        <v>155.22999999999999</v>
      </c>
      <c r="H32" s="20">
        <f t="shared" si="9"/>
        <v>155.22999999999999</v>
      </c>
      <c r="I32" s="2216">
        <v>155.22999999999999</v>
      </c>
      <c r="J32" s="2216"/>
      <c r="K32" s="2216"/>
      <c r="L32" s="2216"/>
      <c r="M32" s="2216"/>
      <c r="N32" s="2216"/>
      <c r="O32" s="2216"/>
      <c r="P32" s="2216"/>
      <c r="Q32" s="2216"/>
      <c r="R32" s="2216"/>
      <c r="S32" s="2216"/>
      <c r="T32" s="2216"/>
      <c r="U32" s="2216"/>
      <c r="V32" s="2216"/>
      <c r="W32" s="2216"/>
      <c r="X32" s="2216"/>
      <c r="Y32" s="2216"/>
      <c r="Z32" s="2216"/>
      <c r="AA32" s="2216"/>
      <c r="AB32" s="2216"/>
      <c r="AC32" s="16">
        <f t="shared" si="10"/>
        <v>0</v>
      </c>
      <c r="AD32" s="2217"/>
      <c r="AE32" s="2217"/>
      <c r="AF32" s="2217"/>
      <c r="AG32" s="2217"/>
      <c r="AH32" s="2217"/>
      <c r="AI32" s="2217"/>
      <c r="AJ32" s="2217"/>
      <c r="AK32" s="2217"/>
      <c r="AL32" s="2217"/>
      <c r="AM32" s="2217"/>
      <c r="AN32" s="2217"/>
      <c r="AO32" s="2217"/>
      <c r="AP32" s="2217"/>
      <c r="AQ32" s="2217"/>
      <c r="AR32" s="2217"/>
      <c r="AS32" s="2217"/>
      <c r="AT32" s="2218"/>
      <c r="AU32" s="2219"/>
      <c r="AV32" s="11">
        <f t="shared" si="11"/>
        <v>0</v>
      </c>
      <c r="AW32" s="11" t="str">
        <f t="shared" si="12"/>
        <v>镇房权证字第0401003030100110号</v>
      </c>
      <c r="AX32" s="11" t="str">
        <f t="shared" si="13"/>
        <v>大港港南路401号第3层308室</v>
      </c>
      <c r="AY32" s="2983">
        <f t="shared" si="14"/>
        <v>22.4</v>
      </c>
      <c r="AZ32" s="16">
        <f t="shared" si="15"/>
        <v>155.22999999999999</v>
      </c>
      <c r="BA32" s="16">
        <f t="shared" si="16"/>
        <v>155.22999999999999</v>
      </c>
      <c r="BB32" s="16">
        <f t="shared" si="17"/>
        <v>155.22999999999999</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70" customFormat="1" ht="51">
      <c r="A33" s="1275"/>
      <c r="B33" s="1275" t="s">
        <v>3100</v>
      </c>
      <c r="C33" s="2156" t="s">
        <v>3101</v>
      </c>
      <c r="D33" s="2956" t="s">
        <v>3273</v>
      </c>
      <c r="E33" s="16">
        <f t="shared" si="7"/>
        <v>39.159999999999997</v>
      </c>
      <c r="F33" s="32"/>
      <c r="G33" s="33">
        <f t="shared" si="8"/>
        <v>271.39</v>
      </c>
      <c r="H33" s="20">
        <f t="shared" si="9"/>
        <v>271.39</v>
      </c>
      <c r="I33" s="2216">
        <v>271.39</v>
      </c>
      <c r="J33" s="2216"/>
      <c r="K33" s="2216"/>
      <c r="L33" s="2216"/>
      <c r="M33" s="2216"/>
      <c r="N33" s="2216"/>
      <c r="O33" s="2216"/>
      <c r="P33" s="2216"/>
      <c r="Q33" s="2216"/>
      <c r="R33" s="2216"/>
      <c r="S33" s="2216"/>
      <c r="T33" s="2216"/>
      <c r="U33" s="2216"/>
      <c r="V33" s="2216"/>
      <c r="W33" s="2216"/>
      <c r="X33" s="2216"/>
      <c r="Y33" s="2216"/>
      <c r="Z33" s="2216"/>
      <c r="AA33" s="2216"/>
      <c r="AB33" s="2216"/>
      <c r="AC33" s="16">
        <f t="shared" si="10"/>
        <v>0</v>
      </c>
      <c r="AD33" s="2217"/>
      <c r="AE33" s="2217"/>
      <c r="AF33" s="2217"/>
      <c r="AG33" s="2217"/>
      <c r="AH33" s="2217"/>
      <c r="AI33" s="2217"/>
      <c r="AJ33" s="2217"/>
      <c r="AK33" s="2217"/>
      <c r="AL33" s="2217"/>
      <c r="AM33" s="2217"/>
      <c r="AN33" s="2217"/>
      <c r="AO33" s="2217"/>
      <c r="AP33" s="2217"/>
      <c r="AQ33" s="2217"/>
      <c r="AR33" s="2217"/>
      <c r="AS33" s="2217"/>
      <c r="AT33" s="2218"/>
      <c r="AU33" s="2219"/>
      <c r="AV33" s="11">
        <f t="shared" si="11"/>
        <v>0</v>
      </c>
      <c r="AW33" s="11" t="str">
        <f t="shared" si="12"/>
        <v>镇房权证字第0401003029100110号</v>
      </c>
      <c r="AX33" s="11" t="str">
        <f t="shared" si="13"/>
        <v>大港港南路401号第3层309室</v>
      </c>
      <c r="AY33" s="2983">
        <f t="shared" si="14"/>
        <v>39.159999999999997</v>
      </c>
      <c r="AZ33" s="16">
        <f t="shared" si="15"/>
        <v>271.39</v>
      </c>
      <c r="BA33" s="16">
        <f t="shared" si="16"/>
        <v>271.39</v>
      </c>
      <c r="BB33" s="16">
        <f t="shared" si="17"/>
        <v>271.39</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70" customFormat="1" ht="51">
      <c r="A34" s="1275"/>
      <c r="B34" s="1275" t="s">
        <v>3102</v>
      </c>
      <c r="C34" s="2156" t="s">
        <v>3103</v>
      </c>
      <c r="D34" s="2956" t="s">
        <v>3273</v>
      </c>
      <c r="E34" s="16">
        <f t="shared" si="7"/>
        <v>27.46</v>
      </c>
      <c r="F34" s="32"/>
      <c r="G34" s="33">
        <f t="shared" si="8"/>
        <v>190.28</v>
      </c>
      <c r="H34" s="20">
        <f t="shared" si="9"/>
        <v>190.28</v>
      </c>
      <c r="I34" s="2216">
        <v>190.28</v>
      </c>
      <c r="J34" s="2216"/>
      <c r="K34" s="2216"/>
      <c r="L34" s="2216"/>
      <c r="M34" s="2216"/>
      <c r="N34" s="2216"/>
      <c r="O34" s="2216"/>
      <c r="P34" s="2216"/>
      <c r="Q34" s="2216"/>
      <c r="R34" s="2216"/>
      <c r="S34" s="2216"/>
      <c r="T34" s="2216"/>
      <c r="U34" s="2216"/>
      <c r="V34" s="2216"/>
      <c r="W34" s="2216"/>
      <c r="X34" s="2216"/>
      <c r="Y34" s="2216"/>
      <c r="Z34" s="2216"/>
      <c r="AA34" s="2216"/>
      <c r="AB34" s="2216"/>
      <c r="AC34" s="16">
        <f t="shared" si="10"/>
        <v>0</v>
      </c>
      <c r="AD34" s="2217"/>
      <c r="AE34" s="2217"/>
      <c r="AF34" s="2217"/>
      <c r="AG34" s="2217"/>
      <c r="AH34" s="2217"/>
      <c r="AI34" s="2217"/>
      <c r="AJ34" s="2217"/>
      <c r="AK34" s="2217"/>
      <c r="AL34" s="2217"/>
      <c r="AM34" s="2217"/>
      <c r="AN34" s="2217"/>
      <c r="AO34" s="2217"/>
      <c r="AP34" s="2217"/>
      <c r="AQ34" s="2217"/>
      <c r="AR34" s="2217"/>
      <c r="AS34" s="2217"/>
      <c r="AT34" s="2218"/>
      <c r="AU34" s="2219"/>
      <c r="AV34" s="11">
        <f t="shared" si="11"/>
        <v>0</v>
      </c>
      <c r="AW34" s="11" t="str">
        <f t="shared" si="12"/>
        <v>镇房权证字第0401003003100110号</v>
      </c>
      <c r="AX34" s="11" t="str">
        <f t="shared" si="13"/>
        <v>大港港南路401号第3层310室</v>
      </c>
      <c r="AY34" s="2983">
        <f t="shared" si="14"/>
        <v>27.46</v>
      </c>
      <c r="AZ34" s="16">
        <f t="shared" si="15"/>
        <v>190.28</v>
      </c>
      <c r="BA34" s="16">
        <f t="shared" si="16"/>
        <v>190.28</v>
      </c>
      <c r="BB34" s="16">
        <f t="shared" si="17"/>
        <v>190.28</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70" customFormat="1" ht="51">
      <c r="A35" s="1275"/>
      <c r="B35" s="1275" t="s">
        <v>3104</v>
      </c>
      <c r="C35" s="2156" t="s">
        <v>3105</v>
      </c>
      <c r="D35" s="2956" t="s">
        <v>3273</v>
      </c>
      <c r="E35" s="16">
        <f t="shared" si="7"/>
        <v>109.74</v>
      </c>
      <c r="F35" s="32"/>
      <c r="G35" s="33">
        <f t="shared" si="8"/>
        <v>760.46</v>
      </c>
      <c r="H35" s="20">
        <f t="shared" si="9"/>
        <v>760.46</v>
      </c>
      <c r="I35" s="2216">
        <v>760.46</v>
      </c>
      <c r="J35" s="2216"/>
      <c r="K35" s="2216"/>
      <c r="L35" s="2216"/>
      <c r="M35" s="2216"/>
      <c r="N35" s="2216"/>
      <c r="O35" s="2216"/>
      <c r="P35" s="2216"/>
      <c r="Q35" s="2216"/>
      <c r="R35" s="2216"/>
      <c r="S35" s="2216"/>
      <c r="T35" s="2216"/>
      <c r="U35" s="2216"/>
      <c r="V35" s="2216"/>
      <c r="W35" s="2216"/>
      <c r="X35" s="2216"/>
      <c r="Y35" s="2216"/>
      <c r="Z35" s="2216"/>
      <c r="AA35" s="2216"/>
      <c r="AB35" s="2216"/>
      <c r="AC35" s="16">
        <f t="shared" si="10"/>
        <v>0</v>
      </c>
      <c r="AD35" s="2217"/>
      <c r="AE35" s="2217"/>
      <c r="AF35" s="2217"/>
      <c r="AG35" s="2217"/>
      <c r="AH35" s="2217"/>
      <c r="AI35" s="2217"/>
      <c r="AJ35" s="2217"/>
      <c r="AK35" s="2217"/>
      <c r="AL35" s="2217"/>
      <c r="AM35" s="2217"/>
      <c r="AN35" s="2217"/>
      <c r="AO35" s="2217"/>
      <c r="AP35" s="2217"/>
      <c r="AQ35" s="2217"/>
      <c r="AR35" s="2217"/>
      <c r="AS35" s="2217"/>
      <c r="AT35" s="2218"/>
      <c r="AU35" s="2219"/>
      <c r="AV35" s="11">
        <f t="shared" si="11"/>
        <v>0</v>
      </c>
      <c r="AW35" s="11" t="str">
        <f t="shared" si="12"/>
        <v>镇房权证字第0401003005100110号</v>
      </c>
      <c r="AX35" s="11" t="str">
        <f t="shared" si="13"/>
        <v>大港港南路401号第3层311室</v>
      </c>
      <c r="AY35" s="2983">
        <f t="shared" si="14"/>
        <v>109.74</v>
      </c>
      <c r="AZ35" s="16">
        <f t="shared" si="15"/>
        <v>760.46</v>
      </c>
      <c r="BA35" s="16">
        <f t="shared" si="16"/>
        <v>760.46</v>
      </c>
      <c r="BB35" s="16">
        <f t="shared" si="17"/>
        <v>760.46</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70" customFormat="1" ht="51">
      <c r="A36" s="1275"/>
      <c r="B36" s="1275" t="s">
        <v>3106</v>
      </c>
      <c r="C36" s="2156" t="s">
        <v>3107</v>
      </c>
      <c r="D36" s="2956" t="s">
        <v>3273</v>
      </c>
      <c r="E36" s="16">
        <f t="shared" si="7"/>
        <v>76.680000000000007</v>
      </c>
      <c r="F36" s="32"/>
      <c r="G36" s="33">
        <f t="shared" si="8"/>
        <v>531.33000000000004</v>
      </c>
      <c r="H36" s="20">
        <f t="shared" si="9"/>
        <v>531.33000000000004</v>
      </c>
      <c r="I36" s="2216">
        <v>531.33000000000004</v>
      </c>
      <c r="J36" s="2216"/>
      <c r="K36" s="2216"/>
      <c r="L36" s="2216"/>
      <c r="M36" s="2216"/>
      <c r="N36" s="2216"/>
      <c r="O36" s="2216"/>
      <c r="P36" s="2216"/>
      <c r="Q36" s="2216"/>
      <c r="R36" s="2216"/>
      <c r="S36" s="2216"/>
      <c r="T36" s="2216"/>
      <c r="U36" s="2216"/>
      <c r="V36" s="2216"/>
      <c r="W36" s="2216"/>
      <c r="X36" s="2216"/>
      <c r="Y36" s="2216"/>
      <c r="Z36" s="2216"/>
      <c r="AA36" s="2216"/>
      <c r="AB36" s="2216"/>
      <c r="AC36" s="16">
        <f t="shared" si="10"/>
        <v>0</v>
      </c>
      <c r="AD36" s="2217"/>
      <c r="AE36" s="2217"/>
      <c r="AF36" s="2217"/>
      <c r="AG36" s="2217"/>
      <c r="AH36" s="2217"/>
      <c r="AI36" s="2217"/>
      <c r="AJ36" s="2217"/>
      <c r="AK36" s="2217"/>
      <c r="AL36" s="2217"/>
      <c r="AM36" s="2217"/>
      <c r="AN36" s="2217"/>
      <c r="AO36" s="2217"/>
      <c r="AP36" s="2217"/>
      <c r="AQ36" s="2217"/>
      <c r="AR36" s="2217"/>
      <c r="AS36" s="2217"/>
      <c r="AT36" s="2218"/>
      <c r="AU36" s="2219"/>
      <c r="AV36" s="11">
        <f t="shared" si="11"/>
        <v>0</v>
      </c>
      <c r="AW36" s="11" t="str">
        <f t="shared" si="12"/>
        <v>镇房权证字第0401003007100110号</v>
      </c>
      <c r="AX36" s="11" t="str">
        <f t="shared" si="13"/>
        <v>大港港南路401号第3层312室</v>
      </c>
      <c r="AY36" s="2983">
        <f t="shared" si="14"/>
        <v>76.680000000000007</v>
      </c>
      <c r="AZ36" s="16">
        <f t="shared" si="15"/>
        <v>531.33000000000004</v>
      </c>
      <c r="BA36" s="16">
        <f t="shared" si="16"/>
        <v>531.33000000000004</v>
      </c>
      <c r="BB36" s="16">
        <f t="shared" si="17"/>
        <v>531.33000000000004</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70" customFormat="1" ht="51">
      <c r="A37" s="1275"/>
      <c r="B37" s="1275" t="s">
        <v>3108</v>
      </c>
      <c r="C37" s="2156" t="s">
        <v>3109</v>
      </c>
      <c r="D37" s="2956" t="s">
        <v>3273</v>
      </c>
      <c r="E37" s="16">
        <f t="shared" si="7"/>
        <v>68</v>
      </c>
      <c r="F37" s="32"/>
      <c r="G37" s="33">
        <f t="shared" si="8"/>
        <v>471.2</v>
      </c>
      <c r="H37" s="20">
        <f t="shared" si="9"/>
        <v>471.2</v>
      </c>
      <c r="I37" s="2216">
        <v>471.2</v>
      </c>
      <c r="J37" s="2216"/>
      <c r="K37" s="2216"/>
      <c r="L37" s="2216"/>
      <c r="M37" s="2216"/>
      <c r="N37" s="2216"/>
      <c r="O37" s="2216"/>
      <c r="P37" s="2216"/>
      <c r="Q37" s="2216"/>
      <c r="R37" s="2216"/>
      <c r="S37" s="2216"/>
      <c r="T37" s="2216"/>
      <c r="U37" s="2216"/>
      <c r="V37" s="2216"/>
      <c r="W37" s="2216"/>
      <c r="X37" s="2216"/>
      <c r="Y37" s="2216"/>
      <c r="Z37" s="2216"/>
      <c r="AA37" s="2216"/>
      <c r="AB37" s="2216"/>
      <c r="AC37" s="16">
        <f t="shared" si="10"/>
        <v>0</v>
      </c>
      <c r="AD37" s="2217"/>
      <c r="AE37" s="2217"/>
      <c r="AF37" s="2217"/>
      <c r="AG37" s="2217"/>
      <c r="AH37" s="2217"/>
      <c r="AI37" s="2217"/>
      <c r="AJ37" s="2217"/>
      <c r="AK37" s="2217"/>
      <c r="AL37" s="2217"/>
      <c r="AM37" s="2217"/>
      <c r="AN37" s="2217"/>
      <c r="AO37" s="2217"/>
      <c r="AP37" s="2217"/>
      <c r="AQ37" s="2217"/>
      <c r="AR37" s="2217"/>
      <c r="AS37" s="2217"/>
      <c r="AT37" s="2218"/>
      <c r="AU37" s="2219"/>
      <c r="AV37" s="11">
        <f t="shared" si="11"/>
        <v>0</v>
      </c>
      <c r="AW37" s="11" t="str">
        <f t="shared" si="12"/>
        <v>镇房权证字第0401002997100110号</v>
      </c>
      <c r="AX37" s="11" t="str">
        <f t="shared" si="13"/>
        <v>大港港南路401号第3层313室</v>
      </c>
      <c r="AY37" s="2983">
        <f t="shared" si="14"/>
        <v>68</v>
      </c>
      <c r="AZ37" s="16">
        <f t="shared" si="15"/>
        <v>471.2</v>
      </c>
      <c r="BA37" s="16">
        <f t="shared" si="16"/>
        <v>471.2</v>
      </c>
      <c r="BB37" s="16">
        <f t="shared" si="17"/>
        <v>471.2</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70" customFormat="1" ht="51">
      <c r="A38" s="1275"/>
      <c r="B38" s="1275" t="s">
        <v>3110</v>
      </c>
      <c r="C38" s="2156" t="s">
        <v>3111</v>
      </c>
      <c r="D38" s="2956" t="s">
        <v>3273</v>
      </c>
      <c r="E38" s="16">
        <f t="shared" si="7"/>
        <v>192.82</v>
      </c>
      <c r="F38" s="32"/>
      <c r="G38" s="33">
        <f t="shared" si="8"/>
        <v>1336.12</v>
      </c>
      <c r="H38" s="20">
        <f t="shared" si="9"/>
        <v>1336.12</v>
      </c>
      <c r="I38" s="2216">
        <v>1336.12</v>
      </c>
      <c r="J38" s="2216"/>
      <c r="K38" s="2216"/>
      <c r="L38" s="2216"/>
      <c r="M38" s="2216"/>
      <c r="N38" s="2216"/>
      <c r="O38" s="2216"/>
      <c r="P38" s="2216"/>
      <c r="Q38" s="2216"/>
      <c r="R38" s="2216"/>
      <c r="S38" s="2216"/>
      <c r="T38" s="2216"/>
      <c r="U38" s="2216"/>
      <c r="V38" s="2216"/>
      <c r="W38" s="2216"/>
      <c r="X38" s="2216"/>
      <c r="Y38" s="2216"/>
      <c r="Z38" s="2216"/>
      <c r="AA38" s="2216"/>
      <c r="AB38" s="2216"/>
      <c r="AC38" s="16">
        <f t="shared" si="10"/>
        <v>0</v>
      </c>
      <c r="AD38" s="2217"/>
      <c r="AE38" s="2217"/>
      <c r="AF38" s="2217"/>
      <c r="AG38" s="2217"/>
      <c r="AH38" s="2217"/>
      <c r="AI38" s="2217"/>
      <c r="AJ38" s="2217"/>
      <c r="AK38" s="2217"/>
      <c r="AL38" s="2217"/>
      <c r="AM38" s="2217"/>
      <c r="AN38" s="2217"/>
      <c r="AO38" s="2217"/>
      <c r="AP38" s="2217"/>
      <c r="AQ38" s="2217"/>
      <c r="AR38" s="2217"/>
      <c r="AS38" s="2217"/>
      <c r="AT38" s="2218"/>
      <c r="AU38" s="2219"/>
      <c r="AV38" s="11">
        <f t="shared" si="11"/>
        <v>0</v>
      </c>
      <c r="AW38" s="11" t="str">
        <f t="shared" si="12"/>
        <v>镇房权证字第0401003061100110号</v>
      </c>
      <c r="AX38" s="11" t="str">
        <f t="shared" si="13"/>
        <v>大港港南路401号第3层314室</v>
      </c>
      <c r="AY38" s="2983">
        <f t="shared" si="14"/>
        <v>192.82</v>
      </c>
      <c r="AZ38" s="16">
        <f t="shared" si="15"/>
        <v>1336.12</v>
      </c>
      <c r="BA38" s="16">
        <f t="shared" si="16"/>
        <v>1336.12</v>
      </c>
      <c r="BB38" s="16">
        <f t="shared" si="17"/>
        <v>1336.12</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70" customFormat="1" ht="51">
      <c r="A39" s="1275"/>
      <c r="B39" s="1275" t="s">
        <v>3112</v>
      </c>
      <c r="C39" s="2156" t="s">
        <v>3113</v>
      </c>
      <c r="D39" s="2956" t="s">
        <v>3273</v>
      </c>
      <c r="E39" s="16">
        <f t="shared" si="7"/>
        <v>10.1</v>
      </c>
      <c r="F39" s="32"/>
      <c r="G39" s="33">
        <f t="shared" si="8"/>
        <v>70</v>
      </c>
      <c r="H39" s="20">
        <f t="shared" si="9"/>
        <v>70</v>
      </c>
      <c r="I39" s="2216">
        <v>70</v>
      </c>
      <c r="J39" s="2216"/>
      <c r="K39" s="2216"/>
      <c r="L39" s="2216"/>
      <c r="M39" s="2216"/>
      <c r="N39" s="2216"/>
      <c r="O39" s="2216"/>
      <c r="P39" s="2216"/>
      <c r="Q39" s="2216"/>
      <c r="R39" s="2216"/>
      <c r="S39" s="2216"/>
      <c r="T39" s="2216"/>
      <c r="U39" s="2216"/>
      <c r="V39" s="2216"/>
      <c r="W39" s="2216"/>
      <c r="X39" s="2216"/>
      <c r="Y39" s="2216"/>
      <c r="Z39" s="2216"/>
      <c r="AA39" s="2216"/>
      <c r="AB39" s="2216"/>
      <c r="AC39" s="16">
        <f t="shared" si="10"/>
        <v>0</v>
      </c>
      <c r="AD39" s="2217"/>
      <c r="AE39" s="2217"/>
      <c r="AF39" s="2217"/>
      <c r="AG39" s="2217"/>
      <c r="AH39" s="2217"/>
      <c r="AI39" s="2217"/>
      <c r="AJ39" s="2217"/>
      <c r="AK39" s="2217"/>
      <c r="AL39" s="2217"/>
      <c r="AM39" s="2217"/>
      <c r="AN39" s="2217"/>
      <c r="AO39" s="2217"/>
      <c r="AP39" s="2217"/>
      <c r="AQ39" s="2217"/>
      <c r="AR39" s="2217"/>
      <c r="AS39" s="2217"/>
      <c r="AT39" s="2218"/>
      <c r="AU39" s="2219"/>
      <c r="AV39" s="11">
        <f t="shared" si="11"/>
        <v>0</v>
      </c>
      <c r="AW39" s="11" t="str">
        <f t="shared" si="12"/>
        <v>镇房权证字第0401003086100110号</v>
      </c>
      <c r="AX39" s="11" t="str">
        <f t="shared" si="13"/>
        <v>大港港南路401号第3层315室</v>
      </c>
      <c r="AY39" s="2983">
        <f t="shared" si="14"/>
        <v>10.1</v>
      </c>
      <c r="AZ39" s="16">
        <f t="shared" si="15"/>
        <v>70</v>
      </c>
      <c r="BA39" s="16">
        <f t="shared" si="16"/>
        <v>70</v>
      </c>
      <c r="BB39" s="16">
        <f t="shared" si="17"/>
        <v>70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70" customFormat="1" ht="51">
      <c r="A40" s="1275"/>
      <c r="B40" s="1275" t="s">
        <v>3114</v>
      </c>
      <c r="C40" s="2156" t="s">
        <v>3115</v>
      </c>
      <c r="D40" s="2956" t="s">
        <v>3273</v>
      </c>
      <c r="E40" s="16">
        <f t="shared" si="7"/>
        <v>177.89</v>
      </c>
      <c r="F40" s="32"/>
      <c r="G40" s="33">
        <f t="shared" si="8"/>
        <v>1232.6500000000001</v>
      </c>
      <c r="H40" s="20">
        <f t="shared" si="9"/>
        <v>1232.6500000000001</v>
      </c>
      <c r="I40" s="2216">
        <v>1232.6500000000001</v>
      </c>
      <c r="J40" s="2216"/>
      <c r="K40" s="2216"/>
      <c r="L40" s="2216"/>
      <c r="M40" s="2216"/>
      <c r="N40" s="2216"/>
      <c r="O40" s="2216"/>
      <c r="P40" s="2216"/>
      <c r="Q40" s="2216"/>
      <c r="R40" s="2216"/>
      <c r="S40" s="2216"/>
      <c r="T40" s="2216"/>
      <c r="U40" s="2216"/>
      <c r="V40" s="2216"/>
      <c r="W40" s="2216"/>
      <c r="X40" s="2216"/>
      <c r="Y40" s="2216"/>
      <c r="Z40" s="2216"/>
      <c r="AA40" s="2216"/>
      <c r="AB40" s="2216"/>
      <c r="AC40" s="16">
        <f t="shared" si="10"/>
        <v>0</v>
      </c>
      <c r="AD40" s="2217"/>
      <c r="AE40" s="2217"/>
      <c r="AF40" s="2217"/>
      <c r="AG40" s="2217"/>
      <c r="AH40" s="2217"/>
      <c r="AI40" s="2217"/>
      <c r="AJ40" s="2217"/>
      <c r="AK40" s="2217"/>
      <c r="AL40" s="2217"/>
      <c r="AM40" s="2217"/>
      <c r="AN40" s="2217"/>
      <c r="AO40" s="2217"/>
      <c r="AP40" s="2217"/>
      <c r="AQ40" s="2217"/>
      <c r="AR40" s="2217"/>
      <c r="AS40" s="2217"/>
      <c r="AT40" s="2218"/>
      <c r="AU40" s="2219"/>
      <c r="AV40" s="11">
        <f t="shared" si="11"/>
        <v>0</v>
      </c>
      <c r="AW40" s="11" t="str">
        <f t="shared" si="12"/>
        <v>镇房权证字第0401003091100110号</v>
      </c>
      <c r="AX40" s="11" t="str">
        <f t="shared" si="13"/>
        <v>大港港南路401号第4层401室</v>
      </c>
      <c r="AY40" s="2983">
        <f t="shared" si="14"/>
        <v>177.89</v>
      </c>
      <c r="AZ40" s="16">
        <f t="shared" si="15"/>
        <v>1232.6500000000001</v>
      </c>
      <c r="BA40" s="16">
        <f t="shared" si="16"/>
        <v>1232.6500000000001</v>
      </c>
      <c r="BB40" s="16">
        <f t="shared" si="17"/>
        <v>1232.6500000000001</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70" customFormat="1" ht="51">
      <c r="A41" s="1275"/>
      <c r="B41" s="1275" t="s">
        <v>3116</v>
      </c>
      <c r="C41" s="2156" t="s">
        <v>3117</v>
      </c>
      <c r="D41" s="2956" t="s">
        <v>3273</v>
      </c>
      <c r="E41" s="16">
        <f t="shared" si="7"/>
        <v>92.65</v>
      </c>
      <c r="F41" s="32"/>
      <c r="G41" s="33">
        <f t="shared" si="8"/>
        <v>642</v>
      </c>
      <c r="H41" s="20">
        <f t="shared" si="9"/>
        <v>642</v>
      </c>
      <c r="I41" s="2216">
        <v>642</v>
      </c>
      <c r="J41" s="2216"/>
      <c r="K41" s="2216"/>
      <c r="L41" s="2216"/>
      <c r="M41" s="2216"/>
      <c r="N41" s="2216"/>
      <c r="O41" s="2216"/>
      <c r="P41" s="2216"/>
      <c r="Q41" s="2216"/>
      <c r="R41" s="2216"/>
      <c r="S41" s="2216"/>
      <c r="T41" s="2216"/>
      <c r="U41" s="2216"/>
      <c r="V41" s="2216"/>
      <c r="W41" s="2216"/>
      <c r="X41" s="2216"/>
      <c r="Y41" s="2216"/>
      <c r="Z41" s="2216"/>
      <c r="AA41" s="2216"/>
      <c r="AB41" s="2216"/>
      <c r="AC41" s="16">
        <f t="shared" si="10"/>
        <v>0</v>
      </c>
      <c r="AD41" s="2217"/>
      <c r="AE41" s="2217"/>
      <c r="AF41" s="2217"/>
      <c r="AG41" s="2217"/>
      <c r="AH41" s="2217"/>
      <c r="AI41" s="2217"/>
      <c r="AJ41" s="2217"/>
      <c r="AK41" s="2217"/>
      <c r="AL41" s="2217"/>
      <c r="AM41" s="2217"/>
      <c r="AN41" s="2217"/>
      <c r="AO41" s="2217"/>
      <c r="AP41" s="2217"/>
      <c r="AQ41" s="2217"/>
      <c r="AR41" s="2217"/>
      <c r="AS41" s="2217"/>
      <c r="AT41" s="2218"/>
      <c r="AU41" s="2219"/>
      <c r="AV41" s="11">
        <f t="shared" si="11"/>
        <v>0</v>
      </c>
      <c r="AW41" s="11" t="str">
        <f t="shared" si="12"/>
        <v>镇房权证字第0401003081100110号</v>
      </c>
      <c r="AX41" s="11" t="str">
        <f t="shared" si="13"/>
        <v>大港港南路401号第4层402室</v>
      </c>
      <c r="AY41" s="2983">
        <f t="shared" si="14"/>
        <v>92.65</v>
      </c>
      <c r="AZ41" s="16">
        <f t="shared" si="15"/>
        <v>642</v>
      </c>
      <c r="BA41" s="16">
        <f t="shared" si="16"/>
        <v>642</v>
      </c>
      <c r="BB41" s="16">
        <f t="shared" si="17"/>
        <v>642</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70" customFormat="1" ht="51">
      <c r="A42" s="1275"/>
      <c r="B42" s="1275" t="s">
        <v>3118</v>
      </c>
      <c r="C42" s="2156" t="s">
        <v>3119</v>
      </c>
      <c r="D42" s="2956" t="s">
        <v>3273</v>
      </c>
      <c r="E42" s="16">
        <f t="shared" si="7"/>
        <v>14.78</v>
      </c>
      <c r="F42" s="32"/>
      <c r="G42" s="33">
        <f t="shared" si="8"/>
        <v>102.42</v>
      </c>
      <c r="H42" s="20">
        <f t="shared" si="9"/>
        <v>102.42</v>
      </c>
      <c r="I42" s="2216">
        <v>102.42</v>
      </c>
      <c r="J42" s="2216"/>
      <c r="K42" s="2216"/>
      <c r="L42" s="2216"/>
      <c r="M42" s="2216"/>
      <c r="N42" s="2216"/>
      <c r="O42" s="2216"/>
      <c r="P42" s="2216"/>
      <c r="Q42" s="2216"/>
      <c r="R42" s="2216"/>
      <c r="S42" s="2216"/>
      <c r="T42" s="2216"/>
      <c r="U42" s="2216"/>
      <c r="V42" s="2216"/>
      <c r="W42" s="2216"/>
      <c r="X42" s="2216"/>
      <c r="Y42" s="2216"/>
      <c r="Z42" s="2216"/>
      <c r="AA42" s="2216"/>
      <c r="AB42" s="2216"/>
      <c r="AC42" s="16">
        <f t="shared" si="10"/>
        <v>0</v>
      </c>
      <c r="AD42" s="2217"/>
      <c r="AE42" s="2217"/>
      <c r="AF42" s="2217"/>
      <c r="AG42" s="2217"/>
      <c r="AH42" s="2217"/>
      <c r="AI42" s="2217"/>
      <c r="AJ42" s="2217"/>
      <c r="AK42" s="2217"/>
      <c r="AL42" s="2217"/>
      <c r="AM42" s="2217"/>
      <c r="AN42" s="2217"/>
      <c r="AO42" s="2217"/>
      <c r="AP42" s="2217"/>
      <c r="AQ42" s="2217"/>
      <c r="AR42" s="2217"/>
      <c r="AS42" s="2217"/>
      <c r="AT42" s="2218"/>
      <c r="AU42" s="2219"/>
      <c r="AV42" s="11">
        <f t="shared" si="11"/>
        <v>0</v>
      </c>
      <c r="AW42" s="11" t="str">
        <f t="shared" si="12"/>
        <v>镇房权证字第0401003033100110号</v>
      </c>
      <c r="AX42" s="11" t="str">
        <f t="shared" si="13"/>
        <v>大港港南路401号第4层403室</v>
      </c>
      <c r="AY42" s="2983">
        <f t="shared" si="14"/>
        <v>14.78</v>
      </c>
      <c r="AZ42" s="16">
        <f t="shared" si="15"/>
        <v>102.42</v>
      </c>
      <c r="BA42" s="16">
        <f t="shared" si="16"/>
        <v>102.42</v>
      </c>
      <c r="BB42" s="16">
        <f t="shared" si="17"/>
        <v>102.42</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70" customFormat="1" ht="51">
      <c r="A43" s="1275"/>
      <c r="B43" s="1275" t="s">
        <v>3120</v>
      </c>
      <c r="C43" s="2156" t="s">
        <v>3121</v>
      </c>
      <c r="D43" s="2956" t="s">
        <v>3273</v>
      </c>
      <c r="E43" s="16">
        <f t="shared" si="7"/>
        <v>10.34</v>
      </c>
      <c r="F43" s="32"/>
      <c r="G43" s="33">
        <f t="shared" si="8"/>
        <v>71.66</v>
      </c>
      <c r="H43" s="20">
        <f t="shared" si="9"/>
        <v>71.66</v>
      </c>
      <c r="I43" s="2216">
        <v>71.66</v>
      </c>
      <c r="J43" s="2216"/>
      <c r="K43" s="2216"/>
      <c r="L43" s="2216"/>
      <c r="M43" s="2216"/>
      <c r="N43" s="2216"/>
      <c r="O43" s="2216"/>
      <c r="P43" s="2216"/>
      <c r="Q43" s="2216"/>
      <c r="R43" s="2216"/>
      <c r="S43" s="2216"/>
      <c r="T43" s="2216"/>
      <c r="U43" s="2216"/>
      <c r="V43" s="2216"/>
      <c r="W43" s="2216"/>
      <c r="X43" s="2216"/>
      <c r="Y43" s="2216"/>
      <c r="Z43" s="2216"/>
      <c r="AA43" s="2216"/>
      <c r="AB43" s="2216"/>
      <c r="AC43" s="16">
        <f t="shared" si="10"/>
        <v>0</v>
      </c>
      <c r="AD43" s="2217"/>
      <c r="AE43" s="2217"/>
      <c r="AF43" s="2217"/>
      <c r="AG43" s="2217"/>
      <c r="AH43" s="2217"/>
      <c r="AI43" s="2217"/>
      <c r="AJ43" s="2217"/>
      <c r="AK43" s="2217"/>
      <c r="AL43" s="2217"/>
      <c r="AM43" s="2217"/>
      <c r="AN43" s="2217"/>
      <c r="AO43" s="2217"/>
      <c r="AP43" s="2217"/>
      <c r="AQ43" s="2217"/>
      <c r="AR43" s="2217"/>
      <c r="AS43" s="2217"/>
      <c r="AT43" s="2218"/>
      <c r="AU43" s="2219"/>
      <c r="AV43" s="11">
        <f t="shared" si="11"/>
        <v>0</v>
      </c>
      <c r="AW43" s="11" t="str">
        <f t="shared" si="12"/>
        <v>镇房权证字第0401003097100110号</v>
      </c>
      <c r="AX43" s="11" t="str">
        <f t="shared" si="13"/>
        <v>大港港南路401号第4层404室</v>
      </c>
      <c r="AY43" s="2983">
        <f t="shared" si="14"/>
        <v>10.34</v>
      </c>
      <c r="AZ43" s="16">
        <f t="shared" si="15"/>
        <v>71.66</v>
      </c>
      <c r="BA43" s="16">
        <f t="shared" si="16"/>
        <v>71.66</v>
      </c>
      <c r="BB43" s="16">
        <f t="shared" si="17"/>
        <v>71.66</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70" customFormat="1" ht="51">
      <c r="A44" s="1275"/>
      <c r="B44" s="1275" t="s">
        <v>3122</v>
      </c>
      <c r="C44" s="2156" t="s">
        <v>3123</v>
      </c>
      <c r="D44" s="2956" t="s">
        <v>3273</v>
      </c>
      <c r="E44" s="16">
        <f t="shared" si="7"/>
        <v>55.49</v>
      </c>
      <c r="F44" s="32"/>
      <c r="G44" s="33">
        <f t="shared" si="8"/>
        <v>384.52</v>
      </c>
      <c r="H44" s="20">
        <f t="shared" si="9"/>
        <v>384.52</v>
      </c>
      <c r="I44" s="2216">
        <v>384.52</v>
      </c>
      <c r="J44" s="2216"/>
      <c r="K44" s="2216"/>
      <c r="L44" s="2216"/>
      <c r="M44" s="2216"/>
      <c r="N44" s="2216"/>
      <c r="O44" s="2216"/>
      <c r="P44" s="2216"/>
      <c r="Q44" s="2216"/>
      <c r="R44" s="2216"/>
      <c r="S44" s="2216"/>
      <c r="T44" s="2216"/>
      <c r="U44" s="2216"/>
      <c r="V44" s="2216"/>
      <c r="W44" s="2216"/>
      <c r="X44" s="2216"/>
      <c r="Y44" s="2216"/>
      <c r="Z44" s="2216"/>
      <c r="AA44" s="2216"/>
      <c r="AB44" s="2216"/>
      <c r="AC44" s="16">
        <f t="shared" si="10"/>
        <v>0</v>
      </c>
      <c r="AD44" s="2217"/>
      <c r="AE44" s="2217"/>
      <c r="AF44" s="2217"/>
      <c r="AG44" s="2217"/>
      <c r="AH44" s="2217"/>
      <c r="AI44" s="2217"/>
      <c r="AJ44" s="2217"/>
      <c r="AK44" s="2217"/>
      <c r="AL44" s="2217"/>
      <c r="AM44" s="2217"/>
      <c r="AN44" s="2217"/>
      <c r="AO44" s="2217"/>
      <c r="AP44" s="2217"/>
      <c r="AQ44" s="2217"/>
      <c r="AR44" s="2217"/>
      <c r="AS44" s="2217"/>
      <c r="AT44" s="2218"/>
      <c r="AU44" s="2219"/>
      <c r="AV44" s="11">
        <f t="shared" si="11"/>
        <v>0</v>
      </c>
      <c r="AW44" s="11" t="str">
        <f t="shared" si="12"/>
        <v>镇房权证字第0401003066100110号</v>
      </c>
      <c r="AX44" s="11" t="str">
        <f t="shared" si="13"/>
        <v>大港港南路401号第5层501室</v>
      </c>
      <c r="AY44" s="2983">
        <f t="shared" si="14"/>
        <v>55.49</v>
      </c>
      <c r="AZ44" s="16">
        <f t="shared" si="15"/>
        <v>384.52</v>
      </c>
      <c r="BA44" s="16">
        <f t="shared" si="16"/>
        <v>384.52</v>
      </c>
      <c r="BB44" s="16">
        <f t="shared" si="17"/>
        <v>384.52</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70" customFormat="1" ht="51">
      <c r="A45" s="1275"/>
      <c r="B45" s="1275" t="s">
        <v>3124</v>
      </c>
      <c r="C45" s="2156" t="s">
        <v>3125</v>
      </c>
      <c r="D45" s="2956" t="s">
        <v>3273</v>
      </c>
      <c r="E45" s="16">
        <f t="shared" si="7"/>
        <v>98.99</v>
      </c>
      <c r="F45" s="32"/>
      <c r="G45" s="33">
        <f t="shared" si="8"/>
        <v>685.96</v>
      </c>
      <c r="H45" s="20">
        <f t="shared" si="9"/>
        <v>685.96</v>
      </c>
      <c r="I45" s="2216">
        <v>685.96</v>
      </c>
      <c r="J45" s="2216"/>
      <c r="K45" s="2216"/>
      <c r="L45" s="2216"/>
      <c r="M45" s="2216"/>
      <c r="N45" s="2216"/>
      <c r="O45" s="2216"/>
      <c r="P45" s="2216"/>
      <c r="Q45" s="2216"/>
      <c r="R45" s="2216"/>
      <c r="S45" s="2216"/>
      <c r="T45" s="2216"/>
      <c r="U45" s="2216"/>
      <c r="V45" s="2216"/>
      <c r="W45" s="2216"/>
      <c r="X45" s="2216"/>
      <c r="Y45" s="2216"/>
      <c r="Z45" s="2216"/>
      <c r="AA45" s="2216"/>
      <c r="AB45" s="2216"/>
      <c r="AC45" s="16">
        <f t="shared" si="10"/>
        <v>0</v>
      </c>
      <c r="AD45" s="2217"/>
      <c r="AE45" s="2217"/>
      <c r="AF45" s="2217"/>
      <c r="AG45" s="2217"/>
      <c r="AH45" s="2217"/>
      <c r="AI45" s="2217"/>
      <c r="AJ45" s="2217"/>
      <c r="AK45" s="2217"/>
      <c r="AL45" s="2217"/>
      <c r="AM45" s="2217"/>
      <c r="AN45" s="2217"/>
      <c r="AO45" s="2217"/>
      <c r="AP45" s="2217"/>
      <c r="AQ45" s="2217"/>
      <c r="AR45" s="2217"/>
      <c r="AS45" s="2217"/>
      <c r="AT45" s="2218"/>
      <c r="AU45" s="2219"/>
      <c r="AV45" s="11">
        <f t="shared" si="11"/>
        <v>0</v>
      </c>
      <c r="AW45" s="11" t="str">
        <f t="shared" si="12"/>
        <v>镇房权证字第0401003037100110号</v>
      </c>
      <c r="AX45" s="11" t="str">
        <f t="shared" si="13"/>
        <v>大港港南路401号第5层502室</v>
      </c>
      <c r="AY45" s="2983">
        <f t="shared" si="14"/>
        <v>98.99</v>
      </c>
      <c r="AZ45" s="16">
        <f t="shared" si="15"/>
        <v>685.96</v>
      </c>
      <c r="BA45" s="16">
        <f t="shared" si="16"/>
        <v>685.96</v>
      </c>
      <c r="BB45" s="16">
        <f t="shared" si="17"/>
        <v>685.96</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70" customFormat="1" ht="51">
      <c r="A46" s="1275"/>
      <c r="B46" s="1275" t="s">
        <v>3126</v>
      </c>
      <c r="C46" s="2156" t="s">
        <v>3127</v>
      </c>
      <c r="D46" s="2956" t="s">
        <v>3273</v>
      </c>
      <c r="E46" s="16">
        <f t="shared" si="7"/>
        <v>67.69</v>
      </c>
      <c r="F46" s="32"/>
      <c r="G46" s="33">
        <f t="shared" si="8"/>
        <v>469.05</v>
      </c>
      <c r="H46" s="20">
        <f t="shared" si="9"/>
        <v>469.05</v>
      </c>
      <c r="I46" s="2216">
        <v>469.05</v>
      </c>
      <c r="J46" s="2216"/>
      <c r="K46" s="2216"/>
      <c r="L46" s="2216"/>
      <c r="M46" s="2216"/>
      <c r="N46" s="2216"/>
      <c r="O46" s="2216"/>
      <c r="P46" s="2216"/>
      <c r="Q46" s="2216"/>
      <c r="R46" s="2216"/>
      <c r="S46" s="2216"/>
      <c r="T46" s="2216"/>
      <c r="U46" s="2216"/>
      <c r="V46" s="2216"/>
      <c r="W46" s="2216"/>
      <c r="X46" s="2216"/>
      <c r="Y46" s="2216"/>
      <c r="Z46" s="2216"/>
      <c r="AA46" s="2216"/>
      <c r="AB46" s="2216"/>
      <c r="AC46" s="16">
        <f t="shared" si="10"/>
        <v>0</v>
      </c>
      <c r="AD46" s="2217"/>
      <c r="AE46" s="2217"/>
      <c r="AF46" s="2217"/>
      <c r="AG46" s="2217"/>
      <c r="AH46" s="2217"/>
      <c r="AI46" s="2217"/>
      <c r="AJ46" s="2217"/>
      <c r="AK46" s="2217"/>
      <c r="AL46" s="2217"/>
      <c r="AM46" s="2217"/>
      <c r="AN46" s="2217"/>
      <c r="AO46" s="2217"/>
      <c r="AP46" s="2217"/>
      <c r="AQ46" s="2217"/>
      <c r="AR46" s="2217"/>
      <c r="AS46" s="2217"/>
      <c r="AT46" s="2218"/>
      <c r="AU46" s="2219"/>
      <c r="AV46" s="11">
        <f t="shared" si="11"/>
        <v>0</v>
      </c>
      <c r="AW46" s="11" t="str">
        <f t="shared" si="12"/>
        <v>镇房权证字第0401003088100110号</v>
      </c>
      <c r="AX46" s="11" t="str">
        <f t="shared" si="13"/>
        <v>大港港南路401号第5层503室</v>
      </c>
      <c r="AY46" s="2983">
        <f t="shared" si="14"/>
        <v>67.69</v>
      </c>
      <c r="AZ46" s="16">
        <f t="shared" si="15"/>
        <v>469.05</v>
      </c>
      <c r="BA46" s="16">
        <f t="shared" si="16"/>
        <v>469.05</v>
      </c>
      <c r="BB46" s="16">
        <f t="shared" si="17"/>
        <v>469.05</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70" customFormat="1" ht="51">
      <c r="A47" s="1275"/>
      <c r="B47" s="1275" t="s">
        <v>3128</v>
      </c>
      <c r="C47" s="2156" t="s">
        <v>3129</v>
      </c>
      <c r="D47" s="2956" t="s">
        <v>3273</v>
      </c>
      <c r="E47" s="16">
        <f t="shared" si="7"/>
        <v>63.81</v>
      </c>
      <c r="F47" s="32"/>
      <c r="G47" s="33">
        <f t="shared" si="8"/>
        <v>442.19</v>
      </c>
      <c r="H47" s="20">
        <f t="shared" si="9"/>
        <v>442.19</v>
      </c>
      <c r="I47" s="2216">
        <v>442.19</v>
      </c>
      <c r="J47" s="2216"/>
      <c r="K47" s="2216"/>
      <c r="L47" s="2216"/>
      <c r="M47" s="2216"/>
      <c r="N47" s="2216"/>
      <c r="O47" s="2216"/>
      <c r="P47" s="2216"/>
      <c r="Q47" s="2216"/>
      <c r="R47" s="2216"/>
      <c r="S47" s="2216"/>
      <c r="T47" s="2216"/>
      <c r="U47" s="2216"/>
      <c r="V47" s="2216"/>
      <c r="W47" s="2216"/>
      <c r="X47" s="2216"/>
      <c r="Y47" s="2216"/>
      <c r="Z47" s="2216"/>
      <c r="AA47" s="2216"/>
      <c r="AB47" s="2216"/>
      <c r="AC47" s="16">
        <f t="shared" si="10"/>
        <v>0</v>
      </c>
      <c r="AD47" s="2217"/>
      <c r="AE47" s="2217"/>
      <c r="AF47" s="2217"/>
      <c r="AG47" s="2217"/>
      <c r="AH47" s="2217"/>
      <c r="AI47" s="2217"/>
      <c r="AJ47" s="2217"/>
      <c r="AK47" s="2217"/>
      <c r="AL47" s="2217"/>
      <c r="AM47" s="2217"/>
      <c r="AN47" s="2217"/>
      <c r="AO47" s="2217"/>
      <c r="AP47" s="2217"/>
      <c r="AQ47" s="2217"/>
      <c r="AR47" s="2217"/>
      <c r="AS47" s="2217"/>
      <c r="AT47" s="2218"/>
      <c r="AU47" s="2219"/>
      <c r="AV47" s="11">
        <f t="shared" si="11"/>
        <v>0</v>
      </c>
      <c r="AW47" s="11" t="str">
        <f t="shared" si="12"/>
        <v>镇房权证字第0401003044100110号</v>
      </c>
      <c r="AX47" s="11" t="str">
        <f t="shared" si="13"/>
        <v>大港港南路401号第5层504室</v>
      </c>
      <c r="AY47" s="2983">
        <f t="shared" si="14"/>
        <v>63.81</v>
      </c>
      <c r="AZ47" s="16">
        <f t="shared" si="15"/>
        <v>442.19</v>
      </c>
      <c r="BA47" s="16">
        <f t="shared" si="16"/>
        <v>442.19</v>
      </c>
      <c r="BB47" s="16">
        <f t="shared" si="17"/>
        <v>442.19</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70" customFormat="1" ht="51">
      <c r="A48" s="1275"/>
      <c r="B48" s="1275" t="s">
        <v>3130</v>
      </c>
      <c r="C48" s="2156" t="s">
        <v>3131</v>
      </c>
      <c r="D48" s="2956" t="s">
        <v>3273</v>
      </c>
      <c r="E48" s="16">
        <f t="shared" si="7"/>
        <v>10.15</v>
      </c>
      <c r="F48" s="32"/>
      <c r="G48" s="33">
        <f t="shared" si="8"/>
        <v>70.3</v>
      </c>
      <c r="H48" s="20">
        <f t="shared" si="9"/>
        <v>70.3</v>
      </c>
      <c r="I48" s="2216">
        <v>70.3</v>
      </c>
      <c r="J48" s="2216"/>
      <c r="K48" s="2216"/>
      <c r="L48" s="2216"/>
      <c r="M48" s="2216"/>
      <c r="N48" s="2216"/>
      <c r="O48" s="2216"/>
      <c r="P48" s="2216"/>
      <c r="Q48" s="2216"/>
      <c r="R48" s="2216"/>
      <c r="S48" s="2216"/>
      <c r="T48" s="2216"/>
      <c r="U48" s="2216"/>
      <c r="V48" s="2216"/>
      <c r="W48" s="2216"/>
      <c r="X48" s="2216"/>
      <c r="Y48" s="2216"/>
      <c r="Z48" s="2216"/>
      <c r="AA48" s="2216"/>
      <c r="AB48" s="2216"/>
      <c r="AC48" s="16">
        <f t="shared" si="10"/>
        <v>0</v>
      </c>
      <c r="AD48" s="2217"/>
      <c r="AE48" s="2217"/>
      <c r="AF48" s="2217"/>
      <c r="AG48" s="2217"/>
      <c r="AH48" s="2217"/>
      <c r="AI48" s="2217"/>
      <c r="AJ48" s="2217"/>
      <c r="AK48" s="2217"/>
      <c r="AL48" s="2217"/>
      <c r="AM48" s="2217"/>
      <c r="AN48" s="2217"/>
      <c r="AO48" s="2217"/>
      <c r="AP48" s="2217"/>
      <c r="AQ48" s="2217"/>
      <c r="AR48" s="2217"/>
      <c r="AS48" s="2217"/>
      <c r="AT48" s="2218"/>
      <c r="AU48" s="2219"/>
      <c r="AV48" s="11">
        <f t="shared" si="11"/>
        <v>0</v>
      </c>
      <c r="AW48" s="11" t="str">
        <f t="shared" si="12"/>
        <v>镇房权证字第0401003058100110号</v>
      </c>
      <c r="AX48" s="11" t="str">
        <f t="shared" si="13"/>
        <v>大港港南路401号第5层505室</v>
      </c>
      <c r="AY48" s="2983">
        <f t="shared" si="14"/>
        <v>10.15</v>
      </c>
      <c r="AZ48" s="16">
        <f t="shared" si="15"/>
        <v>70.3</v>
      </c>
      <c r="BA48" s="16">
        <f t="shared" si="16"/>
        <v>70.3</v>
      </c>
      <c r="BB48" s="16">
        <f t="shared" si="17"/>
        <v>70.3</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70" customFormat="1" ht="51">
      <c r="A49" s="1275"/>
      <c r="B49" s="1275" t="s">
        <v>3132</v>
      </c>
      <c r="C49" s="2156" t="s">
        <v>3133</v>
      </c>
      <c r="D49" s="2956" t="s">
        <v>3273</v>
      </c>
      <c r="E49" s="16">
        <f t="shared" si="7"/>
        <v>55.49</v>
      </c>
      <c r="F49" s="32"/>
      <c r="G49" s="33">
        <f t="shared" si="8"/>
        <v>384.52</v>
      </c>
      <c r="H49" s="20">
        <f t="shared" si="9"/>
        <v>384.52</v>
      </c>
      <c r="I49" s="2216">
        <v>384.52</v>
      </c>
      <c r="J49" s="2216"/>
      <c r="K49" s="2216"/>
      <c r="L49" s="2216"/>
      <c r="M49" s="2216"/>
      <c r="N49" s="2216"/>
      <c r="O49" s="2216"/>
      <c r="P49" s="2216"/>
      <c r="Q49" s="2216"/>
      <c r="R49" s="2216"/>
      <c r="S49" s="2216"/>
      <c r="T49" s="2216"/>
      <c r="U49" s="2216"/>
      <c r="V49" s="2216"/>
      <c r="W49" s="2216"/>
      <c r="X49" s="2216"/>
      <c r="Y49" s="2216"/>
      <c r="Z49" s="2216"/>
      <c r="AA49" s="2216"/>
      <c r="AB49" s="2216"/>
      <c r="AC49" s="16">
        <f t="shared" si="10"/>
        <v>0</v>
      </c>
      <c r="AD49" s="2217"/>
      <c r="AE49" s="2217"/>
      <c r="AF49" s="2217"/>
      <c r="AG49" s="2217"/>
      <c r="AH49" s="2217"/>
      <c r="AI49" s="2217"/>
      <c r="AJ49" s="2217"/>
      <c r="AK49" s="2217"/>
      <c r="AL49" s="2217"/>
      <c r="AM49" s="2217"/>
      <c r="AN49" s="2217"/>
      <c r="AO49" s="2217"/>
      <c r="AP49" s="2217"/>
      <c r="AQ49" s="2217"/>
      <c r="AR49" s="2217"/>
      <c r="AS49" s="2217"/>
      <c r="AT49" s="2218"/>
      <c r="AU49" s="2219"/>
      <c r="AV49" s="11">
        <f t="shared" si="11"/>
        <v>0</v>
      </c>
      <c r="AW49" s="11" t="str">
        <f t="shared" si="12"/>
        <v>镇房权证字第0401003070100110号</v>
      </c>
      <c r="AX49" s="11" t="str">
        <f t="shared" si="13"/>
        <v>大港港南路401号第6层601室</v>
      </c>
      <c r="AY49" s="2983">
        <f t="shared" si="14"/>
        <v>55.49</v>
      </c>
      <c r="AZ49" s="16">
        <f t="shared" si="15"/>
        <v>384.52</v>
      </c>
      <c r="BA49" s="16">
        <f t="shared" si="16"/>
        <v>384.52</v>
      </c>
      <c r="BB49" s="16">
        <f t="shared" si="17"/>
        <v>384.52</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70" customFormat="1" ht="51">
      <c r="A50" s="1275"/>
      <c r="B50" s="1275" t="s">
        <v>3134</v>
      </c>
      <c r="C50" s="2156" t="s">
        <v>3135</v>
      </c>
      <c r="D50" s="2956" t="s">
        <v>3273</v>
      </c>
      <c r="E50" s="16">
        <f t="shared" si="7"/>
        <v>98.99</v>
      </c>
      <c r="F50" s="32"/>
      <c r="G50" s="33">
        <f t="shared" si="8"/>
        <v>685.96</v>
      </c>
      <c r="H50" s="20">
        <f t="shared" si="9"/>
        <v>685.96</v>
      </c>
      <c r="I50" s="2216">
        <v>685.96</v>
      </c>
      <c r="J50" s="2216"/>
      <c r="K50" s="2216"/>
      <c r="L50" s="2216"/>
      <c r="M50" s="2216"/>
      <c r="N50" s="2216"/>
      <c r="O50" s="2216"/>
      <c r="P50" s="2216"/>
      <c r="Q50" s="2216"/>
      <c r="R50" s="2216"/>
      <c r="S50" s="2216"/>
      <c r="T50" s="2216"/>
      <c r="U50" s="2216"/>
      <c r="V50" s="2216"/>
      <c r="W50" s="2216"/>
      <c r="X50" s="2216"/>
      <c r="Y50" s="2216"/>
      <c r="Z50" s="2216"/>
      <c r="AA50" s="2216"/>
      <c r="AB50" s="2216"/>
      <c r="AC50" s="16">
        <f t="shared" si="10"/>
        <v>0</v>
      </c>
      <c r="AD50" s="2217"/>
      <c r="AE50" s="2217"/>
      <c r="AF50" s="2217"/>
      <c r="AG50" s="2217"/>
      <c r="AH50" s="2217"/>
      <c r="AI50" s="2217"/>
      <c r="AJ50" s="2217"/>
      <c r="AK50" s="2217"/>
      <c r="AL50" s="2217"/>
      <c r="AM50" s="2217"/>
      <c r="AN50" s="2217"/>
      <c r="AO50" s="2217"/>
      <c r="AP50" s="2217"/>
      <c r="AQ50" s="2217"/>
      <c r="AR50" s="2217"/>
      <c r="AS50" s="2217"/>
      <c r="AT50" s="2218"/>
      <c r="AU50" s="2219"/>
      <c r="AV50" s="11">
        <f t="shared" si="11"/>
        <v>0</v>
      </c>
      <c r="AW50" s="11" t="str">
        <f t="shared" si="12"/>
        <v>镇房权证字第0401003083100110号</v>
      </c>
      <c r="AX50" s="11" t="str">
        <f t="shared" si="13"/>
        <v>大港港南路401号第6层602室</v>
      </c>
      <c r="AY50" s="2983">
        <f t="shared" si="14"/>
        <v>98.99</v>
      </c>
      <c r="AZ50" s="16">
        <f t="shared" si="15"/>
        <v>685.96</v>
      </c>
      <c r="BA50" s="16">
        <f t="shared" si="16"/>
        <v>685.96</v>
      </c>
      <c r="BB50" s="16">
        <f t="shared" si="17"/>
        <v>685.96</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70" customFormat="1" ht="51">
      <c r="A51" s="1275"/>
      <c r="B51" s="1275" t="s">
        <v>3136</v>
      </c>
      <c r="C51" s="2156" t="s">
        <v>3137</v>
      </c>
      <c r="D51" s="2956" t="s">
        <v>3273</v>
      </c>
      <c r="E51" s="16">
        <f t="shared" si="7"/>
        <v>67.69</v>
      </c>
      <c r="F51" s="32"/>
      <c r="G51" s="33">
        <f t="shared" si="8"/>
        <v>469.05</v>
      </c>
      <c r="H51" s="20">
        <f t="shared" si="9"/>
        <v>469.05</v>
      </c>
      <c r="I51" s="2216">
        <v>469.05</v>
      </c>
      <c r="J51" s="2216"/>
      <c r="K51" s="2216"/>
      <c r="L51" s="2216"/>
      <c r="M51" s="2216"/>
      <c r="N51" s="2216"/>
      <c r="O51" s="2216"/>
      <c r="P51" s="2216"/>
      <c r="Q51" s="2216"/>
      <c r="R51" s="2216"/>
      <c r="S51" s="2216"/>
      <c r="T51" s="2216"/>
      <c r="U51" s="2216"/>
      <c r="V51" s="2216"/>
      <c r="W51" s="2216"/>
      <c r="X51" s="2216"/>
      <c r="Y51" s="2216"/>
      <c r="Z51" s="2216"/>
      <c r="AA51" s="2216"/>
      <c r="AB51" s="2216"/>
      <c r="AC51" s="16">
        <f t="shared" si="10"/>
        <v>0</v>
      </c>
      <c r="AD51" s="2217"/>
      <c r="AE51" s="2217"/>
      <c r="AF51" s="2217"/>
      <c r="AG51" s="2217"/>
      <c r="AH51" s="2217"/>
      <c r="AI51" s="2217"/>
      <c r="AJ51" s="2217"/>
      <c r="AK51" s="2217"/>
      <c r="AL51" s="2217"/>
      <c r="AM51" s="2217"/>
      <c r="AN51" s="2217"/>
      <c r="AO51" s="2217"/>
      <c r="AP51" s="2217"/>
      <c r="AQ51" s="2217"/>
      <c r="AR51" s="2217"/>
      <c r="AS51" s="2217"/>
      <c r="AT51" s="2218"/>
      <c r="AU51" s="2219"/>
      <c r="AV51" s="11">
        <f t="shared" si="11"/>
        <v>0</v>
      </c>
      <c r="AW51" s="11" t="str">
        <f t="shared" si="12"/>
        <v>镇房权证字第0401003056100110号</v>
      </c>
      <c r="AX51" s="11" t="str">
        <f t="shared" si="13"/>
        <v>大港港南路401号第6层603室</v>
      </c>
      <c r="AY51" s="2983">
        <f t="shared" si="14"/>
        <v>67.69</v>
      </c>
      <c r="AZ51" s="16">
        <f t="shared" si="15"/>
        <v>469.05</v>
      </c>
      <c r="BA51" s="16">
        <f t="shared" si="16"/>
        <v>469.05</v>
      </c>
      <c r="BB51" s="16">
        <f t="shared" si="17"/>
        <v>469.05</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70" customFormat="1" ht="51">
      <c r="A52" s="1275"/>
      <c r="B52" s="1275" t="s">
        <v>3138</v>
      </c>
      <c r="C52" s="2156" t="s">
        <v>3139</v>
      </c>
      <c r="D52" s="2956" t="s">
        <v>3273</v>
      </c>
      <c r="E52" s="16">
        <f t="shared" si="7"/>
        <v>63.81</v>
      </c>
      <c r="F52" s="32"/>
      <c r="G52" s="33">
        <f t="shared" si="8"/>
        <v>442.19</v>
      </c>
      <c r="H52" s="20">
        <f t="shared" si="9"/>
        <v>442.19</v>
      </c>
      <c r="I52" s="2216">
        <v>442.19</v>
      </c>
      <c r="J52" s="2216"/>
      <c r="K52" s="2216"/>
      <c r="L52" s="2216"/>
      <c r="M52" s="2216"/>
      <c r="N52" s="2216"/>
      <c r="O52" s="2216"/>
      <c r="P52" s="2216"/>
      <c r="Q52" s="2216"/>
      <c r="R52" s="2216"/>
      <c r="S52" s="2216"/>
      <c r="T52" s="2216"/>
      <c r="U52" s="2216"/>
      <c r="V52" s="2216"/>
      <c r="W52" s="2216"/>
      <c r="X52" s="2216"/>
      <c r="Y52" s="2216"/>
      <c r="Z52" s="2216"/>
      <c r="AA52" s="2216"/>
      <c r="AB52" s="2216"/>
      <c r="AC52" s="16">
        <f t="shared" si="10"/>
        <v>0</v>
      </c>
      <c r="AD52" s="2217"/>
      <c r="AE52" s="2217"/>
      <c r="AF52" s="2217"/>
      <c r="AG52" s="2217"/>
      <c r="AH52" s="2217"/>
      <c r="AI52" s="2217"/>
      <c r="AJ52" s="2217"/>
      <c r="AK52" s="2217"/>
      <c r="AL52" s="2217"/>
      <c r="AM52" s="2217"/>
      <c r="AN52" s="2217"/>
      <c r="AO52" s="2217"/>
      <c r="AP52" s="2217"/>
      <c r="AQ52" s="2217"/>
      <c r="AR52" s="2217"/>
      <c r="AS52" s="2217"/>
      <c r="AT52" s="2218"/>
      <c r="AU52" s="2219"/>
      <c r="AV52" s="11">
        <f t="shared" si="11"/>
        <v>0</v>
      </c>
      <c r="AW52" s="11" t="str">
        <f t="shared" si="12"/>
        <v>镇房权证字第0401003090100110号</v>
      </c>
      <c r="AX52" s="11" t="str">
        <f t="shared" si="13"/>
        <v>大港港南路401号第6层604室</v>
      </c>
      <c r="AY52" s="2983">
        <f t="shared" si="14"/>
        <v>63.81</v>
      </c>
      <c r="AZ52" s="16">
        <f t="shared" si="15"/>
        <v>442.19</v>
      </c>
      <c r="BA52" s="16">
        <f t="shared" si="16"/>
        <v>442.19</v>
      </c>
      <c r="BB52" s="16">
        <f t="shared" si="17"/>
        <v>442.19</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70" customFormat="1" ht="51">
      <c r="A53" s="1275"/>
      <c r="B53" s="1275" t="s">
        <v>3140</v>
      </c>
      <c r="C53" s="2156" t="s">
        <v>3141</v>
      </c>
      <c r="D53" s="2956" t="s">
        <v>3273</v>
      </c>
      <c r="E53" s="16">
        <f t="shared" si="7"/>
        <v>10.15</v>
      </c>
      <c r="F53" s="32"/>
      <c r="G53" s="33">
        <f t="shared" si="8"/>
        <v>70.3</v>
      </c>
      <c r="H53" s="20">
        <f t="shared" si="9"/>
        <v>70.3</v>
      </c>
      <c r="I53" s="2216">
        <v>70.3</v>
      </c>
      <c r="J53" s="2216"/>
      <c r="K53" s="2216"/>
      <c r="L53" s="2216"/>
      <c r="M53" s="2216"/>
      <c r="N53" s="2216"/>
      <c r="O53" s="2216"/>
      <c r="P53" s="2216"/>
      <c r="Q53" s="2216"/>
      <c r="R53" s="2216"/>
      <c r="S53" s="2216"/>
      <c r="T53" s="2216"/>
      <c r="U53" s="2216"/>
      <c r="V53" s="2216"/>
      <c r="W53" s="2216"/>
      <c r="X53" s="2216"/>
      <c r="Y53" s="2216"/>
      <c r="Z53" s="2216"/>
      <c r="AA53" s="2216"/>
      <c r="AB53" s="2216"/>
      <c r="AC53" s="16">
        <f t="shared" si="10"/>
        <v>0</v>
      </c>
      <c r="AD53" s="2217"/>
      <c r="AE53" s="2217"/>
      <c r="AF53" s="2217"/>
      <c r="AG53" s="2217"/>
      <c r="AH53" s="2217"/>
      <c r="AI53" s="2217"/>
      <c r="AJ53" s="2217"/>
      <c r="AK53" s="2217"/>
      <c r="AL53" s="2217"/>
      <c r="AM53" s="2217"/>
      <c r="AN53" s="2217"/>
      <c r="AO53" s="2217"/>
      <c r="AP53" s="2217"/>
      <c r="AQ53" s="2217"/>
      <c r="AR53" s="2217"/>
      <c r="AS53" s="2217"/>
      <c r="AT53" s="2218"/>
      <c r="AU53" s="2219"/>
      <c r="AV53" s="11">
        <f t="shared" si="11"/>
        <v>0</v>
      </c>
      <c r="AW53" s="11" t="str">
        <f t="shared" si="12"/>
        <v>镇房权证字第0401003041100110号</v>
      </c>
      <c r="AX53" s="11" t="str">
        <f t="shared" si="13"/>
        <v>大港港南路401号第6层605室</v>
      </c>
      <c r="AY53" s="2983">
        <f t="shared" si="14"/>
        <v>10.15</v>
      </c>
      <c r="AZ53" s="16">
        <f t="shared" si="15"/>
        <v>70.3</v>
      </c>
      <c r="BA53" s="16">
        <f t="shared" si="16"/>
        <v>70.3</v>
      </c>
      <c r="BB53" s="16">
        <f t="shared" si="17"/>
        <v>70.3</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70" customFormat="1" ht="51">
      <c r="A54" s="1275"/>
      <c r="B54" s="1275" t="s">
        <v>3142</v>
      </c>
      <c r="C54" s="2156" t="s">
        <v>3143</v>
      </c>
      <c r="D54" s="2956" t="s">
        <v>3273</v>
      </c>
      <c r="E54" s="16">
        <f t="shared" si="7"/>
        <v>55.49</v>
      </c>
      <c r="F54" s="32"/>
      <c r="G54" s="33">
        <f t="shared" si="8"/>
        <v>384.52</v>
      </c>
      <c r="H54" s="20">
        <f t="shared" si="9"/>
        <v>384.52</v>
      </c>
      <c r="I54" s="2216">
        <v>384.52</v>
      </c>
      <c r="J54" s="2216"/>
      <c r="K54" s="2216"/>
      <c r="L54" s="2216"/>
      <c r="M54" s="2216"/>
      <c r="N54" s="2216"/>
      <c r="O54" s="2216"/>
      <c r="P54" s="2216"/>
      <c r="Q54" s="2216"/>
      <c r="R54" s="2216"/>
      <c r="S54" s="2216"/>
      <c r="T54" s="2216"/>
      <c r="U54" s="2216"/>
      <c r="V54" s="2216"/>
      <c r="W54" s="2216"/>
      <c r="X54" s="2216"/>
      <c r="Y54" s="2216"/>
      <c r="Z54" s="2216"/>
      <c r="AA54" s="2216"/>
      <c r="AB54" s="2216"/>
      <c r="AC54" s="16">
        <f t="shared" si="10"/>
        <v>0</v>
      </c>
      <c r="AD54" s="2217"/>
      <c r="AE54" s="2217"/>
      <c r="AF54" s="2217"/>
      <c r="AG54" s="2217"/>
      <c r="AH54" s="2217"/>
      <c r="AI54" s="2217"/>
      <c r="AJ54" s="2217"/>
      <c r="AK54" s="2217"/>
      <c r="AL54" s="2217"/>
      <c r="AM54" s="2217"/>
      <c r="AN54" s="2217"/>
      <c r="AO54" s="2217"/>
      <c r="AP54" s="2217"/>
      <c r="AQ54" s="2217"/>
      <c r="AR54" s="2217"/>
      <c r="AS54" s="2217"/>
      <c r="AT54" s="2218"/>
      <c r="AU54" s="2219"/>
      <c r="AV54" s="11">
        <f t="shared" si="11"/>
        <v>0</v>
      </c>
      <c r="AW54" s="11" t="str">
        <f t="shared" si="12"/>
        <v>镇房权证字第0401003054100110号</v>
      </c>
      <c r="AX54" s="11" t="str">
        <f t="shared" si="13"/>
        <v>大港港南路401号第7层701室</v>
      </c>
      <c r="AY54" s="2983">
        <f t="shared" si="14"/>
        <v>55.49</v>
      </c>
      <c r="AZ54" s="16">
        <f t="shared" si="15"/>
        <v>384.52</v>
      </c>
      <c r="BA54" s="16">
        <f t="shared" si="16"/>
        <v>384.52</v>
      </c>
      <c r="BB54" s="16">
        <f t="shared" si="17"/>
        <v>384.52</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70" customFormat="1" ht="51">
      <c r="A55" s="1275"/>
      <c r="B55" s="1275" t="s">
        <v>3144</v>
      </c>
      <c r="C55" s="2156" t="s">
        <v>3145</v>
      </c>
      <c r="D55" s="2956" t="s">
        <v>3273</v>
      </c>
      <c r="E55" s="16">
        <f t="shared" si="7"/>
        <v>98.99</v>
      </c>
      <c r="F55" s="32"/>
      <c r="G55" s="33">
        <f t="shared" si="8"/>
        <v>685.96</v>
      </c>
      <c r="H55" s="20">
        <f t="shared" si="9"/>
        <v>685.96</v>
      </c>
      <c r="I55" s="2216">
        <v>685.96</v>
      </c>
      <c r="J55" s="2216"/>
      <c r="K55" s="2216"/>
      <c r="L55" s="2216"/>
      <c r="M55" s="2216"/>
      <c r="N55" s="2216"/>
      <c r="O55" s="2216"/>
      <c r="P55" s="2216"/>
      <c r="Q55" s="2216"/>
      <c r="R55" s="2216"/>
      <c r="S55" s="2216"/>
      <c r="T55" s="2216"/>
      <c r="U55" s="2216"/>
      <c r="V55" s="2216"/>
      <c r="W55" s="2216"/>
      <c r="X55" s="2216"/>
      <c r="Y55" s="2216"/>
      <c r="Z55" s="2216"/>
      <c r="AA55" s="2216"/>
      <c r="AB55" s="2216"/>
      <c r="AC55" s="16">
        <f t="shared" si="10"/>
        <v>0</v>
      </c>
      <c r="AD55" s="2217"/>
      <c r="AE55" s="2217"/>
      <c r="AF55" s="2217"/>
      <c r="AG55" s="2217"/>
      <c r="AH55" s="2217"/>
      <c r="AI55" s="2217"/>
      <c r="AJ55" s="2217"/>
      <c r="AK55" s="2217"/>
      <c r="AL55" s="2217"/>
      <c r="AM55" s="2217"/>
      <c r="AN55" s="2217"/>
      <c r="AO55" s="2217"/>
      <c r="AP55" s="2217"/>
      <c r="AQ55" s="2217"/>
      <c r="AR55" s="2217"/>
      <c r="AS55" s="2217"/>
      <c r="AT55" s="2218"/>
      <c r="AU55" s="2219"/>
      <c r="AV55" s="11">
        <f t="shared" si="11"/>
        <v>0</v>
      </c>
      <c r="AW55" s="11" t="str">
        <f t="shared" si="12"/>
        <v>镇房权证字第0401003034100110号</v>
      </c>
      <c r="AX55" s="11" t="str">
        <f t="shared" si="13"/>
        <v>大港港南路401号第7层702室</v>
      </c>
      <c r="AY55" s="2983">
        <f t="shared" si="14"/>
        <v>98.99</v>
      </c>
      <c r="AZ55" s="16">
        <f t="shared" si="15"/>
        <v>685.96</v>
      </c>
      <c r="BA55" s="16">
        <f t="shared" si="16"/>
        <v>685.96</v>
      </c>
      <c r="BB55" s="16">
        <f t="shared" si="17"/>
        <v>685.96</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70" customFormat="1" ht="51">
      <c r="A56" s="1275"/>
      <c r="B56" s="1275" t="s">
        <v>3146</v>
      </c>
      <c r="C56" s="2156" t="s">
        <v>3147</v>
      </c>
      <c r="D56" s="2956" t="s">
        <v>3273</v>
      </c>
      <c r="E56" s="16">
        <f t="shared" si="7"/>
        <v>67.69</v>
      </c>
      <c r="F56" s="32"/>
      <c r="G56" s="33">
        <f t="shared" si="8"/>
        <v>469.05</v>
      </c>
      <c r="H56" s="20">
        <f t="shared" si="9"/>
        <v>469.05</v>
      </c>
      <c r="I56" s="2216">
        <v>469.05</v>
      </c>
      <c r="J56" s="2216"/>
      <c r="K56" s="2216"/>
      <c r="L56" s="2216"/>
      <c r="M56" s="2216"/>
      <c r="N56" s="2216"/>
      <c r="O56" s="2216"/>
      <c r="P56" s="2216"/>
      <c r="Q56" s="2216"/>
      <c r="R56" s="2216"/>
      <c r="S56" s="2216"/>
      <c r="T56" s="2216"/>
      <c r="U56" s="2216"/>
      <c r="V56" s="2216"/>
      <c r="W56" s="2216"/>
      <c r="X56" s="2216"/>
      <c r="Y56" s="2216"/>
      <c r="Z56" s="2216"/>
      <c r="AA56" s="2216"/>
      <c r="AB56" s="2216"/>
      <c r="AC56" s="16">
        <f t="shared" si="10"/>
        <v>0</v>
      </c>
      <c r="AD56" s="2217"/>
      <c r="AE56" s="2217"/>
      <c r="AF56" s="2217"/>
      <c r="AG56" s="2217"/>
      <c r="AH56" s="2217"/>
      <c r="AI56" s="2217"/>
      <c r="AJ56" s="2217"/>
      <c r="AK56" s="2217"/>
      <c r="AL56" s="2217"/>
      <c r="AM56" s="2217"/>
      <c r="AN56" s="2217"/>
      <c r="AO56" s="2217"/>
      <c r="AP56" s="2217"/>
      <c r="AQ56" s="2217"/>
      <c r="AR56" s="2217"/>
      <c r="AS56" s="2217"/>
      <c r="AT56" s="2218"/>
      <c r="AU56" s="2219"/>
      <c r="AV56" s="11">
        <f t="shared" si="11"/>
        <v>0</v>
      </c>
      <c r="AW56" s="11" t="str">
        <f t="shared" si="12"/>
        <v>镇房权证字第0401003065100110号</v>
      </c>
      <c r="AX56" s="11" t="str">
        <f t="shared" si="13"/>
        <v>大港港南路401号第7层703室</v>
      </c>
      <c r="AY56" s="2983">
        <f t="shared" si="14"/>
        <v>67.69</v>
      </c>
      <c r="AZ56" s="16">
        <f t="shared" si="15"/>
        <v>469.05</v>
      </c>
      <c r="BA56" s="16">
        <f t="shared" si="16"/>
        <v>469.05</v>
      </c>
      <c r="BB56" s="16">
        <f t="shared" si="17"/>
        <v>469.05</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70" customFormat="1" ht="51">
      <c r="A57" s="1275"/>
      <c r="B57" s="1275" t="s">
        <v>3148</v>
      </c>
      <c r="C57" s="2156" t="s">
        <v>3149</v>
      </c>
      <c r="D57" s="2956" t="s">
        <v>3273</v>
      </c>
      <c r="E57" s="16">
        <f t="shared" si="7"/>
        <v>63.81</v>
      </c>
      <c r="F57" s="32"/>
      <c r="G57" s="33">
        <f t="shared" si="8"/>
        <v>442.19</v>
      </c>
      <c r="H57" s="20">
        <f t="shared" si="9"/>
        <v>442.19</v>
      </c>
      <c r="I57" s="2216">
        <v>442.19</v>
      </c>
      <c r="J57" s="2216"/>
      <c r="K57" s="2216"/>
      <c r="L57" s="2216"/>
      <c r="M57" s="2216"/>
      <c r="N57" s="2216"/>
      <c r="O57" s="2216"/>
      <c r="P57" s="2216"/>
      <c r="Q57" s="2216"/>
      <c r="R57" s="2216"/>
      <c r="S57" s="2216"/>
      <c r="T57" s="2216"/>
      <c r="U57" s="2216"/>
      <c r="V57" s="2216"/>
      <c r="W57" s="2216"/>
      <c r="X57" s="2216"/>
      <c r="Y57" s="2216"/>
      <c r="Z57" s="2216"/>
      <c r="AA57" s="2216"/>
      <c r="AB57" s="2216"/>
      <c r="AC57" s="16">
        <f t="shared" si="10"/>
        <v>0</v>
      </c>
      <c r="AD57" s="2217"/>
      <c r="AE57" s="2217"/>
      <c r="AF57" s="2217"/>
      <c r="AG57" s="2217"/>
      <c r="AH57" s="2217"/>
      <c r="AI57" s="2217"/>
      <c r="AJ57" s="2217"/>
      <c r="AK57" s="2217"/>
      <c r="AL57" s="2217"/>
      <c r="AM57" s="2217"/>
      <c r="AN57" s="2217"/>
      <c r="AO57" s="2217"/>
      <c r="AP57" s="2217"/>
      <c r="AQ57" s="2217"/>
      <c r="AR57" s="2217"/>
      <c r="AS57" s="2217"/>
      <c r="AT57" s="2218"/>
      <c r="AU57" s="2219"/>
      <c r="AV57" s="11">
        <f t="shared" si="11"/>
        <v>0</v>
      </c>
      <c r="AW57" s="11" t="str">
        <f t="shared" si="12"/>
        <v>镇房权证字第0401003039100110号</v>
      </c>
      <c r="AX57" s="11" t="str">
        <f t="shared" si="13"/>
        <v>大港港南路401号第7层704室</v>
      </c>
      <c r="AY57" s="2983">
        <f t="shared" si="14"/>
        <v>63.81</v>
      </c>
      <c r="AZ57" s="16">
        <f t="shared" si="15"/>
        <v>442.19</v>
      </c>
      <c r="BA57" s="16">
        <f t="shared" si="16"/>
        <v>442.19</v>
      </c>
      <c r="BB57" s="16">
        <f t="shared" si="17"/>
        <v>442.19</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70" customFormat="1" ht="51">
      <c r="A58" s="1275"/>
      <c r="B58" s="1275" t="s">
        <v>3150</v>
      </c>
      <c r="C58" s="2156" t="s">
        <v>3151</v>
      </c>
      <c r="D58" s="2956" t="s">
        <v>3273</v>
      </c>
      <c r="E58" s="16">
        <f t="shared" si="7"/>
        <v>10.15</v>
      </c>
      <c r="F58" s="32"/>
      <c r="G58" s="33">
        <f t="shared" si="8"/>
        <v>70.3</v>
      </c>
      <c r="H58" s="20">
        <f t="shared" si="9"/>
        <v>70.3</v>
      </c>
      <c r="I58" s="2216">
        <v>70.3</v>
      </c>
      <c r="J58" s="2216"/>
      <c r="K58" s="2216"/>
      <c r="L58" s="2216"/>
      <c r="M58" s="2216"/>
      <c r="N58" s="2216"/>
      <c r="O58" s="2216"/>
      <c r="P58" s="2216"/>
      <c r="Q58" s="2216"/>
      <c r="R58" s="2216"/>
      <c r="S58" s="2216"/>
      <c r="T58" s="2216"/>
      <c r="U58" s="2216"/>
      <c r="V58" s="2216"/>
      <c r="W58" s="2216"/>
      <c r="X58" s="2216"/>
      <c r="Y58" s="2216"/>
      <c r="Z58" s="2216"/>
      <c r="AA58" s="2216"/>
      <c r="AB58" s="2216"/>
      <c r="AC58" s="16">
        <f t="shared" si="10"/>
        <v>0</v>
      </c>
      <c r="AD58" s="2217"/>
      <c r="AE58" s="2217"/>
      <c r="AF58" s="2217"/>
      <c r="AG58" s="2217"/>
      <c r="AH58" s="2217"/>
      <c r="AI58" s="2217"/>
      <c r="AJ58" s="2217"/>
      <c r="AK58" s="2217"/>
      <c r="AL58" s="2217"/>
      <c r="AM58" s="2217"/>
      <c r="AN58" s="2217"/>
      <c r="AO58" s="2217"/>
      <c r="AP58" s="2217"/>
      <c r="AQ58" s="2217"/>
      <c r="AR58" s="2217"/>
      <c r="AS58" s="2217"/>
      <c r="AT58" s="2218"/>
      <c r="AU58" s="2219"/>
      <c r="AV58" s="11">
        <f t="shared" si="11"/>
        <v>0</v>
      </c>
      <c r="AW58" s="11" t="str">
        <f t="shared" si="12"/>
        <v>镇房权证字第0401003074100110号</v>
      </c>
      <c r="AX58" s="11" t="str">
        <f t="shared" si="13"/>
        <v>大港港南路401号第7层705室</v>
      </c>
      <c r="AY58" s="2983">
        <f t="shared" si="14"/>
        <v>10.15</v>
      </c>
      <c r="AZ58" s="16">
        <f t="shared" si="15"/>
        <v>70.3</v>
      </c>
      <c r="BA58" s="16">
        <f t="shared" si="16"/>
        <v>70.3</v>
      </c>
      <c r="BB58" s="16">
        <f t="shared" si="17"/>
        <v>70.3</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70" customFormat="1" ht="51">
      <c r="A59" s="1275"/>
      <c r="B59" s="1275" t="s">
        <v>3152</v>
      </c>
      <c r="C59" s="2156" t="s">
        <v>3153</v>
      </c>
      <c r="D59" s="2956" t="s">
        <v>3273</v>
      </c>
      <c r="E59" s="16">
        <f t="shared" si="7"/>
        <v>55.49</v>
      </c>
      <c r="F59" s="32"/>
      <c r="G59" s="33">
        <f t="shared" si="8"/>
        <v>384.52</v>
      </c>
      <c r="H59" s="20">
        <f t="shared" si="9"/>
        <v>384.52</v>
      </c>
      <c r="I59" s="2216">
        <v>384.52</v>
      </c>
      <c r="J59" s="2216"/>
      <c r="K59" s="2216"/>
      <c r="L59" s="2216"/>
      <c r="M59" s="2216"/>
      <c r="N59" s="2216"/>
      <c r="O59" s="2216"/>
      <c r="P59" s="2216"/>
      <c r="Q59" s="2216"/>
      <c r="R59" s="2216"/>
      <c r="S59" s="2216"/>
      <c r="T59" s="2216"/>
      <c r="U59" s="2216"/>
      <c r="V59" s="2216"/>
      <c r="W59" s="2216"/>
      <c r="X59" s="2216"/>
      <c r="Y59" s="2216"/>
      <c r="Z59" s="2216"/>
      <c r="AA59" s="2216"/>
      <c r="AB59" s="2216"/>
      <c r="AC59" s="16">
        <f t="shared" si="10"/>
        <v>0</v>
      </c>
      <c r="AD59" s="2217"/>
      <c r="AE59" s="2217"/>
      <c r="AF59" s="2217"/>
      <c r="AG59" s="2217"/>
      <c r="AH59" s="2217"/>
      <c r="AI59" s="2217"/>
      <c r="AJ59" s="2217"/>
      <c r="AK59" s="2217"/>
      <c r="AL59" s="2217"/>
      <c r="AM59" s="2217"/>
      <c r="AN59" s="2217"/>
      <c r="AO59" s="2217"/>
      <c r="AP59" s="2217"/>
      <c r="AQ59" s="2217"/>
      <c r="AR59" s="2217"/>
      <c r="AS59" s="2217"/>
      <c r="AT59" s="2218"/>
      <c r="AU59" s="2219"/>
      <c r="AV59" s="11">
        <f t="shared" si="11"/>
        <v>0</v>
      </c>
      <c r="AW59" s="11" t="str">
        <f t="shared" si="12"/>
        <v>镇房权证字第0401003076100110号</v>
      </c>
      <c r="AX59" s="11" t="str">
        <f t="shared" si="13"/>
        <v>大港港南路401号第8层801室</v>
      </c>
      <c r="AY59" s="2983">
        <f t="shared" si="14"/>
        <v>55.49</v>
      </c>
      <c r="AZ59" s="16">
        <f t="shared" si="15"/>
        <v>384.52</v>
      </c>
      <c r="BA59" s="16">
        <f t="shared" si="16"/>
        <v>384.52</v>
      </c>
      <c r="BB59" s="16">
        <f t="shared" si="17"/>
        <v>384.52</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70" customFormat="1" ht="51">
      <c r="A60" s="1275"/>
      <c r="B60" s="1275" t="s">
        <v>3154</v>
      </c>
      <c r="C60" s="2156" t="s">
        <v>3155</v>
      </c>
      <c r="D60" s="2956" t="s">
        <v>3273</v>
      </c>
      <c r="E60" s="16">
        <f t="shared" si="7"/>
        <v>98.99</v>
      </c>
      <c r="F60" s="32"/>
      <c r="G60" s="33">
        <f t="shared" si="8"/>
        <v>685.96</v>
      </c>
      <c r="H60" s="20">
        <f t="shared" si="9"/>
        <v>685.96</v>
      </c>
      <c r="I60" s="2216">
        <v>685.96</v>
      </c>
      <c r="J60" s="2216"/>
      <c r="K60" s="2216"/>
      <c r="L60" s="2216"/>
      <c r="M60" s="2216"/>
      <c r="N60" s="2216"/>
      <c r="O60" s="2216"/>
      <c r="P60" s="2216"/>
      <c r="Q60" s="2216"/>
      <c r="R60" s="2216"/>
      <c r="S60" s="2216"/>
      <c r="T60" s="2216"/>
      <c r="U60" s="2216"/>
      <c r="V60" s="2216"/>
      <c r="W60" s="2216"/>
      <c r="X60" s="2216"/>
      <c r="Y60" s="2216"/>
      <c r="Z60" s="2216"/>
      <c r="AA60" s="2216"/>
      <c r="AB60" s="2216"/>
      <c r="AC60" s="16">
        <f t="shared" si="10"/>
        <v>0</v>
      </c>
      <c r="AD60" s="2217"/>
      <c r="AE60" s="2217"/>
      <c r="AF60" s="2217"/>
      <c r="AG60" s="2217"/>
      <c r="AH60" s="2217"/>
      <c r="AI60" s="2217"/>
      <c r="AJ60" s="2217"/>
      <c r="AK60" s="2217"/>
      <c r="AL60" s="2217"/>
      <c r="AM60" s="2217"/>
      <c r="AN60" s="2217"/>
      <c r="AO60" s="2217"/>
      <c r="AP60" s="2217"/>
      <c r="AQ60" s="2217"/>
      <c r="AR60" s="2217"/>
      <c r="AS60" s="2217"/>
      <c r="AT60" s="2218"/>
      <c r="AU60" s="2219"/>
      <c r="AV60" s="11">
        <f t="shared" si="11"/>
        <v>0</v>
      </c>
      <c r="AW60" s="11" t="str">
        <f t="shared" si="12"/>
        <v>镇房权证字第0401003077100110号</v>
      </c>
      <c r="AX60" s="11" t="str">
        <f t="shared" si="13"/>
        <v>大港港南路401号第8层802室</v>
      </c>
      <c r="AY60" s="2983">
        <f t="shared" si="14"/>
        <v>98.99</v>
      </c>
      <c r="AZ60" s="16">
        <f t="shared" si="15"/>
        <v>685.96</v>
      </c>
      <c r="BA60" s="16">
        <f t="shared" si="16"/>
        <v>685.96</v>
      </c>
      <c r="BB60" s="16">
        <f t="shared" si="17"/>
        <v>685.96</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70" customFormat="1" ht="51">
      <c r="A61" s="1275"/>
      <c r="B61" s="1275" t="s">
        <v>3156</v>
      </c>
      <c r="C61" s="2156" t="s">
        <v>3157</v>
      </c>
      <c r="D61" s="2956" t="s">
        <v>3273</v>
      </c>
      <c r="E61" s="16">
        <f t="shared" si="7"/>
        <v>67.69</v>
      </c>
      <c r="F61" s="32"/>
      <c r="G61" s="33">
        <f t="shared" si="8"/>
        <v>469.05</v>
      </c>
      <c r="H61" s="20">
        <f t="shared" si="9"/>
        <v>469.05</v>
      </c>
      <c r="I61" s="2216">
        <v>469.05</v>
      </c>
      <c r="J61" s="2216"/>
      <c r="K61" s="2216"/>
      <c r="L61" s="2216"/>
      <c r="M61" s="2216"/>
      <c r="N61" s="2216"/>
      <c r="O61" s="2216"/>
      <c r="P61" s="2216"/>
      <c r="Q61" s="2216"/>
      <c r="R61" s="2216"/>
      <c r="S61" s="2216"/>
      <c r="T61" s="2216"/>
      <c r="U61" s="2216"/>
      <c r="V61" s="2216"/>
      <c r="W61" s="2216"/>
      <c r="X61" s="2216"/>
      <c r="Y61" s="2216"/>
      <c r="Z61" s="2216"/>
      <c r="AA61" s="2216"/>
      <c r="AB61" s="2216"/>
      <c r="AC61" s="16">
        <f t="shared" si="10"/>
        <v>0</v>
      </c>
      <c r="AD61" s="2217"/>
      <c r="AE61" s="2217"/>
      <c r="AF61" s="2217"/>
      <c r="AG61" s="2217"/>
      <c r="AH61" s="2217"/>
      <c r="AI61" s="2217"/>
      <c r="AJ61" s="2217"/>
      <c r="AK61" s="2217"/>
      <c r="AL61" s="2217"/>
      <c r="AM61" s="2217"/>
      <c r="AN61" s="2217"/>
      <c r="AO61" s="2217"/>
      <c r="AP61" s="2217"/>
      <c r="AQ61" s="2217"/>
      <c r="AR61" s="2217"/>
      <c r="AS61" s="2217"/>
      <c r="AT61" s="2218"/>
      <c r="AU61" s="2219"/>
      <c r="AV61" s="11">
        <f t="shared" si="11"/>
        <v>0</v>
      </c>
      <c r="AW61" s="11" t="str">
        <f t="shared" si="12"/>
        <v>镇房权证字第0401003093100110号</v>
      </c>
      <c r="AX61" s="11" t="str">
        <f t="shared" si="13"/>
        <v>大港港南路401号第8层803室</v>
      </c>
      <c r="AY61" s="2983">
        <f t="shared" si="14"/>
        <v>67.69</v>
      </c>
      <c r="AZ61" s="16">
        <f t="shared" si="15"/>
        <v>469.05</v>
      </c>
      <c r="BA61" s="16">
        <f t="shared" si="16"/>
        <v>469.05</v>
      </c>
      <c r="BB61" s="16">
        <f t="shared" si="17"/>
        <v>469.05</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70" customFormat="1" ht="51">
      <c r="A62" s="1275"/>
      <c r="B62" s="1275" t="s">
        <v>3158</v>
      </c>
      <c r="C62" s="2156" t="s">
        <v>3159</v>
      </c>
      <c r="D62" s="2956" t="s">
        <v>3273</v>
      </c>
      <c r="E62" s="16">
        <f t="shared" si="7"/>
        <v>63.81</v>
      </c>
      <c r="F62" s="32"/>
      <c r="G62" s="33">
        <f t="shared" si="8"/>
        <v>442.19</v>
      </c>
      <c r="H62" s="20">
        <f t="shared" si="9"/>
        <v>442.19</v>
      </c>
      <c r="I62" s="2216">
        <v>442.19</v>
      </c>
      <c r="J62" s="2216"/>
      <c r="K62" s="2216"/>
      <c r="L62" s="2216"/>
      <c r="M62" s="2216"/>
      <c r="N62" s="2216"/>
      <c r="O62" s="2216"/>
      <c r="P62" s="2216"/>
      <c r="Q62" s="2216"/>
      <c r="R62" s="2216"/>
      <c r="S62" s="2216"/>
      <c r="T62" s="2216"/>
      <c r="U62" s="2216"/>
      <c r="V62" s="2216"/>
      <c r="W62" s="2216"/>
      <c r="X62" s="2216"/>
      <c r="Y62" s="2216"/>
      <c r="Z62" s="2216"/>
      <c r="AA62" s="2216"/>
      <c r="AB62" s="2216"/>
      <c r="AC62" s="16">
        <f t="shared" si="10"/>
        <v>0</v>
      </c>
      <c r="AD62" s="2217"/>
      <c r="AE62" s="2217"/>
      <c r="AF62" s="2217"/>
      <c r="AG62" s="2217"/>
      <c r="AH62" s="2217"/>
      <c r="AI62" s="2217"/>
      <c r="AJ62" s="2217"/>
      <c r="AK62" s="2217"/>
      <c r="AL62" s="2217"/>
      <c r="AM62" s="2217"/>
      <c r="AN62" s="2217"/>
      <c r="AO62" s="2217"/>
      <c r="AP62" s="2217"/>
      <c r="AQ62" s="2217"/>
      <c r="AR62" s="2217"/>
      <c r="AS62" s="2217"/>
      <c r="AT62" s="2218"/>
      <c r="AU62" s="2219"/>
      <c r="AV62" s="11">
        <f t="shared" si="11"/>
        <v>0</v>
      </c>
      <c r="AW62" s="11" t="str">
        <f t="shared" si="12"/>
        <v>镇房权证字第0401003067100110号</v>
      </c>
      <c r="AX62" s="11" t="str">
        <f t="shared" si="13"/>
        <v>大港港南路401号第8层804室</v>
      </c>
      <c r="AY62" s="2983">
        <f t="shared" si="14"/>
        <v>63.81</v>
      </c>
      <c r="AZ62" s="16">
        <f t="shared" si="15"/>
        <v>442.19</v>
      </c>
      <c r="BA62" s="16">
        <f t="shared" si="16"/>
        <v>442.19</v>
      </c>
      <c r="BB62" s="16">
        <f t="shared" si="17"/>
        <v>442.19</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70" customFormat="1" ht="51">
      <c r="A63" s="1275"/>
      <c r="B63" s="1275" t="s">
        <v>3160</v>
      </c>
      <c r="C63" s="2156" t="s">
        <v>3161</v>
      </c>
      <c r="D63" s="2956" t="s">
        <v>3273</v>
      </c>
      <c r="E63" s="16">
        <f t="shared" si="7"/>
        <v>10.15</v>
      </c>
      <c r="F63" s="32"/>
      <c r="G63" s="33">
        <f t="shared" si="8"/>
        <v>70.3</v>
      </c>
      <c r="H63" s="20">
        <f t="shared" si="9"/>
        <v>70.3</v>
      </c>
      <c r="I63" s="2216">
        <v>70.3</v>
      </c>
      <c r="J63" s="2216"/>
      <c r="K63" s="2216"/>
      <c r="L63" s="2216"/>
      <c r="M63" s="2216"/>
      <c r="N63" s="2216"/>
      <c r="O63" s="2216"/>
      <c r="P63" s="2216"/>
      <c r="Q63" s="2216"/>
      <c r="R63" s="2216"/>
      <c r="S63" s="2216"/>
      <c r="T63" s="2216"/>
      <c r="U63" s="2216"/>
      <c r="V63" s="2216"/>
      <c r="W63" s="2216"/>
      <c r="X63" s="2216"/>
      <c r="Y63" s="2216"/>
      <c r="Z63" s="2216"/>
      <c r="AA63" s="2216"/>
      <c r="AB63" s="2216"/>
      <c r="AC63" s="16">
        <f t="shared" si="10"/>
        <v>0</v>
      </c>
      <c r="AD63" s="2217"/>
      <c r="AE63" s="2217"/>
      <c r="AF63" s="2217"/>
      <c r="AG63" s="2217"/>
      <c r="AH63" s="2217"/>
      <c r="AI63" s="2217"/>
      <c r="AJ63" s="2217"/>
      <c r="AK63" s="2217"/>
      <c r="AL63" s="2217"/>
      <c r="AM63" s="2217"/>
      <c r="AN63" s="2217"/>
      <c r="AO63" s="2217"/>
      <c r="AP63" s="2217"/>
      <c r="AQ63" s="2217"/>
      <c r="AR63" s="2217"/>
      <c r="AS63" s="2217"/>
      <c r="AT63" s="2218"/>
      <c r="AU63" s="2219"/>
      <c r="AV63" s="11">
        <f t="shared" si="11"/>
        <v>0</v>
      </c>
      <c r="AW63" s="11" t="str">
        <f t="shared" si="12"/>
        <v>镇房权证字第0401003059100110号</v>
      </c>
      <c r="AX63" s="11" t="str">
        <f t="shared" si="13"/>
        <v>大港港南路401号第8层805室</v>
      </c>
      <c r="AY63" s="2983">
        <f t="shared" si="14"/>
        <v>10.15</v>
      </c>
      <c r="AZ63" s="16">
        <f t="shared" si="15"/>
        <v>70.3</v>
      </c>
      <c r="BA63" s="16">
        <f t="shared" si="16"/>
        <v>70.3</v>
      </c>
      <c r="BB63" s="16">
        <f t="shared" si="17"/>
        <v>70.3</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70" customFormat="1" ht="51">
      <c r="A64" s="1275"/>
      <c r="B64" s="1275" t="s">
        <v>3162</v>
      </c>
      <c r="C64" s="2156" t="s">
        <v>3163</v>
      </c>
      <c r="D64" s="2956" t="s">
        <v>3273</v>
      </c>
      <c r="E64" s="16">
        <f t="shared" si="7"/>
        <v>55.49</v>
      </c>
      <c r="F64" s="32"/>
      <c r="G64" s="33">
        <f t="shared" si="8"/>
        <v>384.52</v>
      </c>
      <c r="H64" s="20">
        <f t="shared" si="9"/>
        <v>384.52</v>
      </c>
      <c r="I64" s="2216">
        <v>384.52</v>
      </c>
      <c r="J64" s="2216"/>
      <c r="K64" s="2216"/>
      <c r="L64" s="2216"/>
      <c r="M64" s="2216"/>
      <c r="N64" s="2216"/>
      <c r="O64" s="2216"/>
      <c r="P64" s="2216"/>
      <c r="Q64" s="2216"/>
      <c r="R64" s="2216"/>
      <c r="S64" s="2216"/>
      <c r="T64" s="2216"/>
      <c r="U64" s="2216"/>
      <c r="V64" s="2216"/>
      <c r="W64" s="2216"/>
      <c r="X64" s="2216"/>
      <c r="Y64" s="2216"/>
      <c r="Z64" s="2216"/>
      <c r="AA64" s="2216"/>
      <c r="AB64" s="2216"/>
      <c r="AC64" s="16">
        <f t="shared" si="10"/>
        <v>0</v>
      </c>
      <c r="AD64" s="2217"/>
      <c r="AE64" s="2217"/>
      <c r="AF64" s="2217"/>
      <c r="AG64" s="2217"/>
      <c r="AH64" s="2217"/>
      <c r="AI64" s="2217"/>
      <c r="AJ64" s="2217"/>
      <c r="AK64" s="2217"/>
      <c r="AL64" s="2217"/>
      <c r="AM64" s="2217"/>
      <c r="AN64" s="2217"/>
      <c r="AO64" s="2217"/>
      <c r="AP64" s="2217"/>
      <c r="AQ64" s="2217"/>
      <c r="AR64" s="2217"/>
      <c r="AS64" s="2217"/>
      <c r="AT64" s="2218"/>
      <c r="AU64" s="2219"/>
      <c r="AV64" s="11">
        <f t="shared" si="11"/>
        <v>0</v>
      </c>
      <c r="AW64" s="11" t="str">
        <f t="shared" si="12"/>
        <v>镇房权证字第0401003072100110号</v>
      </c>
      <c r="AX64" s="11" t="str">
        <f t="shared" si="13"/>
        <v>大港港南路401号第9层901室</v>
      </c>
      <c r="AY64" s="2983">
        <f t="shared" si="14"/>
        <v>55.49</v>
      </c>
      <c r="AZ64" s="16">
        <f t="shared" si="15"/>
        <v>384.52</v>
      </c>
      <c r="BA64" s="16">
        <f t="shared" si="16"/>
        <v>384.52</v>
      </c>
      <c r="BB64" s="16">
        <f t="shared" si="17"/>
        <v>384.52</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70" customFormat="1" ht="51">
      <c r="A65" s="1275"/>
      <c r="B65" s="1275" t="s">
        <v>3164</v>
      </c>
      <c r="C65" s="2156" t="s">
        <v>3165</v>
      </c>
      <c r="D65" s="2956" t="s">
        <v>3273</v>
      </c>
      <c r="E65" s="16">
        <f t="shared" si="7"/>
        <v>98.99</v>
      </c>
      <c r="F65" s="32"/>
      <c r="G65" s="33">
        <f t="shared" si="8"/>
        <v>685.96</v>
      </c>
      <c r="H65" s="20">
        <f t="shared" si="9"/>
        <v>685.96</v>
      </c>
      <c r="I65" s="2216">
        <v>685.96</v>
      </c>
      <c r="J65" s="2216"/>
      <c r="K65" s="2216"/>
      <c r="L65" s="2216"/>
      <c r="M65" s="2216"/>
      <c r="N65" s="2216"/>
      <c r="O65" s="2216"/>
      <c r="P65" s="2216"/>
      <c r="Q65" s="2216"/>
      <c r="R65" s="2216"/>
      <c r="S65" s="2216"/>
      <c r="T65" s="2216"/>
      <c r="U65" s="2216"/>
      <c r="V65" s="2216"/>
      <c r="W65" s="2216"/>
      <c r="X65" s="2216"/>
      <c r="Y65" s="2216"/>
      <c r="Z65" s="2216"/>
      <c r="AA65" s="2216"/>
      <c r="AB65" s="2216"/>
      <c r="AC65" s="16">
        <f t="shared" si="10"/>
        <v>0</v>
      </c>
      <c r="AD65" s="2217"/>
      <c r="AE65" s="2217"/>
      <c r="AF65" s="2217"/>
      <c r="AG65" s="2217"/>
      <c r="AH65" s="2217"/>
      <c r="AI65" s="2217"/>
      <c r="AJ65" s="2217"/>
      <c r="AK65" s="2217"/>
      <c r="AL65" s="2217"/>
      <c r="AM65" s="2217"/>
      <c r="AN65" s="2217"/>
      <c r="AO65" s="2217"/>
      <c r="AP65" s="2217"/>
      <c r="AQ65" s="2217"/>
      <c r="AR65" s="2217"/>
      <c r="AS65" s="2217"/>
      <c r="AT65" s="2218"/>
      <c r="AU65" s="2219"/>
      <c r="AV65" s="11">
        <f t="shared" si="11"/>
        <v>0</v>
      </c>
      <c r="AW65" s="11" t="str">
        <f t="shared" si="12"/>
        <v>镇房权证字第0401003063100110号</v>
      </c>
      <c r="AX65" s="11" t="str">
        <f t="shared" si="13"/>
        <v>大港港南路401号第9层902室</v>
      </c>
      <c r="AY65" s="2983">
        <f t="shared" si="14"/>
        <v>98.99</v>
      </c>
      <c r="AZ65" s="16">
        <f t="shared" si="15"/>
        <v>685.96</v>
      </c>
      <c r="BA65" s="16">
        <f t="shared" si="16"/>
        <v>685.96</v>
      </c>
      <c r="BB65" s="16">
        <f t="shared" si="17"/>
        <v>685.96</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70" customFormat="1" ht="51">
      <c r="A66" s="1275"/>
      <c r="B66" s="1275" t="s">
        <v>3166</v>
      </c>
      <c r="C66" s="2156" t="s">
        <v>3167</v>
      </c>
      <c r="D66" s="2956" t="s">
        <v>3273</v>
      </c>
      <c r="E66" s="16">
        <f t="shared" si="7"/>
        <v>67.69</v>
      </c>
      <c r="F66" s="32"/>
      <c r="G66" s="33">
        <f t="shared" si="8"/>
        <v>469.05</v>
      </c>
      <c r="H66" s="20">
        <f t="shared" si="9"/>
        <v>469.05</v>
      </c>
      <c r="I66" s="2216">
        <v>469.05</v>
      </c>
      <c r="J66" s="2216"/>
      <c r="K66" s="2216"/>
      <c r="L66" s="2216"/>
      <c r="M66" s="2216"/>
      <c r="N66" s="2216"/>
      <c r="O66" s="2216"/>
      <c r="P66" s="2216"/>
      <c r="Q66" s="2216"/>
      <c r="R66" s="2216"/>
      <c r="S66" s="2216"/>
      <c r="T66" s="2216"/>
      <c r="U66" s="2216"/>
      <c r="V66" s="2216"/>
      <c r="W66" s="2216"/>
      <c r="X66" s="2216"/>
      <c r="Y66" s="2216"/>
      <c r="Z66" s="2216"/>
      <c r="AA66" s="2216"/>
      <c r="AB66" s="2216"/>
      <c r="AC66" s="16">
        <f t="shared" si="10"/>
        <v>0</v>
      </c>
      <c r="AD66" s="2217"/>
      <c r="AE66" s="2217"/>
      <c r="AF66" s="2217"/>
      <c r="AG66" s="2217"/>
      <c r="AH66" s="2217"/>
      <c r="AI66" s="2217"/>
      <c r="AJ66" s="2217"/>
      <c r="AK66" s="2217"/>
      <c r="AL66" s="2217"/>
      <c r="AM66" s="2217"/>
      <c r="AN66" s="2217"/>
      <c r="AO66" s="2217"/>
      <c r="AP66" s="2217"/>
      <c r="AQ66" s="2217"/>
      <c r="AR66" s="2217"/>
      <c r="AS66" s="2217"/>
      <c r="AT66" s="2218"/>
      <c r="AU66" s="2219"/>
      <c r="AV66" s="11">
        <f t="shared" si="11"/>
        <v>0</v>
      </c>
      <c r="AW66" s="11" t="str">
        <f t="shared" si="12"/>
        <v>镇房权证字第0401003057100110号</v>
      </c>
      <c r="AX66" s="11" t="str">
        <f t="shared" si="13"/>
        <v>大港港南路401号第9层903室</v>
      </c>
      <c r="AY66" s="2983">
        <f t="shared" si="14"/>
        <v>67.69</v>
      </c>
      <c r="AZ66" s="16">
        <f t="shared" si="15"/>
        <v>469.05</v>
      </c>
      <c r="BA66" s="16">
        <f t="shared" si="16"/>
        <v>469.05</v>
      </c>
      <c r="BB66" s="16">
        <f t="shared" si="17"/>
        <v>469.05</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70" customFormat="1" ht="51">
      <c r="A67" s="1275"/>
      <c r="B67" s="1275" t="s">
        <v>3168</v>
      </c>
      <c r="C67" s="2156" t="s">
        <v>3169</v>
      </c>
      <c r="D67" s="2956" t="s">
        <v>3273</v>
      </c>
      <c r="E67" s="16">
        <f t="shared" si="7"/>
        <v>63.81</v>
      </c>
      <c r="F67" s="32"/>
      <c r="G67" s="33">
        <f t="shared" si="8"/>
        <v>442.19</v>
      </c>
      <c r="H67" s="20">
        <f t="shared" si="9"/>
        <v>442.19</v>
      </c>
      <c r="I67" s="2216">
        <v>442.19</v>
      </c>
      <c r="J67" s="2216"/>
      <c r="K67" s="2216"/>
      <c r="L67" s="2216"/>
      <c r="M67" s="2216"/>
      <c r="N67" s="2216"/>
      <c r="O67" s="2216"/>
      <c r="P67" s="2216"/>
      <c r="Q67" s="2216"/>
      <c r="R67" s="2216"/>
      <c r="S67" s="2216"/>
      <c r="T67" s="2216"/>
      <c r="U67" s="2216"/>
      <c r="V67" s="2216"/>
      <c r="W67" s="2216"/>
      <c r="X67" s="2216"/>
      <c r="Y67" s="2216"/>
      <c r="Z67" s="2216"/>
      <c r="AA67" s="2216"/>
      <c r="AB67" s="2216"/>
      <c r="AC67" s="16">
        <f t="shared" si="10"/>
        <v>0</v>
      </c>
      <c r="AD67" s="2217"/>
      <c r="AE67" s="2217"/>
      <c r="AF67" s="2217"/>
      <c r="AG67" s="2217"/>
      <c r="AH67" s="2217"/>
      <c r="AI67" s="2217"/>
      <c r="AJ67" s="2217"/>
      <c r="AK67" s="2217"/>
      <c r="AL67" s="2217"/>
      <c r="AM67" s="2217"/>
      <c r="AN67" s="2217"/>
      <c r="AO67" s="2217"/>
      <c r="AP67" s="2217"/>
      <c r="AQ67" s="2217"/>
      <c r="AR67" s="2217"/>
      <c r="AS67" s="2217"/>
      <c r="AT67" s="2218"/>
      <c r="AU67" s="2219"/>
      <c r="AV67" s="11">
        <f t="shared" si="11"/>
        <v>0</v>
      </c>
      <c r="AW67" s="11" t="str">
        <f t="shared" si="12"/>
        <v>镇房权证字第0401003092100110号</v>
      </c>
      <c r="AX67" s="11" t="str">
        <f t="shared" si="13"/>
        <v>大港港南路401号第9层904室</v>
      </c>
      <c r="AY67" s="2983">
        <f t="shared" si="14"/>
        <v>63.81</v>
      </c>
      <c r="AZ67" s="16">
        <f t="shared" si="15"/>
        <v>442.19</v>
      </c>
      <c r="BA67" s="16">
        <f t="shared" si="16"/>
        <v>442.19</v>
      </c>
      <c r="BB67" s="16">
        <f t="shared" si="17"/>
        <v>442.19</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70" customFormat="1" ht="51">
      <c r="A68" s="1275"/>
      <c r="B68" s="1275" t="s">
        <v>3170</v>
      </c>
      <c r="C68" s="2156" t="s">
        <v>3171</v>
      </c>
      <c r="D68" s="2956" t="s">
        <v>3273</v>
      </c>
      <c r="E68" s="16">
        <f t="shared" si="7"/>
        <v>10.15</v>
      </c>
      <c r="F68" s="32"/>
      <c r="G68" s="33">
        <f t="shared" si="8"/>
        <v>70.3</v>
      </c>
      <c r="H68" s="20">
        <f t="shared" si="9"/>
        <v>70.3</v>
      </c>
      <c r="I68" s="2216">
        <v>70.3</v>
      </c>
      <c r="J68" s="2216"/>
      <c r="K68" s="2216"/>
      <c r="L68" s="2216"/>
      <c r="M68" s="2216"/>
      <c r="N68" s="2216"/>
      <c r="O68" s="2216"/>
      <c r="P68" s="2216"/>
      <c r="Q68" s="2216"/>
      <c r="R68" s="2216"/>
      <c r="S68" s="2216"/>
      <c r="T68" s="2216"/>
      <c r="U68" s="2216"/>
      <c r="V68" s="2216"/>
      <c r="W68" s="2216"/>
      <c r="X68" s="2216"/>
      <c r="Y68" s="2216"/>
      <c r="Z68" s="2216"/>
      <c r="AA68" s="2216"/>
      <c r="AB68" s="2216"/>
      <c r="AC68" s="16">
        <f t="shared" si="10"/>
        <v>0</v>
      </c>
      <c r="AD68" s="2217"/>
      <c r="AE68" s="2217"/>
      <c r="AF68" s="2217"/>
      <c r="AG68" s="2217"/>
      <c r="AH68" s="2217"/>
      <c r="AI68" s="2217"/>
      <c r="AJ68" s="2217"/>
      <c r="AK68" s="2217"/>
      <c r="AL68" s="2217"/>
      <c r="AM68" s="2217"/>
      <c r="AN68" s="2217"/>
      <c r="AO68" s="2217"/>
      <c r="AP68" s="2217"/>
      <c r="AQ68" s="2217"/>
      <c r="AR68" s="2217"/>
      <c r="AS68" s="2217"/>
      <c r="AT68" s="2218"/>
      <c r="AU68" s="2219"/>
      <c r="AV68" s="11">
        <f t="shared" si="11"/>
        <v>0</v>
      </c>
      <c r="AW68" s="11" t="str">
        <f t="shared" si="12"/>
        <v>镇房权证字第0401003042100110号</v>
      </c>
      <c r="AX68" s="11" t="str">
        <f t="shared" si="13"/>
        <v>大港港南路401号第9层905室</v>
      </c>
      <c r="AY68" s="2983">
        <f t="shared" si="14"/>
        <v>10.15</v>
      </c>
      <c r="AZ68" s="16">
        <f t="shared" si="15"/>
        <v>70.3</v>
      </c>
      <c r="BA68" s="16">
        <f t="shared" si="16"/>
        <v>70.3</v>
      </c>
      <c r="BB68" s="16">
        <f t="shared" si="17"/>
        <v>70.3</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70" customFormat="1" ht="51">
      <c r="A69" s="1275"/>
      <c r="B69" s="1275" t="s">
        <v>3172</v>
      </c>
      <c r="C69" s="2156" t="s">
        <v>3173</v>
      </c>
      <c r="D69" s="2956" t="s">
        <v>3273</v>
      </c>
      <c r="E69" s="16">
        <f t="shared" si="7"/>
        <v>55.49</v>
      </c>
      <c r="F69" s="32"/>
      <c r="G69" s="33">
        <f t="shared" si="8"/>
        <v>384.52</v>
      </c>
      <c r="H69" s="20">
        <f t="shared" si="9"/>
        <v>384.52</v>
      </c>
      <c r="I69" s="2216">
        <v>384.52</v>
      </c>
      <c r="J69" s="2216"/>
      <c r="K69" s="2216"/>
      <c r="L69" s="2216"/>
      <c r="M69" s="2216"/>
      <c r="N69" s="2216"/>
      <c r="O69" s="2216"/>
      <c r="P69" s="2216"/>
      <c r="Q69" s="2216"/>
      <c r="R69" s="2216"/>
      <c r="S69" s="2216"/>
      <c r="T69" s="2216"/>
      <c r="U69" s="2216"/>
      <c r="V69" s="2216"/>
      <c r="W69" s="2216"/>
      <c r="X69" s="2216"/>
      <c r="Y69" s="2216"/>
      <c r="Z69" s="2216"/>
      <c r="AA69" s="2216"/>
      <c r="AB69" s="2216"/>
      <c r="AC69" s="16">
        <f t="shared" si="10"/>
        <v>0</v>
      </c>
      <c r="AD69" s="2217"/>
      <c r="AE69" s="2217"/>
      <c r="AF69" s="2217"/>
      <c r="AG69" s="2217"/>
      <c r="AH69" s="2217"/>
      <c r="AI69" s="2217"/>
      <c r="AJ69" s="2217"/>
      <c r="AK69" s="2217"/>
      <c r="AL69" s="2217"/>
      <c r="AM69" s="2217"/>
      <c r="AN69" s="2217"/>
      <c r="AO69" s="2217"/>
      <c r="AP69" s="2217"/>
      <c r="AQ69" s="2217"/>
      <c r="AR69" s="2217"/>
      <c r="AS69" s="2217"/>
      <c r="AT69" s="2218"/>
      <c r="AU69" s="2219"/>
      <c r="AV69" s="11">
        <f t="shared" si="11"/>
        <v>0</v>
      </c>
      <c r="AW69" s="11" t="str">
        <f t="shared" si="12"/>
        <v>镇房权证字第0401003085100110号</v>
      </c>
      <c r="AX69" s="11" t="str">
        <f t="shared" si="13"/>
        <v>大港港南路401号第10层1001室</v>
      </c>
      <c r="AY69" s="2983">
        <f t="shared" si="14"/>
        <v>55.49</v>
      </c>
      <c r="AZ69" s="16">
        <f t="shared" si="15"/>
        <v>384.52</v>
      </c>
      <c r="BA69" s="16">
        <f t="shared" si="16"/>
        <v>384.52</v>
      </c>
      <c r="BB69" s="16">
        <f t="shared" si="17"/>
        <v>384.52</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70" customFormat="1" ht="51">
      <c r="A70" s="1275"/>
      <c r="B70" s="1275" t="s">
        <v>3174</v>
      </c>
      <c r="C70" s="2156" t="s">
        <v>3175</v>
      </c>
      <c r="D70" s="2956" t="s">
        <v>3273</v>
      </c>
      <c r="E70" s="16">
        <f t="shared" si="7"/>
        <v>98.99</v>
      </c>
      <c r="F70" s="32"/>
      <c r="G70" s="33">
        <f t="shared" si="8"/>
        <v>685.96</v>
      </c>
      <c r="H70" s="20">
        <f t="shared" si="9"/>
        <v>685.96</v>
      </c>
      <c r="I70" s="2216">
        <v>685.96</v>
      </c>
      <c r="J70" s="2216"/>
      <c r="K70" s="2216"/>
      <c r="L70" s="2216"/>
      <c r="M70" s="2216"/>
      <c r="N70" s="2216"/>
      <c r="O70" s="2216"/>
      <c r="P70" s="2216"/>
      <c r="Q70" s="2216"/>
      <c r="R70" s="2216"/>
      <c r="S70" s="2216"/>
      <c r="T70" s="2216"/>
      <c r="U70" s="2216"/>
      <c r="V70" s="2216"/>
      <c r="W70" s="2216"/>
      <c r="X70" s="2216"/>
      <c r="Y70" s="2216"/>
      <c r="Z70" s="2216"/>
      <c r="AA70" s="2216"/>
      <c r="AB70" s="2216"/>
      <c r="AC70" s="16">
        <f t="shared" si="10"/>
        <v>0</v>
      </c>
      <c r="AD70" s="2217"/>
      <c r="AE70" s="2217"/>
      <c r="AF70" s="2217"/>
      <c r="AG70" s="2217"/>
      <c r="AH70" s="2217"/>
      <c r="AI70" s="2217"/>
      <c r="AJ70" s="2217"/>
      <c r="AK70" s="2217"/>
      <c r="AL70" s="2217"/>
      <c r="AM70" s="2217"/>
      <c r="AN70" s="2217"/>
      <c r="AO70" s="2217"/>
      <c r="AP70" s="2217"/>
      <c r="AQ70" s="2217"/>
      <c r="AR70" s="2217"/>
      <c r="AS70" s="2217"/>
      <c r="AT70" s="2218"/>
      <c r="AU70" s="2219"/>
      <c r="AV70" s="11">
        <f t="shared" si="11"/>
        <v>0</v>
      </c>
      <c r="AW70" s="11" t="str">
        <f t="shared" si="12"/>
        <v>镇房权证字第0401003040100110号</v>
      </c>
      <c r="AX70" s="11" t="str">
        <f t="shared" si="13"/>
        <v>大港港南路401号第10层1002室</v>
      </c>
      <c r="AY70" s="2983">
        <f t="shared" si="14"/>
        <v>98.99</v>
      </c>
      <c r="AZ70" s="16">
        <f t="shared" si="15"/>
        <v>685.96</v>
      </c>
      <c r="BA70" s="16">
        <f t="shared" si="16"/>
        <v>685.96</v>
      </c>
      <c r="BB70" s="16">
        <f t="shared" si="17"/>
        <v>685.96</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70" customFormat="1" ht="51">
      <c r="A71" s="1275"/>
      <c r="B71" s="1275" t="s">
        <v>3176</v>
      </c>
      <c r="C71" s="2156" t="s">
        <v>3177</v>
      </c>
      <c r="D71" s="2956" t="s">
        <v>3273</v>
      </c>
      <c r="E71" s="16">
        <f t="shared" si="7"/>
        <v>67.69</v>
      </c>
      <c r="F71" s="32"/>
      <c r="G71" s="33">
        <f t="shared" si="8"/>
        <v>469.05</v>
      </c>
      <c r="H71" s="20">
        <f t="shared" si="9"/>
        <v>469.05</v>
      </c>
      <c r="I71" s="2216">
        <v>469.05</v>
      </c>
      <c r="J71" s="2216"/>
      <c r="K71" s="2216"/>
      <c r="L71" s="2216"/>
      <c r="M71" s="2216"/>
      <c r="N71" s="2216"/>
      <c r="O71" s="2216"/>
      <c r="P71" s="2216"/>
      <c r="Q71" s="2216"/>
      <c r="R71" s="2216"/>
      <c r="S71" s="2216"/>
      <c r="T71" s="2216"/>
      <c r="U71" s="2216"/>
      <c r="V71" s="2216"/>
      <c r="W71" s="2216"/>
      <c r="X71" s="2216"/>
      <c r="Y71" s="2216"/>
      <c r="Z71" s="2216"/>
      <c r="AA71" s="2216"/>
      <c r="AB71" s="2216"/>
      <c r="AC71" s="16">
        <f t="shared" si="10"/>
        <v>0</v>
      </c>
      <c r="AD71" s="2217"/>
      <c r="AE71" s="2217"/>
      <c r="AF71" s="2217"/>
      <c r="AG71" s="2217"/>
      <c r="AH71" s="2217"/>
      <c r="AI71" s="2217"/>
      <c r="AJ71" s="2217"/>
      <c r="AK71" s="2217"/>
      <c r="AL71" s="2217"/>
      <c r="AM71" s="2217"/>
      <c r="AN71" s="2217"/>
      <c r="AO71" s="2217"/>
      <c r="AP71" s="2217"/>
      <c r="AQ71" s="2217"/>
      <c r="AR71" s="2217"/>
      <c r="AS71" s="2217"/>
      <c r="AT71" s="2218"/>
      <c r="AU71" s="2219"/>
      <c r="AV71" s="11">
        <f t="shared" si="11"/>
        <v>0</v>
      </c>
      <c r="AW71" s="11" t="str">
        <f t="shared" si="12"/>
        <v>镇房权证字第0401003043100110号</v>
      </c>
      <c r="AX71" s="11" t="str">
        <f t="shared" si="13"/>
        <v>大港港南路401号第10层1003室</v>
      </c>
      <c r="AY71" s="2983">
        <f t="shared" si="14"/>
        <v>67.69</v>
      </c>
      <c r="AZ71" s="16">
        <f t="shared" si="15"/>
        <v>469.05</v>
      </c>
      <c r="BA71" s="16">
        <f t="shared" si="16"/>
        <v>469.05</v>
      </c>
      <c r="BB71" s="16">
        <f t="shared" si="17"/>
        <v>469.05</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70" customFormat="1" ht="51">
      <c r="A72" s="1275"/>
      <c r="B72" s="1275" t="s">
        <v>3178</v>
      </c>
      <c r="C72" s="2156" t="s">
        <v>3179</v>
      </c>
      <c r="D72" s="2956" t="s">
        <v>3273</v>
      </c>
      <c r="E72" s="16">
        <f t="shared" si="7"/>
        <v>63.81</v>
      </c>
      <c r="F72" s="32"/>
      <c r="G72" s="33">
        <f t="shared" si="8"/>
        <v>442.19</v>
      </c>
      <c r="H72" s="20">
        <f t="shared" si="9"/>
        <v>442.19</v>
      </c>
      <c r="I72" s="2216">
        <v>442.19</v>
      </c>
      <c r="J72" s="2216"/>
      <c r="K72" s="2216"/>
      <c r="L72" s="2216"/>
      <c r="M72" s="2216"/>
      <c r="N72" s="2216"/>
      <c r="O72" s="2216"/>
      <c r="P72" s="2216"/>
      <c r="Q72" s="2216"/>
      <c r="R72" s="2216"/>
      <c r="S72" s="2216"/>
      <c r="T72" s="2216"/>
      <c r="U72" s="2216"/>
      <c r="V72" s="2216"/>
      <c r="W72" s="2216"/>
      <c r="X72" s="2216"/>
      <c r="Y72" s="2216"/>
      <c r="Z72" s="2216"/>
      <c r="AA72" s="2216"/>
      <c r="AB72" s="2216"/>
      <c r="AC72" s="16">
        <f t="shared" si="10"/>
        <v>0</v>
      </c>
      <c r="AD72" s="2217"/>
      <c r="AE72" s="2217"/>
      <c r="AF72" s="2217"/>
      <c r="AG72" s="2217"/>
      <c r="AH72" s="2217"/>
      <c r="AI72" s="2217"/>
      <c r="AJ72" s="2217"/>
      <c r="AK72" s="2217"/>
      <c r="AL72" s="2217"/>
      <c r="AM72" s="2217"/>
      <c r="AN72" s="2217"/>
      <c r="AO72" s="2217"/>
      <c r="AP72" s="2217"/>
      <c r="AQ72" s="2217"/>
      <c r="AR72" s="2217"/>
      <c r="AS72" s="2217"/>
      <c r="AT72" s="2218"/>
      <c r="AU72" s="2219"/>
      <c r="AV72" s="11">
        <f t="shared" si="11"/>
        <v>0</v>
      </c>
      <c r="AW72" s="11" t="str">
        <f t="shared" si="12"/>
        <v>镇房权证字第0401003055100110号</v>
      </c>
      <c r="AX72" s="11" t="str">
        <f t="shared" si="13"/>
        <v>大港港南路401号第10层1004室</v>
      </c>
      <c r="AY72" s="2983">
        <f t="shared" si="14"/>
        <v>63.81</v>
      </c>
      <c r="AZ72" s="16">
        <f t="shared" si="15"/>
        <v>442.19</v>
      </c>
      <c r="BA72" s="16">
        <f t="shared" si="16"/>
        <v>442.19</v>
      </c>
      <c r="BB72" s="16">
        <f t="shared" si="17"/>
        <v>442.19</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70" customFormat="1" ht="51">
      <c r="A73" s="1275"/>
      <c r="B73" s="1275" t="s">
        <v>3180</v>
      </c>
      <c r="C73" s="2156" t="s">
        <v>3181</v>
      </c>
      <c r="D73" s="2956" t="s">
        <v>3273</v>
      </c>
      <c r="E73" s="16">
        <f t="shared" si="7"/>
        <v>10.15</v>
      </c>
      <c r="F73" s="32"/>
      <c r="G73" s="33">
        <f t="shared" si="8"/>
        <v>70.3</v>
      </c>
      <c r="H73" s="20">
        <f t="shared" si="9"/>
        <v>70.3</v>
      </c>
      <c r="I73" s="2216">
        <v>70.3</v>
      </c>
      <c r="J73" s="2216"/>
      <c r="K73" s="2216"/>
      <c r="L73" s="2216"/>
      <c r="M73" s="2216"/>
      <c r="N73" s="2216"/>
      <c r="O73" s="2216"/>
      <c r="P73" s="2216"/>
      <c r="Q73" s="2216"/>
      <c r="R73" s="2216"/>
      <c r="S73" s="2216"/>
      <c r="T73" s="2216"/>
      <c r="U73" s="2216"/>
      <c r="V73" s="2216"/>
      <c r="W73" s="2216"/>
      <c r="X73" s="2216"/>
      <c r="Y73" s="2216"/>
      <c r="Z73" s="2216"/>
      <c r="AA73" s="2216"/>
      <c r="AB73" s="2216"/>
      <c r="AC73" s="16">
        <f t="shared" si="10"/>
        <v>0</v>
      </c>
      <c r="AD73" s="2217"/>
      <c r="AE73" s="2217"/>
      <c r="AF73" s="2217"/>
      <c r="AG73" s="2217"/>
      <c r="AH73" s="2217"/>
      <c r="AI73" s="2217"/>
      <c r="AJ73" s="2217"/>
      <c r="AK73" s="2217"/>
      <c r="AL73" s="2217"/>
      <c r="AM73" s="2217"/>
      <c r="AN73" s="2217"/>
      <c r="AO73" s="2217"/>
      <c r="AP73" s="2217"/>
      <c r="AQ73" s="2217"/>
      <c r="AR73" s="2217"/>
      <c r="AS73" s="2217"/>
      <c r="AT73" s="2218"/>
      <c r="AU73" s="2219"/>
      <c r="AV73" s="11">
        <f t="shared" si="11"/>
        <v>0</v>
      </c>
      <c r="AW73" s="11" t="str">
        <f t="shared" si="12"/>
        <v>镇房权证字第0401003080100110号</v>
      </c>
      <c r="AX73" s="11" t="str">
        <f t="shared" si="13"/>
        <v>大港港南路401号第10层1005室</v>
      </c>
      <c r="AY73" s="2983">
        <f t="shared" si="14"/>
        <v>10.15</v>
      </c>
      <c r="AZ73" s="16">
        <f t="shared" si="15"/>
        <v>70.3</v>
      </c>
      <c r="BA73" s="16">
        <f t="shared" si="16"/>
        <v>70.3</v>
      </c>
      <c r="BB73" s="16">
        <f t="shared" si="17"/>
        <v>70.3</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70" customFormat="1" ht="51">
      <c r="A74" s="1275"/>
      <c r="B74" s="1275" t="s">
        <v>3182</v>
      </c>
      <c r="C74" s="2156" t="s">
        <v>3183</v>
      </c>
      <c r="D74" s="2956" t="s">
        <v>3273</v>
      </c>
      <c r="E74" s="16">
        <f t="shared" si="7"/>
        <v>137.11000000000001</v>
      </c>
      <c r="F74" s="32"/>
      <c r="G74" s="33">
        <f t="shared" si="8"/>
        <v>950.07</v>
      </c>
      <c r="H74" s="20">
        <f t="shared" si="9"/>
        <v>950.07</v>
      </c>
      <c r="I74" s="2216">
        <v>950.07</v>
      </c>
      <c r="J74" s="2216"/>
      <c r="K74" s="2216"/>
      <c r="L74" s="2216"/>
      <c r="M74" s="2216"/>
      <c r="N74" s="2216"/>
      <c r="O74" s="2216"/>
      <c r="P74" s="2216"/>
      <c r="Q74" s="2216"/>
      <c r="R74" s="2216"/>
      <c r="S74" s="2216"/>
      <c r="T74" s="2216"/>
      <c r="U74" s="2216"/>
      <c r="V74" s="2216"/>
      <c r="W74" s="2216"/>
      <c r="X74" s="2216"/>
      <c r="Y74" s="2216"/>
      <c r="Z74" s="2216"/>
      <c r="AA74" s="2216"/>
      <c r="AB74" s="2216"/>
      <c r="AC74" s="16">
        <f t="shared" si="10"/>
        <v>0</v>
      </c>
      <c r="AD74" s="2217"/>
      <c r="AE74" s="2217"/>
      <c r="AF74" s="2217"/>
      <c r="AG74" s="2217"/>
      <c r="AH74" s="2217"/>
      <c r="AI74" s="2217"/>
      <c r="AJ74" s="2217"/>
      <c r="AK74" s="2217"/>
      <c r="AL74" s="2217"/>
      <c r="AM74" s="2217"/>
      <c r="AN74" s="2217"/>
      <c r="AO74" s="2217"/>
      <c r="AP74" s="2217"/>
      <c r="AQ74" s="2217"/>
      <c r="AR74" s="2217"/>
      <c r="AS74" s="2217"/>
      <c r="AT74" s="2218"/>
      <c r="AU74" s="2219"/>
      <c r="AV74" s="11">
        <f t="shared" si="11"/>
        <v>0</v>
      </c>
      <c r="AW74" s="11" t="str">
        <f t="shared" si="12"/>
        <v>镇房权证字第0401003025100110号</v>
      </c>
      <c r="AX74" s="11" t="str">
        <f t="shared" si="13"/>
        <v>大港港南路401号第11层1101室</v>
      </c>
      <c r="AY74" s="2983">
        <f t="shared" si="14"/>
        <v>137.11000000000001</v>
      </c>
      <c r="AZ74" s="16">
        <f t="shared" si="15"/>
        <v>950.07</v>
      </c>
      <c r="BA74" s="16">
        <f t="shared" si="16"/>
        <v>950.07</v>
      </c>
      <c r="BB74" s="16">
        <f t="shared" si="17"/>
        <v>950.07</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70" customFormat="1" ht="51">
      <c r="A75" s="1275"/>
      <c r="B75" s="1275" t="s">
        <v>3184</v>
      </c>
      <c r="C75" s="2156" t="s">
        <v>3185</v>
      </c>
      <c r="D75" s="2956" t="s">
        <v>3273</v>
      </c>
      <c r="E75" s="16">
        <f t="shared" si="7"/>
        <v>148.88</v>
      </c>
      <c r="F75" s="32"/>
      <c r="G75" s="33">
        <f t="shared" si="8"/>
        <v>1031.6500000000001</v>
      </c>
      <c r="H75" s="20">
        <f t="shared" si="9"/>
        <v>1031.6500000000001</v>
      </c>
      <c r="I75" s="2216">
        <v>1031.6500000000001</v>
      </c>
      <c r="J75" s="2216"/>
      <c r="K75" s="2216"/>
      <c r="L75" s="2216"/>
      <c r="M75" s="2216"/>
      <c r="N75" s="2216"/>
      <c r="O75" s="2216"/>
      <c r="P75" s="2216"/>
      <c r="Q75" s="2216"/>
      <c r="R75" s="2216"/>
      <c r="S75" s="2216"/>
      <c r="T75" s="2216"/>
      <c r="U75" s="2216"/>
      <c r="V75" s="2216"/>
      <c r="W75" s="2216"/>
      <c r="X75" s="2216"/>
      <c r="Y75" s="2216"/>
      <c r="Z75" s="2216"/>
      <c r="AA75" s="2216"/>
      <c r="AB75" s="2216"/>
      <c r="AC75" s="16">
        <f t="shared" si="10"/>
        <v>0</v>
      </c>
      <c r="AD75" s="2217"/>
      <c r="AE75" s="2217"/>
      <c r="AF75" s="2217"/>
      <c r="AG75" s="2217"/>
      <c r="AH75" s="2217"/>
      <c r="AI75" s="2217"/>
      <c r="AJ75" s="2217"/>
      <c r="AK75" s="2217"/>
      <c r="AL75" s="2217"/>
      <c r="AM75" s="2217"/>
      <c r="AN75" s="2217"/>
      <c r="AO75" s="2217"/>
      <c r="AP75" s="2217"/>
      <c r="AQ75" s="2217"/>
      <c r="AR75" s="2217"/>
      <c r="AS75" s="2217"/>
      <c r="AT75" s="2218"/>
      <c r="AU75" s="2219"/>
      <c r="AV75" s="11">
        <f t="shared" si="11"/>
        <v>0</v>
      </c>
      <c r="AW75" s="11" t="str">
        <f t="shared" si="12"/>
        <v>镇房权证字第0401003026100110号</v>
      </c>
      <c r="AX75" s="11" t="str">
        <f t="shared" si="13"/>
        <v>大港港南路401号第11层1102室</v>
      </c>
      <c r="AY75" s="2983">
        <f t="shared" si="14"/>
        <v>148.88</v>
      </c>
      <c r="AZ75" s="16">
        <f t="shared" si="15"/>
        <v>1031.6500000000001</v>
      </c>
      <c r="BA75" s="16">
        <f t="shared" si="16"/>
        <v>1031.6500000000001</v>
      </c>
      <c r="BB75" s="16">
        <f t="shared" si="17"/>
        <v>1031.6500000000001</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70" customFormat="1" ht="51">
      <c r="A76" s="1275"/>
      <c r="B76" s="1275" t="s">
        <v>3186</v>
      </c>
      <c r="C76" s="2156" t="s">
        <v>3187</v>
      </c>
      <c r="D76" s="2956" t="s">
        <v>3273</v>
      </c>
      <c r="E76" s="16">
        <f t="shared" si="7"/>
        <v>10.15</v>
      </c>
      <c r="F76" s="32"/>
      <c r="G76" s="33">
        <f t="shared" si="8"/>
        <v>70.3</v>
      </c>
      <c r="H76" s="20">
        <f t="shared" si="9"/>
        <v>70.3</v>
      </c>
      <c r="I76" s="2216">
        <v>70.3</v>
      </c>
      <c r="J76" s="2216"/>
      <c r="K76" s="2216"/>
      <c r="L76" s="2216"/>
      <c r="M76" s="2216"/>
      <c r="N76" s="2216"/>
      <c r="O76" s="2216"/>
      <c r="P76" s="2216"/>
      <c r="Q76" s="2216"/>
      <c r="R76" s="2216"/>
      <c r="S76" s="2216"/>
      <c r="T76" s="2216"/>
      <c r="U76" s="2216"/>
      <c r="V76" s="2216"/>
      <c r="W76" s="2216"/>
      <c r="X76" s="2216"/>
      <c r="Y76" s="2216"/>
      <c r="Z76" s="2216"/>
      <c r="AA76" s="2216"/>
      <c r="AB76" s="2216"/>
      <c r="AC76" s="16">
        <f t="shared" si="10"/>
        <v>0</v>
      </c>
      <c r="AD76" s="2217"/>
      <c r="AE76" s="2217"/>
      <c r="AF76" s="2217"/>
      <c r="AG76" s="2217"/>
      <c r="AH76" s="2217"/>
      <c r="AI76" s="2217"/>
      <c r="AJ76" s="2217"/>
      <c r="AK76" s="2217"/>
      <c r="AL76" s="2217"/>
      <c r="AM76" s="2217"/>
      <c r="AN76" s="2217"/>
      <c r="AO76" s="2217"/>
      <c r="AP76" s="2217"/>
      <c r="AQ76" s="2217"/>
      <c r="AR76" s="2217"/>
      <c r="AS76" s="2217"/>
      <c r="AT76" s="2218"/>
      <c r="AU76" s="2219"/>
      <c r="AV76" s="11">
        <f t="shared" si="11"/>
        <v>0</v>
      </c>
      <c r="AW76" s="11" t="str">
        <f t="shared" si="12"/>
        <v>镇房权证字第0401003024100110号</v>
      </c>
      <c r="AX76" s="11" t="str">
        <f t="shared" si="13"/>
        <v>大港港南路401号第11层1103室</v>
      </c>
      <c r="AY76" s="2983">
        <f t="shared" si="14"/>
        <v>10.15</v>
      </c>
      <c r="AZ76" s="16">
        <f t="shared" si="15"/>
        <v>70.3</v>
      </c>
      <c r="BA76" s="16">
        <f t="shared" si="16"/>
        <v>70.3</v>
      </c>
      <c r="BB76" s="16">
        <f t="shared" si="17"/>
        <v>70.3</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70" customFormat="1" ht="51">
      <c r="A77" s="1275"/>
      <c r="B77" s="1275" t="s">
        <v>3188</v>
      </c>
      <c r="C77" s="2156" t="s">
        <v>3189</v>
      </c>
      <c r="D77" s="2956" t="s">
        <v>3274</v>
      </c>
      <c r="E77" s="16">
        <f t="shared" si="7"/>
        <v>137.11000000000001</v>
      </c>
      <c r="F77" s="32"/>
      <c r="G77" s="33">
        <f t="shared" si="8"/>
        <v>950.07</v>
      </c>
      <c r="H77" s="20">
        <f t="shared" si="9"/>
        <v>950.07</v>
      </c>
      <c r="I77" s="2216">
        <v>950.07</v>
      </c>
      <c r="J77" s="2216"/>
      <c r="K77" s="2216"/>
      <c r="L77" s="2216"/>
      <c r="M77" s="2216"/>
      <c r="N77" s="2216"/>
      <c r="O77" s="2216"/>
      <c r="P77" s="2216"/>
      <c r="Q77" s="2216"/>
      <c r="R77" s="2216"/>
      <c r="S77" s="2216"/>
      <c r="T77" s="2216"/>
      <c r="U77" s="2216"/>
      <c r="V77" s="2216"/>
      <c r="W77" s="2216"/>
      <c r="X77" s="2216"/>
      <c r="Y77" s="2216"/>
      <c r="Z77" s="2216"/>
      <c r="AA77" s="2216"/>
      <c r="AB77" s="2216"/>
      <c r="AC77" s="16">
        <f t="shared" si="10"/>
        <v>0</v>
      </c>
      <c r="AD77" s="2217"/>
      <c r="AE77" s="2217"/>
      <c r="AF77" s="2217"/>
      <c r="AG77" s="2217"/>
      <c r="AH77" s="2217"/>
      <c r="AI77" s="2217"/>
      <c r="AJ77" s="2217"/>
      <c r="AK77" s="2217"/>
      <c r="AL77" s="2217"/>
      <c r="AM77" s="2217"/>
      <c r="AN77" s="2217"/>
      <c r="AO77" s="2217"/>
      <c r="AP77" s="2217"/>
      <c r="AQ77" s="2217"/>
      <c r="AR77" s="2217"/>
      <c r="AS77" s="2217"/>
      <c r="AT77" s="2218"/>
      <c r="AU77" s="2219"/>
      <c r="AV77" s="11">
        <f t="shared" si="11"/>
        <v>0</v>
      </c>
      <c r="AW77" s="11" t="str">
        <f t="shared" si="12"/>
        <v>镇房权证字第0401003001100110号</v>
      </c>
      <c r="AX77" s="11" t="str">
        <f t="shared" si="13"/>
        <v>大港港南路401号第12层1201室</v>
      </c>
      <c r="AY77" s="2983">
        <f t="shared" si="14"/>
        <v>0</v>
      </c>
      <c r="AZ77" s="16">
        <f t="shared" si="15"/>
        <v>0</v>
      </c>
      <c r="BA77" s="16">
        <f t="shared" si="16"/>
        <v>0</v>
      </c>
      <c r="BB77" s="16">
        <f t="shared" si="17"/>
        <v>0</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70" customFormat="1" ht="51">
      <c r="A78" s="1275"/>
      <c r="B78" s="1275" t="s">
        <v>3190</v>
      </c>
      <c r="C78" s="2156" t="s">
        <v>3191</v>
      </c>
      <c r="D78" s="2956" t="s">
        <v>3273</v>
      </c>
      <c r="E78" s="16">
        <f t="shared" si="7"/>
        <v>148.88</v>
      </c>
      <c r="F78" s="32"/>
      <c r="G78" s="33">
        <f t="shared" si="8"/>
        <v>1031.6500000000001</v>
      </c>
      <c r="H78" s="20">
        <f t="shared" si="9"/>
        <v>1031.6500000000001</v>
      </c>
      <c r="I78" s="2216">
        <v>1031.6500000000001</v>
      </c>
      <c r="J78" s="2216"/>
      <c r="K78" s="2216"/>
      <c r="L78" s="2216"/>
      <c r="M78" s="2216"/>
      <c r="N78" s="2216"/>
      <c r="O78" s="2216"/>
      <c r="P78" s="2216"/>
      <c r="Q78" s="2216"/>
      <c r="R78" s="2216"/>
      <c r="S78" s="2216"/>
      <c r="T78" s="2216"/>
      <c r="U78" s="2216"/>
      <c r="V78" s="2216"/>
      <c r="W78" s="2216"/>
      <c r="X78" s="2216"/>
      <c r="Y78" s="2216"/>
      <c r="Z78" s="2216"/>
      <c r="AA78" s="2216"/>
      <c r="AB78" s="2216"/>
      <c r="AC78" s="16">
        <f t="shared" si="10"/>
        <v>0</v>
      </c>
      <c r="AD78" s="2217"/>
      <c r="AE78" s="2217"/>
      <c r="AF78" s="2217"/>
      <c r="AG78" s="2217"/>
      <c r="AH78" s="2217"/>
      <c r="AI78" s="2217"/>
      <c r="AJ78" s="2217"/>
      <c r="AK78" s="2217"/>
      <c r="AL78" s="2217"/>
      <c r="AM78" s="2217"/>
      <c r="AN78" s="2217"/>
      <c r="AO78" s="2217"/>
      <c r="AP78" s="2217"/>
      <c r="AQ78" s="2217"/>
      <c r="AR78" s="2217"/>
      <c r="AS78" s="2217"/>
      <c r="AT78" s="2218"/>
      <c r="AU78" s="2219"/>
      <c r="AV78" s="11">
        <f t="shared" si="11"/>
        <v>0</v>
      </c>
      <c r="AW78" s="11" t="str">
        <f t="shared" si="12"/>
        <v>镇房权证字第0401003000100110号</v>
      </c>
      <c r="AX78" s="11" t="str">
        <f t="shared" si="13"/>
        <v>大港港南路401号第12层1202室</v>
      </c>
      <c r="AY78" s="2983">
        <f t="shared" si="14"/>
        <v>148.88</v>
      </c>
      <c r="AZ78" s="16">
        <f t="shared" si="15"/>
        <v>1031.6500000000001</v>
      </c>
      <c r="BA78" s="16">
        <f t="shared" si="16"/>
        <v>1031.6500000000001</v>
      </c>
      <c r="BB78" s="16">
        <f t="shared" si="17"/>
        <v>1031.6500000000001</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70" customFormat="1" ht="51">
      <c r="A79" s="1275"/>
      <c r="B79" s="1275" t="s">
        <v>3192</v>
      </c>
      <c r="C79" s="2156" t="s">
        <v>3193</v>
      </c>
      <c r="D79" s="2956" t="s">
        <v>3273</v>
      </c>
      <c r="E79" s="16">
        <f t="shared" si="7"/>
        <v>10.15</v>
      </c>
      <c r="F79" s="32"/>
      <c r="G79" s="33">
        <f t="shared" si="8"/>
        <v>70.3</v>
      </c>
      <c r="H79" s="20">
        <f t="shared" si="9"/>
        <v>70.3</v>
      </c>
      <c r="I79" s="2216">
        <v>70.3</v>
      </c>
      <c r="J79" s="2216"/>
      <c r="K79" s="2216"/>
      <c r="L79" s="2216"/>
      <c r="M79" s="2216"/>
      <c r="N79" s="2216"/>
      <c r="O79" s="2216"/>
      <c r="P79" s="2216"/>
      <c r="Q79" s="2216"/>
      <c r="R79" s="2216"/>
      <c r="S79" s="2216"/>
      <c r="T79" s="2216"/>
      <c r="U79" s="2216"/>
      <c r="V79" s="2216"/>
      <c r="W79" s="2216"/>
      <c r="X79" s="2216"/>
      <c r="Y79" s="2216"/>
      <c r="Z79" s="2216"/>
      <c r="AA79" s="2216"/>
      <c r="AB79" s="2216"/>
      <c r="AC79" s="16">
        <f t="shared" si="10"/>
        <v>0</v>
      </c>
      <c r="AD79" s="2217"/>
      <c r="AE79" s="2217"/>
      <c r="AF79" s="2217"/>
      <c r="AG79" s="2217"/>
      <c r="AH79" s="2217"/>
      <c r="AI79" s="2217"/>
      <c r="AJ79" s="2217"/>
      <c r="AK79" s="2217"/>
      <c r="AL79" s="2217"/>
      <c r="AM79" s="2217"/>
      <c r="AN79" s="2217"/>
      <c r="AO79" s="2217"/>
      <c r="AP79" s="2217"/>
      <c r="AQ79" s="2217"/>
      <c r="AR79" s="2217"/>
      <c r="AS79" s="2217"/>
      <c r="AT79" s="2218"/>
      <c r="AU79" s="2219"/>
      <c r="AV79" s="11">
        <f t="shared" si="11"/>
        <v>0</v>
      </c>
      <c r="AW79" s="11" t="str">
        <f t="shared" si="12"/>
        <v>镇房权证字第0401003002100110号</v>
      </c>
      <c r="AX79" s="11" t="str">
        <f t="shared" si="13"/>
        <v>大港港南路401号第12层1203室</v>
      </c>
      <c r="AY79" s="2983">
        <f t="shared" si="14"/>
        <v>10.15</v>
      </c>
      <c r="AZ79" s="16">
        <f t="shared" si="15"/>
        <v>70.3</v>
      </c>
      <c r="BA79" s="16">
        <f t="shared" si="16"/>
        <v>70.3</v>
      </c>
      <c r="BB79" s="16">
        <f t="shared" si="17"/>
        <v>70.3</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70" customFormat="1" ht="51">
      <c r="A80" s="1275"/>
      <c r="B80" s="1275" t="s">
        <v>3194</v>
      </c>
      <c r="C80" s="2156" t="s">
        <v>3195</v>
      </c>
      <c r="D80" s="2956" t="s">
        <v>3273</v>
      </c>
      <c r="E80" s="16">
        <f t="shared" si="7"/>
        <v>137.11000000000001</v>
      </c>
      <c r="F80" s="32"/>
      <c r="G80" s="33">
        <f t="shared" si="8"/>
        <v>950.07</v>
      </c>
      <c r="H80" s="20">
        <f t="shared" si="9"/>
        <v>950.07</v>
      </c>
      <c r="I80" s="2216">
        <v>950.07</v>
      </c>
      <c r="J80" s="2216"/>
      <c r="K80" s="2216"/>
      <c r="L80" s="2216"/>
      <c r="M80" s="2216"/>
      <c r="N80" s="2216"/>
      <c r="O80" s="2216"/>
      <c r="P80" s="2216"/>
      <c r="Q80" s="2216"/>
      <c r="R80" s="2216"/>
      <c r="S80" s="2216"/>
      <c r="T80" s="2216"/>
      <c r="U80" s="2216"/>
      <c r="V80" s="2216"/>
      <c r="W80" s="2216"/>
      <c r="X80" s="2216"/>
      <c r="Y80" s="2216"/>
      <c r="Z80" s="2216"/>
      <c r="AA80" s="2216"/>
      <c r="AB80" s="2216"/>
      <c r="AC80" s="16">
        <f t="shared" si="10"/>
        <v>0</v>
      </c>
      <c r="AD80" s="2217"/>
      <c r="AE80" s="2217"/>
      <c r="AF80" s="2217"/>
      <c r="AG80" s="2217"/>
      <c r="AH80" s="2217"/>
      <c r="AI80" s="2217"/>
      <c r="AJ80" s="2217"/>
      <c r="AK80" s="2217"/>
      <c r="AL80" s="2217"/>
      <c r="AM80" s="2217"/>
      <c r="AN80" s="2217"/>
      <c r="AO80" s="2217"/>
      <c r="AP80" s="2217"/>
      <c r="AQ80" s="2217"/>
      <c r="AR80" s="2217"/>
      <c r="AS80" s="2217"/>
      <c r="AT80" s="2218"/>
      <c r="AU80" s="2219"/>
      <c r="AV80" s="11">
        <f t="shared" si="11"/>
        <v>0</v>
      </c>
      <c r="AW80" s="11" t="str">
        <f t="shared" si="12"/>
        <v>镇房权证字第0401002998100110号</v>
      </c>
      <c r="AX80" s="11" t="str">
        <f t="shared" si="13"/>
        <v>大港港南路401号第13层1301室</v>
      </c>
      <c r="AY80" s="2983">
        <f t="shared" si="14"/>
        <v>137.11000000000001</v>
      </c>
      <c r="AZ80" s="16">
        <f t="shared" si="15"/>
        <v>950.07</v>
      </c>
      <c r="BA80" s="16">
        <f t="shared" si="16"/>
        <v>950.07</v>
      </c>
      <c r="BB80" s="16">
        <f t="shared" si="17"/>
        <v>950.07</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70" customFormat="1" ht="51">
      <c r="A81" s="1275"/>
      <c r="B81" s="1275" t="s">
        <v>3196</v>
      </c>
      <c r="C81" s="2156" t="s">
        <v>3197</v>
      </c>
      <c r="D81" s="2956" t="s">
        <v>3273</v>
      </c>
      <c r="E81" s="16">
        <f t="shared" si="7"/>
        <v>148.88</v>
      </c>
      <c r="F81" s="32"/>
      <c r="G81" s="33">
        <f t="shared" si="8"/>
        <v>1031.6500000000001</v>
      </c>
      <c r="H81" s="20">
        <f t="shared" si="9"/>
        <v>1031.6500000000001</v>
      </c>
      <c r="I81" s="2216">
        <v>1031.6500000000001</v>
      </c>
      <c r="J81" s="2216"/>
      <c r="K81" s="2216"/>
      <c r="L81" s="2216"/>
      <c r="M81" s="2216"/>
      <c r="N81" s="2216"/>
      <c r="O81" s="2216"/>
      <c r="P81" s="2216"/>
      <c r="Q81" s="2216"/>
      <c r="R81" s="2216"/>
      <c r="S81" s="2216"/>
      <c r="T81" s="2216"/>
      <c r="U81" s="2216"/>
      <c r="V81" s="2216"/>
      <c r="W81" s="2216"/>
      <c r="X81" s="2216"/>
      <c r="Y81" s="2216"/>
      <c r="Z81" s="2216"/>
      <c r="AA81" s="2216"/>
      <c r="AB81" s="2216"/>
      <c r="AC81" s="16">
        <f t="shared" si="10"/>
        <v>0</v>
      </c>
      <c r="AD81" s="2217"/>
      <c r="AE81" s="2217"/>
      <c r="AF81" s="2217"/>
      <c r="AG81" s="2217"/>
      <c r="AH81" s="2217"/>
      <c r="AI81" s="2217"/>
      <c r="AJ81" s="2217"/>
      <c r="AK81" s="2217"/>
      <c r="AL81" s="2217"/>
      <c r="AM81" s="2217"/>
      <c r="AN81" s="2217"/>
      <c r="AO81" s="2217"/>
      <c r="AP81" s="2217"/>
      <c r="AQ81" s="2217"/>
      <c r="AR81" s="2217"/>
      <c r="AS81" s="2217"/>
      <c r="AT81" s="2218"/>
      <c r="AU81" s="2219"/>
      <c r="AV81" s="11">
        <f t="shared" si="11"/>
        <v>0</v>
      </c>
      <c r="AW81" s="11" t="str">
        <f t="shared" si="12"/>
        <v>镇房权证字第0401002999100110号</v>
      </c>
      <c r="AX81" s="11" t="str">
        <f t="shared" si="13"/>
        <v>大港港南路401号第13层1302室</v>
      </c>
      <c r="AY81" s="2983">
        <f t="shared" si="14"/>
        <v>148.88</v>
      </c>
      <c r="AZ81" s="16">
        <f t="shared" si="15"/>
        <v>1031.6500000000001</v>
      </c>
      <c r="BA81" s="16">
        <f t="shared" si="16"/>
        <v>1031.6500000000001</v>
      </c>
      <c r="BB81" s="16">
        <f t="shared" si="17"/>
        <v>1031.6500000000001</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70" customFormat="1" ht="51">
      <c r="A82" s="1275"/>
      <c r="B82" s="1275" t="s">
        <v>3198</v>
      </c>
      <c r="C82" s="2156" t="s">
        <v>3199</v>
      </c>
      <c r="D82" s="2956" t="s">
        <v>3273</v>
      </c>
      <c r="E82" s="16">
        <f t="shared" si="7"/>
        <v>10.15</v>
      </c>
      <c r="F82" s="32"/>
      <c r="G82" s="33">
        <f t="shared" si="8"/>
        <v>70.3</v>
      </c>
      <c r="H82" s="20">
        <f t="shared" si="9"/>
        <v>70.3</v>
      </c>
      <c r="I82" s="2216">
        <v>70.3</v>
      </c>
      <c r="J82" s="2216"/>
      <c r="K82" s="2216"/>
      <c r="L82" s="2216"/>
      <c r="M82" s="2216"/>
      <c r="N82" s="2216"/>
      <c r="O82" s="2216"/>
      <c r="P82" s="2216"/>
      <c r="Q82" s="2216"/>
      <c r="R82" s="2216"/>
      <c r="S82" s="2216"/>
      <c r="T82" s="2216"/>
      <c r="U82" s="2216"/>
      <c r="V82" s="2216"/>
      <c r="W82" s="2216"/>
      <c r="X82" s="2216"/>
      <c r="Y82" s="2216"/>
      <c r="Z82" s="2216"/>
      <c r="AA82" s="2216"/>
      <c r="AB82" s="2216"/>
      <c r="AC82" s="16">
        <f t="shared" si="10"/>
        <v>0</v>
      </c>
      <c r="AD82" s="2217"/>
      <c r="AE82" s="2217"/>
      <c r="AF82" s="2217"/>
      <c r="AG82" s="2217"/>
      <c r="AH82" s="2217"/>
      <c r="AI82" s="2217"/>
      <c r="AJ82" s="2217"/>
      <c r="AK82" s="2217"/>
      <c r="AL82" s="2217"/>
      <c r="AM82" s="2217"/>
      <c r="AN82" s="2217"/>
      <c r="AO82" s="2217"/>
      <c r="AP82" s="2217"/>
      <c r="AQ82" s="2217"/>
      <c r="AR82" s="2217"/>
      <c r="AS82" s="2217"/>
      <c r="AT82" s="2218"/>
      <c r="AU82" s="2219"/>
      <c r="AV82" s="11">
        <f t="shared" si="11"/>
        <v>0</v>
      </c>
      <c r="AW82" s="11" t="str">
        <f t="shared" si="12"/>
        <v>镇房权证字第0401002996100110号</v>
      </c>
      <c r="AX82" s="11" t="str">
        <f t="shared" si="13"/>
        <v>大港港南路401号第13层1303室</v>
      </c>
      <c r="AY82" s="2983">
        <f t="shared" si="14"/>
        <v>10.15</v>
      </c>
      <c r="AZ82" s="16">
        <f t="shared" si="15"/>
        <v>70.3</v>
      </c>
      <c r="BA82" s="16">
        <f t="shared" si="16"/>
        <v>70.3</v>
      </c>
      <c r="BB82" s="16">
        <f t="shared" si="17"/>
        <v>70.3</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70" customFormat="1" ht="51">
      <c r="A83" s="1275"/>
      <c r="B83" s="1275" t="s">
        <v>3200</v>
      </c>
      <c r="C83" s="2156" t="s">
        <v>3201</v>
      </c>
      <c r="D83" s="2956" t="s">
        <v>3273</v>
      </c>
      <c r="E83" s="16">
        <f t="shared" si="7"/>
        <v>137.11000000000001</v>
      </c>
      <c r="F83" s="32"/>
      <c r="G83" s="33">
        <f t="shared" si="8"/>
        <v>950.07</v>
      </c>
      <c r="H83" s="20">
        <f t="shared" si="9"/>
        <v>950.07</v>
      </c>
      <c r="I83" s="2216">
        <v>950.07</v>
      </c>
      <c r="J83" s="2216"/>
      <c r="K83" s="2216"/>
      <c r="L83" s="2216"/>
      <c r="M83" s="2216"/>
      <c r="N83" s="2216"/>
      <c r="O83" s="2216"/>
      <c r="P83" s="2216"/>
      <c r="Q83" s="2216"/>
      <c r="R83" s="2216"/>
      <c r="S83" s="2216"/>
      <c r="T83" s="2216"/>
      <c r="U83" s="2216"/>
      <c r="V83" s="2216"/>
      <c r="W83" s="2216"/>
      <c r="X83" s="2216"/>
      <c r="Y83" s="2216"/>
      <c r="Z83" s="2216"/>
      <c r="AA83" s="2216"/>
      <c r="AB83" s="2216"/>
      <c r="AC83" s="16">
        <f t="shared" si="10"/>
        <v>0</v>
      </c>
      <c r="AD83" s="2217"/>
      <c r="AE83" s="2217"/>
      <c r="AF83" s="2217"/>
      <c r="AG83" s="2217"/>
      <c r="AH83" s="2217"/>
      <c r="AI83" s="2217"/>
      <c r="AJ83" s="2217"/>
      <c r="AK83" s="2217"/>
      <c r="AL83" s="2217"/>
      <c r="AM83" s="2217"/>
      <c r="AN83" s="2217"/>
      <c r="AO83" s="2217"/>
      <c r="AP83" s="2217"/>
      <c r="AQ83" s="2217"/>
      <c r="AR83" s="2217"/>
      <c r="AS83" s="2217"/>
      <c r="AT83" s="2218"/>
      <c r="AU83" s="2219"/>
      <c r="AV83" s="11">
        <f t="shared" si="11"/>
        <v>0</v>
      </c>
      <c r="AW83" s="11" t="str">
        <f t="shared" si="12"/>
        <v>镇房权证字第0401003095100110号</v>
      </c>
      <c r="AX83" s="11" t="str">
        <f t="shared" si="13"/>
        <v>大港港南路401号第14层1401室</v>
      </c>
      <c r="AY83" s="2983">
        <f t="shared" si="14"/>
        <v>137.11000000000001</v>
      </c>
      <c r="AZ83" s="16">
        <f t="shared" si="15"/>
        <v>950.07</v>
      </c>
      <c r="BA83" s="16">
        <f t="shared" si="16"/>
        <v>950.07</v>
      </c>
      <c r="BB83" s="16">
        <f t="shared" si="17"/>
        <v>950.07</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70" customFormat="1" ht="51">
      <c r="A84" s="1275"/>
      <c r="B84" s="1275" t="s">
        <v>3202</v>
      </c>
      <c r="C84" s="2156" t="s">
        <v>3203</v>
      </c>
      <c r="D84" s="2956" t="s">
        <v>3273</v>
      </c>
      <c r="E84" s="16">
        <f t="shared" si="7"/>
        <v>148.88</v>
      </c>
      <c r="F84" s="32"/>
      <c r="G84" s="33">
        <f t="shared" si="8"/>
        <v>1031.6500000000001</v>
      </c>
      <c r="H84" s="20">
        <f t="shared" si="9"/>
        <v>1031.6500000000001</v>
      </c>
      <c r="I84" s="2216">
        <v>1031.6500000000001</v>
      </c>
      <c r="J84" s="2216"/>
      <c r="K84" s="2216"/>
      <c r="L84" s="2216"/>
      <c r="M84" s="2216"/>
      <c r="N84" s="2216"/>
      <c r="O84" s="2216"/>
      <c r="P84" s="2216"/>
      <c r="Q84" s="2216"/>
      <c r="R84" s="2216"/>
      <c r="S84" s="2216"/>
      <c r="T84" s="2216"/>
      <c r="U84" s="2216"/>
      <c r="V84" s="2216"/>
      <c r="W84" s="2216"/>
      <c r="X84" s="2216"/>
      <c r="Y84" s="2216"/>
      <c r="Z84" s="2216"/>
      <c r="AA84" s="2216"/>
      <c r="AB84" s="2216"/>
      <c r="AC84" s="16">
        <f t="shared" si="10"/>
        <v>0</v>
      </c>
      <c r="AD84" s="2217"/>
      <c r="AE84" s="2217"/>
      <c r="AF84" s="2217"/>
      <c r="AG84" s="2217"/>
      <c r="AH84" s="2217"/>
      <c r="AI84" s="2217"/>
      <c r="AJ84" s="2217"/>
      <c r="AK84" s="2217"/>
      <c r="AL84" s="2217"/>
      <c r="AM84" s="2217"/>
      <c r="AN84" s="2217"/>
      <c r="AO84" s="2217"/>
      <c r="AP84" s="2217"/>
      <c r="AQ84" s="2217"/>
      <c r="AR84" s="2217"/>
      <c r="AS84" s="2217"/>
      <c r="AT84" s="2218"/>
      <c r="AU84" s="2219"/>
      <c r="AV84" s="11">
        <f t="shared" si="11"/>
        <v>0</v>
      </c>
      <c r="AW84" s="11" t="str">
        <f t="shared" si="12"/>
        <v>镇房权证字第0401003082100110号</v>
      </c>
      <c r="AX84" s="11" t="str">
        <f t="shared" si="13"/>
        <v>大港港南路401号第14层1402室</v>
      </c>
      <c r="AY84" s="2983">
        <f t="shared" si="14"/>
        <v>148.88</v>
      </c>
      <c r="AZ84" s="16">
        <f t="shared" si="15"/>
        <v>1031.6500000000001</v>
      </c>
      <c r="BA84" s="16">
        <f t="shared" si="16"/>
        <v>1031.6500000000001</v>
      </c>
      <c r="BB84" s="16">
        <f t="shared" si="17"/>
        <v>1031.6500000000001</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70" customFormat="1" ht="51">
      <c r="A85" s="1275"/>
      <c r="B85" s="1275" t="s">
        <v>3204</v>
      </c>
      <c r="C85" s="2156" t="s">
        <v>3205</v>
      </c>
      <c r="D85" s="2956" t="s">
        <v>3273</v>
      </c>
      <c r="E85" s="16">
        <f t="shared" si="7"/>
        <v>10.15</v>
      </c>
      <c r="F85" s="32"/>
      <c r="G85" s="33">
        <f t="shared" si="8"/>
        <v>70.3</v>
      </c>
      <c r="H85" s="20">
        <f t="shared" si="9"/>
        <v>70.3</v>
      </c>
      <c r="I85" s="2216">
        <v>70.3</v>
      </c>
      <c r="J85" s="2216"/>
      <c r="K85" s="2216"/>
      <c r="L85" s="2216"/>
      <c r="M85" s="2216"/>
      <c r="N85" s="2216"/>
      <c r="O85" s="2216"/>
      <c r="P85" s="2216"/>
      <c r="Q85" s="2216"/>
      <c r="R85" s="2216"/>
      <c r="S85" s="2216"/>
      <c r="T85" s="2216"/>
      <c r="U85" s="2216"/>
      <c r="V85" s="2216"/>
      <c r="W85" s="2216"/>
      <c r="X85" s="2216"/>
      <c r="Y85" s="2216"/>
      <c r="Z85" s="2216"/>
      <c r="AA85" s="2216"/>
      <c r="AB85" s="2216"/>
      <c r="AC85" s="16">
        <f t="shared" si="10"/>
        <v>0</v>
      </c>
      <c r="AD85" s="2217"/>
      <c r="AE85" s="2217"/>
      <c r="AF85" s="2217"/>
      <c r="AG85" s="2217"/>
      <c r="AH85" s="2217"/>
      <c r="AI85" s="2217"/>
      <c r="AJ85" s="2217"/>
      <c r="AK85" s="2217"/>
      <c r="AL85" s="2217"/>
      <c r="AM85" s="2217"/>
      <c r="AN85" s="2217"/>
      <c r="AO85" s="2217"/>
      <c r="AP85" s="2217"/>
      <c r="AQ85" s="2217"/>
      <c r="AR85" s="2217"/>
      <c r="AS85" s="2217"/>
      <c r="AT85" s="2218"/>
      <c r="AU85" s="2219"/>
      <c r="AV85" s="11">
        <f t="shared" si="11"/>
        <v>0</v>
      </c>
      <c r="AW85" s="11" t="str">
        <f t="shared" si="12"/>
        <v>镇房权证字第0401003099100110号</v>
      </c>
      <c r="AX85" s="11" t="str">
        <f t="shared" si="13"/>
        <v>大港港南路401号第14层1403室</v>
      </c>
      <c r="AY85" s="2983">
        <f t="shared" si="14"/>
        <v>10.15</v>
      </c>
      <c r="AZ85" s="16">
        <f t="shared" si="15"/>
        <v>70.3</v>
      </c>
      <c r="BA85" s="16">
        <f t="shared" si="16"/>
        <v>70.3</v>
      </c>
      <c r="BB85" s="16">
        <f t="shared" si="17"/>
        <v>70.3</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70" customFormat="1" ht="51">
      <c r="A86" s="1275"/>
      <c r="B86" s="1275" t="s">
        <v>3206</v>
      </c>
      <c r="C86" s="2156" t="s">
        <v>3207</v>
      </c>
      <c r="D86" s="2956" t="s">
        <v>3273</v>
      </c>
      <c r="E86" s="16">
        <f t="shared" si="7"/>
        <v>138.29</v>
      </c>
      <c r="F86" s="32"/>
      <c r="G86" s="33">
        <f t="shared" si="8"/>
        <v>958.29</v>
      </c>
      <c r="H86" s="20">
        <f t="shared" si="9"/>
        <v>958.29</v>
      </c>
      <c r="I86" s="2216">
        <v>958.29</v>
      </c>
      <c r="J86" s="2216"/>
      <c r="K86" s="2216"/>
      <c r="L86" s="2216"/>
      <c r="M86" s="2216"/>
      <c r="N86" s="2216"/>
      <c r="O86" s="2216"/>
      <c r="P86" s="2216"/>
      <c r="Q86" s="2216"/>
      <c r="R86" s="2216"/>
      <c r="S86" s="2216"/>
      <c r="T86" s="2216"/>
      <c r="U86" s="2216"/>
      <c r="V86" s="2216"/>
      <c r="W86" s="2216"/>
      <c r="X86" s="2216"/>
      <c r="Y86" s="2216"/>
      <c r="Z86" s="2216"/>
      <c r="AA86" s="2216"/>
      <c r="AB86" s="2216"/>
      <c r="AC86" s="16">
        <f t="shared" si="10"/>
        <v>0</v>
      </c>
      <c r="AD86" s="2217"/>
      <c r="AE86" s="2217"/>
      <c r="AF86" s="2217"/>
      <c r="AG86" s="2217"/>
      <c r="AH86" s="2217"/>
      <c r="AI86" s="2217"/>
      <c r="AJ86" s="2217"/>
      <c r="AK86" s="2217"/>
      <c r="AL86" s="2217"/>
      <c r="AM86" s="2217"/>
      <c r="AN86" s="2217"/>
      <c r="AO86" s="2217"/>
      <c r="AP86" s="2217"/>
      <c r="AQ86" s="2217"/>
      <c r="AR86" s="2217"/>
      <c r="AS86" s="2217"/>
      <c r="AT86" s="2218"/>
      <c r="AU86" s="2219"/>
      <c r="AV86" s="11">
        <f t="shared" si="11"/>
        <v>0</v>
      </c>
      <c r="AW86" s="11" t="str">
        <f t="shared" si="12"/>
        <v>镇房权证字第0401003078100110号</v>
      </c>
      <c r="AX86" s="11" t="str">
        <f t="shared" si="13"/>
        <v>大港港南路401号第15层1501室</v>
      </c>
      <c r="AY86" s="2983">
        <f t="shared" si="14"/>
        <v>138.29</v>
      </c>
      <c r="AZ86" s="16">
        <f t="shared" si="15"/>
        <v>958.29</v>
      </c>
      <c r="BA86" s="16">
        <f t="shared" si="16"/>
        <v>958.29</v>
      </c>
      <c r="BB86" s="16">
        <f t="shared" si="17"/>
        <v>958.29</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70" customFormat="1" ht="51">
      <c r="A87" s="1275"/>
      <c r="B87" s="1275" t="s">
        <v>3208</v>
      </c>
      <c r="C87" s="2156" t="s">
        <v>3209</v>
      </c>
      <c r="D87" s="2956" t="s">
        <v>3273</v>
      </c>
      <c r="E87" s="16">
        <f t="shared" si="7"/>
        <v>150.16999999999999</v>
      </c>
      <c r="F87" s="32"/>
      <c r="G87" s="33">
        <f t="shared" si="8"/>
        <v>1040.58</v>
      </c>
      <c r="H87" s="20">
        <f t="shared" si="9"/>
        <v>1040.58</v>
      </c>
      <c r="I87" s="2216">
        <v>1040.58</v>
      </c>
      <c r="J87" s="2216"/>
      <c r="K87" s="2216"/>
      <c r="L87" s="2216"/>
      <c r="M87" s="2216"/>
      <c r="N87" s="2216"/>
      <c r="O87" s="2216"/>
      <c r="P87" s="2216"/>
      <c r="Q87" s="2216"/>
      <c r="R87" s="2216"/>
      <c r="S87" s="2216"/>
      <c r="T87" s="2216"/>
      <c r="U87" s="2216"/>
      <c r="V87" s="2216"/>
      <c r="W87" s="2216"/>
      <c r="X87" s="2216"/>
      <c r="Y87" s="2216"/>
      <c r="Z87" s="2216"/>
      <c r="AA87" s="2216"/>
      <c r="AB87" s="2216"/>
      <c r="AC87" s="16">
        <f t="shared" si="10"/>
        <v>0</v>
      </c>
      <c r="AD87" s="2217"/>
      <c r="AE87" s="2217"/>
      <c r="AF87" s="2217"/>
      <c r="AG87" s="2217"/>
      <c r="AH87" s="2217"/>
      <c r="AI87" s="2217"/>
      <c r="AJ87" s="2217"/>
      <c r="AK87" s="2217"/>
      <c r="AL87" s="2217"/>
      <c r="AM87" s="2217"/>
      <c r="AN87" s="2217"/>
      <c r="AO87" s="2217"/>
      <c r="AP87" s="2217"/>
      <c r="AQ87" s="2217"/>
      <c r="AR87" s="2217"/>
      <c r="AS87" s="2217"/>
      <c r="AT87" s="2218"/>
      <c r="AU87" s="2219"/>
      <c r="AV87" s="11">
        <f t="shared" si="11"/>
        <v>0</v>
      </c>
      <c r="AW87" s="11" t="str">
        <f t="shared" si="12"/>
        <v>镇房权证字第0401003079100110号</v>
      </c>
      <c r="AX87" s="11" t="str">
        <f t="shared" si="13"/>
        <v>大港港南路401号第15层1502室</v>
      </c>
      <c r="AY87" s="2983">
        <f t="shared" si="14"/>
        <v>150.16999999999999</v>
      </c>
      <c r="AZ87" s="16">
        <f t="shared" si="15"/>
        <v>1040.58</v>
      </c>
      <c r="BA87" s="16">
        <f t="shared" si="16"/>
        <v>1040.58</v>
      </c>
      <c r="BB87" s="16">
        <f t="shared" si="17"/>
        <v>1040.58</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70" customFormat="1" ht="51">
      <c r="A88" s="1275"/>
      <c r="B88" s="1275" t="s">
        <v>3210</v>
      </c>
      <c r="C88" s="2156" t="s">
        <v>3211</v>
      </c>
      <c r="D88" s="2956" t="s">
        <v>3273</v>
      </c>
      <c r="E88" s="16">
        <f t="shared" si="7"/>
        <v>138.38999999999999</v>
      </c>
      <c r="F88" s="32"/>
      <c r="G88" s="33">
        <f t="shared" si="8"/>
        <v>958.98</v>
      </c>
      <c r="H88" s="20">
        <f t="shared" si="9"/>
        <v>958.98</v>
      </c>
      <c r="I88" s="2216">
        <v>958.98</v>
      </c>
      <c r="J88" s="2216"/>
      <c r="K88" s="2216"/>
      <c r="L88" s="2216"/>
      <c r="M88" s="2216"/>
      <c r="N88" s="2216"/>
      <c r="O88" s="2216"/>
      <c r="P88" s="2216"/>
      <c r="Q88" s="2216"/>
      <c r="R88" s="2216"/>
      <c r="S88" s="2216"/>
      <c r="T88" s="2216"/>
      <c r="U88" s="2216"/>
      <c r="V88" s="2216"/>
      <c r="W88" s="2216"/>
      <c r="X88" s="2216"/>
      <c r="Y88" s="2216"/>
      <c r="Z88" s="2216"/>
      <c r="AA88" s="2216"/>
      <c r="AB88" s="2216"/>
      <c r="AC88" s="16">
        <f t="shared" si="10"/>
        <v>0</v>
      </c>
      <c r="AD88" s="2217"/>
      <c r="AE88" s="2217"/>
      <c r="AF88" s="2217"/>
      <c r="AG88" s="2217"/>
      <c r="AH88" s="2217"/>
      <c r="AI88" s="2217"/>
      <c r="AJ88" s="2217"/>
      <c r="AK88" s="2217"/>
      <c r="AL88" s="2217"/>
      <c r="AM88" s="2217"/>
      <c r="AN88" s="2217"/>
      <c r="AO88" s="2217"/>
      <c r="AP88" s="2217"/>
      <c r="AQ88" s="2217"/>
      <c r="AR88" s="2217"/>
      <c r="AS88" s="2217"/>
      <c r="AT88" s="2218"/>
      <c r="AU88" s="2219"/>
      <c r="AV88" s="11">
        <f t="shared" si="11"/>
        <v>0</v>
      </c>
      <c r="AW88" s="11" t="str">
        <f t="shared" si="12"/>
        <v>镇房权证字第0401003045100110号</v>
      </c>
      <c r="AX88" s="11" t="str">
        <f t="shared" si="13"/>
        <v>大港港南路401号第16层1601室</v>
      </c>
      <c r="AY88" s="2983">
        <f t="shared" si="14"/>
        <v>138.38999999999999</v>
      </c>
      <c r="AZ88" s="16">
        <f t="shared" si="15"/>
        <v>958.98</v>
      </c>
      <c r="BA88" s="16">
        <f t="shared" si="16"/>
        <v>958.98</v>
      </c>
      <c r="BB88" s="16">
        <f t="shared" si="17"/>
        <v>958.98</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70" customFormat="1" ht="51">
      <c r="A89" s="1275"/>
      <c r="B89" s="1275" t="s">
        <v>3212</v>
      </c>
      <c r="C89" s="2156" t="s">
        <v>3213</v>
      </c>
      <c r="D89" s="2956" t="s">
        <v>3273</v>
      </c>
      <c r="E89" s="16">
        <f t="shared" si="7"/>
        <v>150.27000000000001</v>
      </c>
      <c r="F89" s="32"/>
      <c r="G89" s="33">
        <f t="shared" si="8"/>
        <v>1041.3</v>
      </c>
      <c r="H89" s="20">
        <f t="shared" si="9"/>
        <v>1041.3</v>
      </c>
      <c r="I89" s="2216">
        <v>1041.3</v>
      </c>
      <c r="J89" s="2216"/>
      <c r="K89" s="2216"/>
      <c r="L89" s="2216"/>
      <c r="M89" s="2216"/>
      <c r="N89" s="2216"/>
      <c r="O89" s="2216"/>
      <c r="P89" s="2216"/>
      <c r="Q89" s="2216"/>
      <c r="R89" s="2216"/>
      <c r="S89" s="2216"/>
      <c r="T89" s="2216"/>
      <c r="U89" s="2216"/>
      <c r="V89" s="2216"/>
      <c r="W89" s="2216"/>
      <c r="X89" s="2216"/>
      <c r="Y89" s="2216"/>
      <c r="Z89" s="2216"/>
      <c r="AA89" s="2216"/>
      <c r="AB89" s="2216"/>
      <c r="AC89" s="16">
        <f t="shared" si="10"/>
        <v>0</v>
      </c>
      <c r="AD89" s="2217"/>
      <c r="AE89" s="2217"/>
      <c r="AF89" s="2217"/>
      <c r="AG89" s="2217"/>
      <c r="AH89" s="2217"/>
      <c r="AI89" s="2217"/>
      <c r="AJ89" s="2217"/>
      <c r="AK89" s="2217"/>
      <c r="AL89" s="2217"/>
      <c r="AM89" s="2217"/>
      <c r="AN89" s="2217"/>
      <c r="AO89" s="2217"/>
      <c r="AP89" s="2217"/>
      <c r="AQ89" s="2217"/>
      <c r="AR89" s="2217"/>
      <c r="AS89" s="2217"/>
      <c r="AT89" s="2218"/>
      <c r="AU89" s="2219"/>
      <c r="AV89" s="11">
        <f t="shared" si="11"/>
        <v>0</v>
      </c>
      <c r="AW89" s="11" t="str">
        <f t="shared" si="12"/>
        <v>镇房权证字第0401003062100110号</v>
      </c>
      <c r="AX89" s="11" t="str">
        <f t="shared" si="13"/>
        <v>大港港南路401号第16层1602室</v>
      </c>
      <c r="AY89" s="2983">
        <f t="shared" si="14"/>
        <v>150.27000000000001</v>
      </c>
      <c r="AZ89" s="16">
        <f t="shared" si="15"/>
        <v>1041.3</v>
      </c>
      <c r="BA89" s="16">
        <f t="shared" si="16"/>
        <v>1041.3</v>
      </c>
      <c r="BB89" s="16">
        <f t="shared" si="17"/>
        <v>1041.3</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70" customFormat="1" ht="51">
      <c r="A90" s="1275"/>
      <c r="B90" s="1275" t="s">
        <v>3214</v>
      </c>
      <c r="C90" s="2156" t="s">
        <v>3215</v>
      </c>
      <c r="D90" s="2956" t="s">
        <v>3273</v>
      </c>
      <c r="E90" s="16">
        <f t="shared" si="7"/>
        <v>136.26</v>
      </c>
      <c r="F90" s="32"/>
      <c r="G90" s="33">
        <f t="shared" si="8"/>
        <v>944.22</v>
      </c>
      <c r="H90" s="20">
        <f t="shared" si="9"/>
        <v>944.22</v>
      </c>
      <c r="I90" s="2216">
        <v>944.22</v>
      </c>
      <c r="J90" s="2216"/>
      <c r="K90" s="2216"/>
      <c r="L90" s="2216"/>
      <c r="M90" s="2216"/>
      <c r="N90" s="2216"/>
      <c r="O90" s="2216"/>
      <c r="P90" s="2216"/>
      <c r="Q90" s="2216"/>
      <c r="R90" s="2216"/>
      <c r="S90" s="2216"/>
      <c r="T90" s="2216"/>
      <c r="U90" s="2216"/>
      <c r="V90" s="2216"/>
      <c r="W90" s="2216"/>
      <c r="X90" s="2216"/>
      <c r="Y90" s="2216"/>
      <c r="Z90" s="2216"/>
      <c r="AA90" s="2216"/>
      <c r="AB90" s="2216"/>
      <c r="AC90" s="16">
        <f t="shared" si="10"/>
        <v>0</v>
      </c>
      <c r="AD90" s="2217"/>
      <c r="AE90" s="2217"/>
      <c r="AF90" s="2217"/>
      <c r="AG90" s="2217"/>
      <c r="AH90" s="2217"/>
      <c r="AI90" s="2217"/>
      <c r="AJ90" s="2217"/>
      <c r="AK90" s="2217"/>
      <c r="AL90" s="2217"/>
      <c r="AM90" s="2217"/>
      <c r="AN90" s="2217"/>
      <c r="AO90" s="2217"/>
      <c r="AP90" s="2217"/>
      <c r="AQ90" s="2217"/>
      <c r="AR90" s="2217"/>
      <c r="AS90" s="2217"/>
      <c r="AT90" s="2218"/>
      <c r="AU90" s="2219"/>
      <c r="AV90" s="11">
        <f t="shared" si="11"/>
        <v>0</v>
      </c>
      <c r="AW90" s="11" t="str">
        <f t="shared" si="12"/>
        <v>镇房权证字第0401003073100110号</v>
      </c>
      <c r="AX90" s="11" t="str">
        <f t="shared" si="13"/>
        <v>大港港南路401号第17层1701室</v>
      </c>
      <c r="AY90" s="2983">
        <f t="shared" si="14"/>
        <v>136.26</v>
      </c>
      <c r="AZ90" s="16">
        <f t="shared" si="15"/>
        <v>944.22</v>
      </c>
      <c r="BA90" s="16">
        <f t="shared" si="16"/>
        <v>944.22</v>
      </c>
      <c r="BB90" s="16">
        <f t="shared" si="17"/>
        <v>944.22</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70" customFormat="1" ht="51">
      <c r="A91" s="1275"/>
      <c r="B91" s="1275" t="s">
        <v>3216</v>
      </c>
      <c r="C91" s="2156" t="s">
        <v>3217</v>
      </c>
      <c r="D91" s="2956" t="s">
        <v>3273</v>
      </c>
      <c r="E91" s="16">
        <f t="shared" si="7"/>
        <v>147.96</v>
      </c>
      <c r="F91" s="32"/>
      <c r="G91" s="33">
        <f t="shared" si="8"/>
        <v>1025.27</v>
      </c>
      <c r="H91" s="20">
        <f t="shared" si="9"/>
        <v>1025.27</v>
      </c>
      <c r="I91" s="2216">
        <v>1025.27</v>
      </c>
      <c r="J91" s="2216"/>
      <c r="K91" s="2216"/>
      <c r="L91" s="2216"/>
      <c r="M91" s="2216"/>
      <c r="N91" s="2216"/>
      <c r="O91" s="2216"/>
      <c r="P91" s="2216"/>
      <c r="Q91" s="2216"/>
      <c r="R91" s="2216"/>
      <c r="S91" s="2216"/>
      <c r="T91" s="2216"/>
      <c r="U91" s="2216"/>
      <c r="V91" s="2216"/>
      <c r="W91" s="2216"/>
      <c r="X91" s="2216"/>
      <c r="Y91" s="2216"/>
      <c r="Z91" s="2216"/>
      <c r="AA91" s="2216"/>
      <c r="AB91" s="2216"/>
      <c r="AC91" s="16">
        <f t="shared" si="10"/>
        <v>0</v>
      </c>
      <c r="AD91" s="2217"/>
      <c r="AE91" s="2217"/>
      <c r="AF91" s="2217"/>
      <c r="AG91" s="2217"/>
      <c r="AH91" s="2217"/>
      <c r="AI91" s="2217"/>
      <c r="AJ91" s="2217"/>
      <c r="AK91" s="2217"/>
      <c r="AL91" s="2217"/>
      <c r="AM91" s="2217"/>
      <c r="AN91" s="2217"/>
      <c r="AO91" s="2217"/>
      <c r="AP91" s="2217"/>
      <c r="AQ91" s="2217"/>
      <c r="AR91" s="2217"/>
      <c r="AS91" s="2217"/>
      <c r="AT91" s="2218"/>
      <c r="AU91" s="2219"/>
      <c r="AV91" s="11">
        <f t="shared" si="11"/>
        <v>0</v>
      </c>
      <c r="AW91" s="11" t="str">
        <f t="shared" si="12"/>
        <v>镇房权证字第0401003036100110号</v>
      </c>
      <c r="AX91" s="11" t="str">
        <f t="shared" si="13"/>
        <v>大港港南路401号第17层1702室</v>
      </c>
      <c r="AY91" s="2983">
        <f t="shared" si="14"/>
        <v>147.96</v>
      </c>
      <c r="AZ91" s="16">
        <f t="shared" si="15"/>
        <v>1025.27</v>
      </c>
      <c r="BA91" s="16">
        <f t="shared" si="16"/>
        <v>1025.27</v>
      </c>
      <c r="BB91" s="16">
        <f t="shared" si="17"/>
        <v>1025.27</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70" customFormat="1" ht="51">
      <c r="A92" s="1275"/>
      <c r="B92" s="1275" t="s">
        <v>3218</v>
      </c>
      <c r="C92" s="2156" t="s">
        <v>3219</v>
      </c>
      <c r="D92" s="2956" t="s">
        <v>3273</v>
      </c>
      <c r="E92" s="16">
        <f t="shared" si="7"/>
        <v>18.829999999999998</v>
      </c>
      <c r="F92" s="32"/>
      <c r="G92" s="33">
        <f t="shared" si="8"/>
        <v>130.47999999999999</v>
      </c>
      <c r="H92" s="20">
        <f t="shared" si="9"/>
        <v>130.47999999999999</v>
      </c>
      <c r="I92" s="2216">
        <v>130.47999999999999</v>
      </c>
      <c r="J92" s="2216"/>
      <c r="K92" s="2216"/>
      <c r="L92" s="2216"/>
      <c r="M92" s="2216"/>
      <c r="N92" s="2216"/>
      <c r="O92" s="2216"/>
      <c r="P92" s="2216"/>
      <c r="Q92" s="2216"/>
      <c r="R92" s="2216"/>
      <c r="S92" s="2216"/>
      <c r="T92" s="2216"/>
      <c r="U92" s="2216"/>
      <c r="V92" s="2216"/>
      <c r="W92" s="2216"/>
      <c r="X92" s="2216"/>
      <c r="Y92" s="2216"/>
      <c r="Z92" s="2216"/>
      <c r="AA92" s="2216"/>
      <c r="AB92" s="2216"/>
      <c r="AC92" s="16">
        <f t="shared" si="10"/>
        <v>0</v>
      </c>
      <c r="AD92" s="2217"/>
      <c r="AE92" s="2217"/>
      <c r="AF92" s="2217"/>
      <c r="AG92" s="2217"/>
      <c r="AH92" s="2217"/>
      <c r="AI92" s="2217"/>
      <c r="AJ92" s="2217"/>
      <c r="AK92" s="2217"/>
      <c r="AL92" s="2217"/>
      <c r="AM92" s="2217"/>
      <c r="AN92" s="2217"/>
      <c r="AO92" s="2217"/>
      <c r="AP92" s="2217"/>
      <c r="AQ92" s="2217"/>
      <c r="AR92" s="2217"/>
      <c r="AS92" s="2217"/>
      <c r="AT92" s="2218"/>
      <c r="AU92" s="2219"/>
      <c r="AV92" s="11">
        <f t="shared" si="11"/>
        <v>0</v>
      </c>
      <c r="AW92" s="11" t="str">
        <f t="shared" si="12"/>
        <v>镇房权证字第0401003071100110号</v>
      </c>
      <c r="AX92" s="11" t="str">
        <f t="shared" si="13"/>
        <v>大港港南路401号第17层1703室</v>
      </c>
      <c r="AY92" s="2983">
        <f t="shared" si="14"/>
        <v>18.829999999999998</v>
      </c>
      <c r="AZ92" s="16">
        <f t="shared" si="15"/>
        <v>130.47999999999999</v>
      </c>
      <c r="BA92" s="16">
        <f t="shared" si="16"/>
        <v>130.47999999999999</v>
      </c>
      <c r="BB92" s="16">
        <f t="shared" si="17"/>
        <v>130.47999999999999</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70" customFormat="1" ht="51">
      <c r="A93" s="1275"/>
      <c r="B93" s="1275" t="s">
        <v>3220</v>
      </c>
      <c r="C93" s="2156" t="s">
        <v>3221</v>
      </c>
      <c r="D93" s="2956" t="s">
        <v>3273</v>
      </c>
      <c r="E93" s="16">
        <f t="shared" si="7"/>
        <v>136.26</v>
      </c>
      <c r="F93" s="32"/>
      <c r="G93" s="33">
        <f t="shared" si="8"/>
        <v>944.22</v>
      </c>
      <c r="H93" s="20">
        <f t="shared" si="9"/>
        <v>944.22</v>
      </c>
      <c r="I93" s="2216">
        <v>944.22</v>
      </c>
      <c r="J93" s="2216"/>
      <c r="K93" s="2216"/>
      <c r="L93" s="2216"/>
      <c r="M93" s="2216"/>
      <c r="N93" s="2216"/>
      <c r="O93" s="2216"/>
      <c r="P93" s="2216"/>
      <c r="Q93" s="2216"/>
      <c r="R93" s="2216"/>
      <c r="S93" s="2216"/>
      <c r="T93" s="2216"/>
      <c r="U93" s="2216"/>
      <c r="V93" s="2216"/>
      <c r="W93" s="2216"/>
      <c r="X93" s="2216"/>
      <c r="Y93" s="2216"/>
      <c r="Z93" s="2216"/>
      <c r="AA93" s="2216"/>
      <c r="AB93" s="2216"/>
      <c r="AC93" s="16">
        <f t="shared" si="10"/>
        <v>0</v>
      </c>
      <c r="AD93" s="2217"/>
      <c r="AE93" s="2217"/>
      <c r="AF93" s="2217"/>
      <c r="AG93" s="2217"/>
      <c r="AH93" s="2217"/>
      <c r="AI93" s="2217"/>
      <c r="AJ93" s="2217"/>
      <c r="AK93" s="2217"/>
      <c r="AL93" s="2217"/>
      <c r="AM93" s="2217"/>
      <c r="AN93" s="2217"/>
      <c r="AO93" s="2217"/>
      <c r="AP93" s="2217"/>
      <c r="AQ93" s="2217"/>
      <c r="AR93" s="2217"/>
      <c r="AS93" s="2217"/>
      <c r="AT93" s="2218"/>
      <c r="AU93" s="2219"/>
      <c r="AV93" s="11">
        <f t="shared" si="11"/>
        <v>0</v>
      </c>
      <c r="AW93" s="11" t="str">
        <f t="shared" si="12"/>
        <v>镇房权证字第0401003050100110号</v>
      </c>
      <c r="AX93" s="11" t="str">
        <f t="shared" si="13"/>
        <v>大港港南路401号第18层1801室</v>
      </c>
      <c r="AY93" s="2983">
        <f t="shared" si="14"/>
        <v>136.26</v>
      </c>
      <c r="AZ93" s="16">
        <f t="shared" si="15"/>
        <v>944.22</v>
      </c>
      <c r="BA93" s="16">
        <f t="shared" si="16"/>
        <v>944.22</v>
      </c>
      <c r="BB93" s="16">
        <f t="shared" si="17"/>
        <v>944.22</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70" customFormat="1" ht="51">
      <c r="A94" s="1275"/>
      <c r="B94" s="1275" t="s">
        <v>3222</v>
      </c>
      <c r="C94" s="2156" t="s">
        <v>3223</v>
      </c>
      <c r="D94" s="2956" t="s">
        <v>3273</v>
      </c>
      <c r="E94" s="16">
        <f t="shared" si="7"/>
        <v>147.96</v>
      </c>
      <c r="F94" s="32"/>
      <c r="G94" s="33">
        <f t="shared" si="8"/>
        <v>1025.27</v>
      </c>
      <c r="H94" s="20">
        <f t="shared" si="9"/>
        <v>1025.27</v>
      </c>
      <c r="I94" s="2216">
        <v>1025.27</v>
      </c>
      <c r="J94" s="2216"/>
      <c r="K94" s="2216"/>
      <c r="L94" s="2216"/>
      <c r="M94" s="2216"/>
      <c r="N94" s="2216"/>
      <c r="O94" s="2216"/>
      <c r="P94" s="2216"/>
      <c r="Q94" s="2216"/>
      <c r="R94" s="2216"/>
      <c r="S94" s="2216"/>
      <c r="T94" s="2216"/>
      <c r="U94" s="2216"/>
      <c r="V94" s="2216"/>
      <c r="W94" s="2216"/>
      <c r="X94" s="2216"/>
      <c r="Y94" s="2216"/>
      <c r="Z94" s="2216"/>
      <c r="AA94" s="2216"/>
      <c r="AB94" s="2216"/>
      <c r="AC94" s="16">
        <f t="shared" si="10"/>
        <v>0</v>
      </c>
      <c r="AD94" s="2217"/>
      <c r="AE94" s="2217"/>
      <c r="AF94" s="2217"/>
      <c r="AG94" s="2217"/>
      <c r="AH94" s="2217"/>
      <c r="AI94" s="2217"/>
      <c r="AJ94" s="2217"/>
      <c r="AK94" s="2217"/>
      <c r="AL94" s="2217"/>
      <c r="AM94" s="2217"/>
      <c r="AN94" s="2217"/>
      <c r="AO94" s="2217"/>
      <c r="AP94" s="2217"/>
      <c r="AQ94" s="2217"/>
      <c r="AR94" s="2217"/>
      <c r="AS94" s="2217"/>
      <c r="AT94" s="2218"/>
      <c r="AU94" s="2219"/>
      <c r="AV94" s="11">
        <f t="shared" si="11"/>
        <v>0</v>
      </c>
      <c r="AW94" s="11" t="str">
        <f t="shared" si="12"/>
        <v>镇房权证字第0401003051100110号</v>
      </c>
      <c r="AX94" s="11" t="str">
        <f t="shared" si="13"/>
        <v>大港港南路401号第18层1802室</v>
      </c>
      <c r="AY94" s="2983">
        <f t="shared" si="14"/>
        <v>147.96</v>
      </c>
      <c r="AZ94" s="16">
        <f t="shared" si="15"/>
        <v>1025.27</v>
      </c>
      <c r="BA94" s="16">
        <f t="shared" si="16"/>
        <v>1025.27</v>
      </c>
      <c r="BB94" s="16">
        <f t="shared" si="17"/>
        <v>1025.27</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70" customFormat="1" ht="51">
      <c r="A95" s="1275"/>
      <c r="B95" s="1275" t="s">
        <v>3224</v>
      </c>
      <c r="C95" s="2156" t="s">
        <v>3225</v>
      </c>
      <c r="D95" s="2956" t="s">
        <v>3273</v>
      </c>
      <c r="E95" s="16">
        <f t="shared" si="7"/>
        <v>18.829999999999998</v>
      </c>
      <c r="F95" s="32"/>
      <c r="G95" s="33">
        <f t="shared" si="8"/>
        <v>130.47999999999999</v>
      </c>
      <c r="H95" s="20">
        <f t="shared" si="9"/>
        <v>130.47999999999999</v>
      </c>
      <c r="I95" s="2216">
        <v>130.47999999999999</v>
      </c>
      <c r="J95" s="2216"/>
      <c r="K95" s="2216"/>
      <c r="L95" s="2216"/>
      <c r="M95" s="2216"/>
      <c r="N95" s="2216"/>
      <c r="O95" s="2216"/>
      <c r="P95" s="2216"/>
      <c r="Q95" s="2216"/>
      <c r="R95" s="2216"/>
      <c r="S95" s="2216"/>
      <c r="T95" s="2216"/>
      <c r="U95" s="2216"/>
      <c r="V95" s="2216"/>
      <c r="W95" s="2216"/>
      <c r="X95" s="2216"/>
      <c r="Y95" s="2216"/>
      <c r="Z95" s="2216"/>
      <c r="AA95" s="2216"/>
      <c r="AB95" s="2216"/>
      <c r="AC95" s="16">
        <f t="shared" si="10"/>
        <v>0</v>
      </c>
      <c r="AD95" s="2217"/>
      <c r="AE95" s="2217"/>
      <c r="AF95" s="2217"/>
      <c r="AG95" s="2217"/>
      <c r="AH95" s="2217"/>
      <c r="AI95" s="2217"/>
      <c r="AJ95" s="2217"/>
      <c r="AK95" s="2217"/>
      <c r="AL95" s="2217"/>
      <c r="AM95" s="2217"/>
      <c r="AN95" s="2217"/>
      <c r="AO95" s="2217"/>
      <c r="AP95" s="2217"/>
      <c r="AQ95" s="2217"/>
      <c r="AR95" s="2217"/>
      <c r="AS95" s="2217"/>
      <c r="AT95" s="2218"/>
      <c r="AU95" s="2219"/>
      <c r="AV95" s="11">
        <f t="shared" si="11"/>
        <v>0</v>
      </c>
      <c r="AW95" s="11" t="str">
        <f t="shared" si="12"/>
        <v>镇房权证字第0401003049100110号</v>
      </c>
      <c r="AX95" s="11" t="str">
        <f t="shared" si="13"/>
        <v>大港港南路401号第18层1803室</v>
      </c>
      <c r="AY95" s="2983">
        <f t="shared" si="14"/>
        <v>18.829999999999998</v>
      </c>
      <c r="AZ95" s="16">
        <f t="shared" si="15"/>
        <v>130.47999999999999</v>
      </c>
      <c r="BA95" s="16">
        <f t="shared" si="16"/>
        <v>130.47999999999999</v>
      </c>
      <c r="BB95" s="16">
        <f t="shared" si="17"/>
        <v>130.47999999999999</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70" customFormat="1" ht="51">
      <c r="A96" s="1275"/>
      <c r="B96" s="1275" t="s">
        <v>3226</v>
      </c>
      <c r="C96" s="2156" t="s">
        <v>3227</v>
      </c>
      <c r="D96" s="2956" t="s">
        <v>3273</v>
      </c>
      <c r="E96" s="16">
        <f t="shared" si="7"/>
        <v>136.26</v>
      </c>
      <c r="F96" s="32"/>
      <c r="G96" s="33">
        <f t="shared" si="8"/>
        <v>944.22</v>
      </c>
      <c r="H96" s="20">
        <f t="shared" si="9"/>
        <v>944.22</v>
      </c>
      <c r="I96" s="2216">
        <v>944.22</v>
      </c>
      <c r="J96" s="2216"/>
      <c r="K96" s="2216"/>
      <c r="L96" s="2216"/>
      <c r="M96" s="2216"/>
      <c r="N96" s="2216"/>
      <c r="O96" s="2216"/>
      <c r="P96" s="2216"/>
      <c r="Q96" s="2216"/>
      <c r="R96" s="2216"/>
      <c r="S96" s="2216"/>
      <c r="T96" s="2216"/>
      <c r="U96" s="2216"/>
      <c r="V96" s="2216"/>
      <c r="W96" s="2216"/>
      <c r="X96" s="2216"/>
      <c r="Y96" s="2216"/>
      <c r="Z96" s="2216"/>
      <c r="AA96" s="2216"/>
      <c r="AB96" s="2216"/>
      <c r="AC96" s="16">
        <f t="shared" si="10"/>
        <v>0</v>
      </c>
      <c r="AD96" s="2217"/>
      <c r="AE96" s="2217"/>
      <c r="AF96" s="2217"/>
      <c r="AG96" s="2217"/>
      <c r="AH96" s="2217"/>
      <c r="AI96" s="2217"/>
      <c r="AJ96" s="2217"/>
      <c r="AK96" s="2217"/>
      <c r="AL96" s="2217"/>
      <c r="AM96" s="2217"/>
      <c r="AN96" s="2217"/>
      <c r="AO96" s="2217"/>
      <c r="AP96" s="2217"/>
      <c r="AQ96" s="2217"/>
      <c r="AR96" s="2217"/>
      <c r="AS96" s="2217"/>
      <c r="AT96" s="2218"/>
      <c r="AU96" s="2219"/>
      <c r="AV96" s="11">
        <f t="shared" si="11"/>
        <v>0</v>
      </c>
      <c r="AW96" s="11" t="str">
        <f t="shared" si="12"/>
        <v>镇房权证字第0401003089100110号</v>
      </c>
      <c r="AX96" s="11" t="str">
        <f t="shared" si="13"/>
        <v>大港港南路401号第19层1901室</v>
      </c>
      <c r="AY96" s="2983">
        <f t="shared" si="14"/>
        <v>136.26</v>
      </c>
      <c r="AZ96" s="16">
        <f t="shared" si="15"/>
        <v>944.22</v>
      </c>
      <c r="BA96" s="16">
        <f t="shared" si="16"/>
        <v>944.22</v>
      </c>
      <c r="BB96" s="16">
        <f t="shared" si="17"/>
        <v>944.22</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70" customFormat="1" ht="51">
      <c r="A97" s="1275"/>
      <c r="B97" s="1275" t="s">
        <v>3228</v>
      </c>
      <c r="C97" s="2156" t="s">
        <v>3229</v>
      </c>
      <c r="D97" s="2956" t="s">
        <v>3273</v>
      </c>
      <c r="E97" s="16">
        <f t="shared" si="7"/>
        <v>147.96</v>
      </c>
      <c r="F97" s="32"/>
      <c r="G97" s="33">
        <f t="shared" si="8"/>
        <v>1025.27</v>
      </c>
      <c r="H97" s="20">
        <f t="shared" si="9"/>
        <v>1025.27</v>
      </c>
      <c r="I97" s="2216">
        <v>1025.27</v>
      </c>
      <c r="J97" s="2216"/>
      <c r="K97" s="2216"/>
      <c r="L97" s="2216"/>
      <c r="M97" s="2216"/>
      <c r="N97" s="2216"/>
      <c r="O97" s="2216"/>
      <c r="P97" s="2216"/>
      <c r="Q97" s="2216"/>
      <c r="R97" s="2216"/>
      <c r="S97" s="2216"/>
      <c r="T97" s="2216"/>
      <c r="U97" s="2216"/>
      <c r="V97" s="2216"/>
      <c r="W97" s="2216"/>
      <c r="X97" s="2216"/>
      <c r="Y97" s="2216"/>
      <c r="Z97" s="2216"/>
      <c r="AA97" s="2216"/>
      <c r="AB97" s="2216"/>
      <c r="AC97" s="16">
        <f t="shared" si="10"/>
        <v>0</v>
      </c>
      <c r="AD97" s="2217"/>
      <c r="AE97" s="2217"/>
      <c r="AF97" s="2217"/>
      <c r="AG97" s="2217"/>
      <c r="AH97" s="2217"/>
      <c r="AI97" s="2217"/>
      <c r="AJ97" s="2217"/>
      <c r="AK97" s="2217"/>
      <c r="AL97" s="2217"/>
      <c r="AM97" s="2217"/>
      <c r="AN97" s="2217"/>
      <c r="AO97" s="2217"/>
      <c r="AP97" s="2217"/>
      <c r="AQ97" s="2217"/>
      <c r="AR97" s="2217"/>
      <c r="AS97" s="2217"/>
      <c r="AT97" s="2218"/>
      <c r="AU97" s="2219"/>
      <c r="AV97" s="11">
        <f t="shared" si="11"/>
        <v>0</v>
      </c>
      <c r="AW97" s="11" t="str">
        <f t="shared" si="12"/>
        <v>镇房权证字第0401003046100110号</v>
      </c>
      <c r="AX97" s="11" t="str">
        <f t="shared" si="13"/>
        <v>大港港南路401号第19层1902室</v>
      </c>
      <c r="AY97" s="2983">
        <f t="shared" si="14"/>
        <v>147.96</v>
      </c>
      <c r="AZ97" s="16">
        <f t="shared" si="15"/>
        <v>1025.27</v>
      </c>
      <c r="BA97" s="16">
        <f t="shared" si="16"/>
        <v>1025.27</v>
      </c>
      <c r="BB97" s="16">
        <f t="shared" si="17"/>
        <v>1025.27</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70" customFormat="1" ht="51">
      <c r="A98" s="1275"/>
      <c r="B98" s="1275" t="s">
        <v>3230</v>
      </c>
      <c r="C98" s="2156" t="s">
        <v>3231</v>
      </c>
      <c r="D98" s="2956" t="s">
        <v>3273</v>
      </c>
      <c r="E98" s="16">
        <f t="shared" si="7"/>
        <v>18.829999999999998</v>
      </c>
      <c r="F98" s="32"/>
      <c r="G98" s="33">
        <f t="shared" si="8"/>
        <v>130.47999999999999</v>
      </c>
      <c r="H98" s="20">
        <f t="shared" si="9"/>
        <v>130.47999999999999</v>
      </c>
      <c r="I98" s="2216">
        <v>130.47999999999999</v>
      </c>
      <c r="J98" s="2216"/>
      <c r="K98" s="2216"/>
      <c r="L98" s="2216"/>
      <c r="M98" s="2216"/>
      <c r="N98" s="2216"/>
      <c r="O98" s="2216"/>
      <c r="P98" s="2216"/>
      <c r="Q98" s="2216"/>
      <c r="R98" s="2216"/>
      <c r="S98" s="2216"/>
      <c r="T98" s="2216"/>
      <c r="U98" s="2216"/>
      <c r="V98" s="2216"/>
      <c r="W98" s="2216"/>
      <c r="X98" s="2216"/>
      <c r="Y98" s="2216"/>
      <c r="Z98" s="2216"/>
      <c r="AA98" s="2216"/>
      <c r="AB98" s="2216"/>
      <c r="AC98" s="16">
        <f t="shared" si="10"/>
        <v>0</v>
      </c>
      <c r="AD98" s="2217"/>
      <c r="AE98" s="2217"/>
      <c r="AF98" s="2217"/>
      <c r="AG98" s="2217"/>
      <c r="AH98" s="2217"/>
      <c r="AI98" s="2217"/>
      <c r="AJ98" s="2217"/>
      <c r="AK98" s="2217"/>
      <c r="AL98" s="2217"/>
      <c r="AM98" s="2217"/>
      <c r="AN98" s="2217"/>
      <c r="AO98" s="2217"/>
      <c r="AP98" s="2217"/>
      <c r="AQ98" s="2217"/>
      <c r="AR98" s="2217"/>
      <c r="AS98" s="2217"/>
      <c r="AT98" s="2218"/>
      <c r="AU98" s="2219"/>
      <c r="AV98" s="11">
        <f t="shared" si="11"/>
        <v>0</v>
      </c>
      <c r="AW98" s="11" t="str">
        <f t="shared" si="12"/>
        <v>镇房权证字第0401003048100110号</v>
      </c>
      <c r="AX98" s="11" t="str">
        <f t="shared" si="13"/>
        <v>大港港南路401号第19层1903室</v>
      </c>
      <c r="AY98" s="2983">
        <f t="shared" si="14"/>
        <v>18.829999999999998</v>
      </c>
      <c r="AZ98" s="16">
        <f t="shared" si="15"/>
        <v>130.47999999999999</v>
      </c>
      <c r="BA98" s="16">
        <f t="shared" si="16"/>
        <v>130.47999999999999</v>
      </c>
      <c r="BB98" s="16">
        <f t="shared" si="17"/>
        <v>130.47999999999999</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70" customFormat="1" ht="51">
      <c r="A99" s="1275"/>
      <c r="B99" s="1275" t="s">
        <v>3232</v>
      </c>
      <c r="C99" s="2156" t="s">
        <v>3233</v>
      </c>
      <c r="D99" s="2956" t="s">
        <v>3273</v>
      </c>
      <c r="E99" s="16">
        <f t="shared" si="7"/>
        <v>136.26</v>
      </c>
      <c r="F99" s="32"/>
      <c r="G99" s="33">
        <f t="shared" si="8"/>
        <v>944.22</v>
      </c>
      <c r="H99" s="20">
        <f t="shared" si="9"/>
        <v>944.22</v>
      </c>
      <c r="I99" s="2216">
        <v>944.22</v>
      </c>
      <c r="J99" s="2216"/>
      <c r="K99" s="2216"/>
      <c r="L99" s="2216"/>
      <c r="M99" s="2216"/>
      <c r="N99" s="2216"/>
      <c r="O99" s="2216"/>
      <c r="P99" s="2216"/>
      <c r="Q99" s="2216"/>
      <c r="R99" s="2216"/>
      <c r="S99" s="2216"/>
      <c r="T99" s="2216"/>
      <c r="U99" s="2216"/>
      <c r="V99" s="2216"/>
      <c r="W99" s="2216"/>
      <c r="X99" s="2216"/>
      <c r="Y99" s="2216"/>
      <c r="Z99" s="2216"/>
      <c r="AA99" s="2216"/>
      <c r="AB99" s="2216"/>
      <c r="AC99" s="16">
        <f t="shared" si="10"/>
        <v>0</v>
      </c>
      <c r="AD99" s="2217"/>
      <c r="AE99" s="2217"/>
      <c r="AF99" s="2217"/>
      <c r="AG99" s="2217"/>
      <c r="AH99" s="2217"/>
      <c r="AI99" s="2217"/>
      <c r="AJ99" s="2217"/>
      <c r="AK99" s="2217"/>
      <c r="AL99" s="2217"/>
      <c r="AM99" s="2217"/>
      <c r="AN99" s="2217"/>
      <c r="AO99" s="2217"/>
      <c r="AP99" s="2217"/>
      <c r="AQ99" s="2217"/>
      <c r="AR99" s="2217"/>
      <c r="AS99" s="2217"/>
      <c r="AT99" s="2218"/>
      <c r="AU99" s="2219"/>
      <c r="AV99" s="11">
        <f t="shared" si="11"/>
        <v>0</v>
      </c>
      <c r="AW99" s="11" t="str">
        <f t="shared" si="12"/>
        <v>镇房权证字第0401003038100110号</v>
      </c>
      <c r="AX99" s="11" t="str">
        <f t="shared" si="13"/>
        <v>大港港南路401号第20层2001室</v>
      </c>
      <c r="AY99" s="2983">
        <f t="shared" si="14"/>
        <v>136.26</v>
      </c>
      <c r="AZ99" s="16">
        <f t="shared" si="15"/>
        <v>944.22</v>
      </c>
      <c r="BA99" s="16">
        <f t="shared" si="16"/>
        <v>944.22</v>
      </c>
      <c r="BB99" s="16">
        <f t="shared" si="17"/>
        <v>944.22</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70" customFormat="1" ht="51">
      <c r="A100" s="1275"/>
      <c r="B100" s="1275" t="s">
        <v>3234</v>
      </c>
      <c r="C100" s="2156" t="s">
        <v>3235</v>
      </c>
      <c r="D100" s="2956" t="s">
        <v>3273</v>
      </c>
      <c r="E100" s="16">
        <f t="shared" si="7"/>
        <v>147.96</v>
      </c>
      <c r="F100" s="32"/>
      <c r="G100" s="33">
        <f t="shared" si="8"/>
        <v>1025.27</v>
      </c>
      <c r="H100" s="20">
        <f t="shared" si="9"/>
        <v>1025.27</v>
      </c>
      <c r="I100" s="2216">
        <v>1025.27</v>
      </c>
      <c r="J100" s="2216"/>
      <c r="K100" s="2216"/>
      <c r="L100" s="2216"/>
      <c r="M100" s="2216"/>
      <c r="N100" s="2216"/>
      <c r="O100" s="2216"/>
      <c r="P100" s="2216"/>
      <c r="Q100" s="2216"/>
      <c r="R100" s="2216"/>
      <c r="S100" s="2216"/>
      <c r="T100" s="2216"/>
      <c r="U100" s="2216"/>
      <c r="V100" s="2216"/>
      <c r="W100" s="2216"/>
      <c r="X100" s="2216"/>
      <c r="Y100" s="2216"/>
      <c r="Z100" s="2216"/>
      <c r="AA100" s="2216"/>
      <c r="AB100" s="2216"/>
      <c r="AC100" s="16">
        <f t="shared" si="10"/>
        <v>0</v>
      </c>
      <c r="AD100" s="2217"/>
      <c r="AE100" s="2217"/>
      <c r="AF100" s="2217"/>
      <c r="AG100" s="2217"/>
      <c r="AH100" s="2217"/>
      <c r="AI100" s="2217"/>
      <c r="AJ100" s="2217"/>
      <c r="AK100" s="2217"/>
      <c r="AL100" s="2217"/>
      <c r="AM100" s="2217"/>
      <c r="AN100" s="2217"/>
      <c r="AO100" s="2217"/>
      <c r="AP100" s="2217"/>
      <c r="AQ100" s="2217"/>
      <c r="AR100" s="2217"/>
      <c r="AS100" s="2217"/>
      <c r="AT100" s="2218"/>
      <c r="AU100" s="2219"/>
      <c r="AV100" s="11">
        <f t="shared" si="11"/>
        <v>0</v>
      </c>
      <c r="AW100" s="11" t="str">
        <f t="shared" si="12"/>
        <v>镇房权证字第0401003064100110号</v>
      </c>
      <c r="AX100" s="11" t="str">
        <f t="shared" si="13"/>
        <v>大港港南路401号第20层2002室</v>
      </c>
      <c r="AY100" s="2983">
        <f t="shared" si="14"/>
        <v>147.96</v>
      </c>
      <c r="AZ100" s="16">
        <f t="shared" si="15"/>
        <v>1025.27</v>
      </c>
      <c r="BA100" s="16">
        <f t="shared" si="16"/>
        <v>1025.27</v>
      </c>
      <c r="BB100" s="16">
        <f t="shared" si="17"/>
        <v>1025.27</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70" customFormat="1" ht="51">
      <c r="A101" s="1275"/>
      <c r="B101" s="1275" t="s">
        <v>3236</v>
      </c>
      <c r="C101" s="2156" t="s">
        <v>3237</v>
      </c>
      <c r="D101" s="2956" t="s">
        <v>3273</v>
      </c>
      <c r="E101" s="16">
        <f t="shared" si="7"/>
        <v>18.829999999999998</v>
      </c>
      <c r="F101" s="32"/>
      <c r="G101" s="33">
        <f t="shared" si="8"/>
        <v>130.47999999999999</v>
      </c>
      <c r="H101" s="20">
        <f t="shared" si="9"/>
        <v>130.47999999999999</v>
      </c>
      <c r="I101" s="2216">
        <v>130.47999999999999</v>
      </c>
      <c r="J101" s="2216"/>
      <c r="K101" s="2216"/>
      <c r="L101" s="2216"/>
      <c r="M101" s="2216"/>
      <c r="N101" s="2216"/>
      <c r="O101" s="2216"/>
      <c r="P101" s="2216"/>
      <c r="Q101" s="2216"/>
      <c r="R101" s="2216"/>
      <c r="S101" s="2216"/>
      <c r="T101" s="2216"/>
      <c r="U101" s="2216"/>
      <c r="V101" s="2216"/>
      <c r="W101" s="2216"/>
      <c r="X101" s="2216"/>
      <c r="Y101" s="2216"/>
      <c r="Z101" s="2216"/>
      <c r="AA101" s="2216"/>
      <c r="AB101" s="2216"/>
      <c r="AC101" s="16">
        <f t="shared" si="10"/>
        <v>0</v>
      </c>
      <c r="AD101" s="2217"/>
      <c r="AE101" s="2217"/>
      <c r="AF101" s="2217"/>
      <c r="AG101" s="2217"/>
      <c r="AH101" s="2217"/>
      <c r="AI101" s="2217"/>
      <c r="AJ101" s="2217"/>
      <c r="AK101" s="2217"/>
      <c r="AL101" s="2217"/>
      <c r="AM101" s="2217"/>
      <c r="AN101" s="2217"/>
      <c r="AO101" s="2217"/>
      <c r="AP101" s="2217"/>
      <c r="AQ101" s="2217"/>
      <c r="AR101" s="2217"/>
      <c r="AS101" s="2217"/>
      <c r="AT101" s="2218"/>
      <c r="AU101" s="2219"/>
      <c r="AV101" s="11">
        <f t="shared" si="11"/>
        <v>0</v>
      </c>
      <c r="AW101" s="11" t="str">
        <f t="shared" si="12"/>
        <v>镇房权证字第0401003068100110号</v>
      </c>
      <c r="AX101" s="11" t="str">
        <f t="shared" si="13"/>
        <v>大港港南路401号第20层2003室</v>
      </c>
      <c r="AY101" s="2983">
        <f t="shared" si="14"/>
        <v>18.829999999999998</v>
      </c>
      <c r="AZ101" s="16">
        <f t="shared" si="15"/>
        <v>130.47999999999999</v>
      </c>
      <c r="BA101" s="16">
        <f t="shared" si="16"/>
        <v>130.47999999999999</v>
      </c>
      <c r="BB101" s="16">
        <f t="shared" si="17"/>
        <v>130.47999999999999</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70" customFormat="1" ht="51">
      <c r="A102" s="1275"/>
      <c r="B102" s="1275" t="s">
        <v>3238</v>
      </c>
      <c r="C102" s="2156" t="s">
        <v>3239</v>
      </c>
      <c r="D102" s="2956" t="s">
        <v>3273</v>
      </c>
      <c r="E102" s="16">
        <f t="shared" si="7"/>
        <v>136.26</v>
      </c>
      <c r="F102" s="32"/>
      <c r="G102" s="33">
        <f t="shared" si="8"/>
        <v>944.22</v>
      </c>
      <c r="H102" s="20">
        <f t="shared" si="9"/>
        <v>944.22</v>
      </c>
      <c r="I102" s="2216">
        <v>944.22</v>
      </c>
      <c r="J102" s="2216"/>
      <c r="K102" s="2216"/>
      <c r="L102" s="2216"/>
      <c r="M102" s="2216"/>
      <c r="N102" s="2216"/>
      <c r="O102" s="2216"/>
      <c r="P102" s="2216"/>
      <c r="Q102" s="2216"/>
      <c r="R102" s="2216"/>
      <c r="S102" s="2216"/>
      <c r="T102" s="2216"/>
      <c r="U102" s="2216"/>
      <c r="V102" s="2216"/>
      <c r="W102" s="2216"/>
      <c r="X102" s="2216"/>
      <c r="Y102" s="2216"/>
      <c r="Z102" s="2216"/>
      <c r="AA102" s="2216"/>
      <c r="AB102" s="2216"/>
      <c r="AC102" s="16">
        <f t="shared" si="10"/>
        <v>0</v>
      </c>
      <c r="AD102" s="2217"/>
      <c r="AE102" s="2217"/>
      <c r="AF102" s="2217"/>
      <c r="AG102" s="2217"/>
      <c r="AH102" s="2217"/>
      <c r="AI102" s="2217"/>
      <c r="AJ102" s="2217"/>
      <c r="AK102" s="2217"/>
      <c r="AL102" s="2217"/>
      <c r="AM102" s="2217"/>
      <c r="AN102" s="2217"/>
      <c r="AO102" s="2217"/>
      <c r="AP102" s="2217"/>
      <c r="AQ102" s="2217"/>
      <c r="AR102" s="2217"/>
      <c r="AS102" s="2217"/>
      <c r="AT102" s="2218"/>
      <c r="AU102" s="2219"/>
      <c r="AV102" s="11">
        <f t="shared" si="11"/>
        <v>0</v>
      </c>
      <c r="AW102" s="11" t="str">
        <f t="shared" si="12"/>
        <v>镇房权证字第0401002994100110号</v>
      </c>
      <c r="AX102" s="11" t="str">
        <f t="shared" si="13"/>
        <v>大港港南路401号第21层2101室</v>
      </c>
      <c r="AY102" s="2983">
        <f t="shared" si="14"/>
        <v>136.26</v>
      </c>
      <c r="AZ102" s="16">
        <f t="shared" si="15"/>
        <v>944.22</v>
      </c>
      <c r="BA102" s="16">
        <f t="shared" si="16"/>
        <v>944.22</v>
      </c>
      <c r="BB102" s="16">
        <f t="shared" si="17"/>
        <v>944.22</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70" customFormat="1" ht="51">
      <c r="A103" s="1275"/>
      <c r="B103" s="1275" t="s">
        <v>3240</v>
      </c>
      <c r="C103" s="2156" t="s">
        <v>3241</v>
      </c>
      <c r="D103" s="2956" t="s">
        <v>3273</v>
      </c>
      <c r="E103" s="16">
        <f t="shared" si="7"/>
        <v>147.96</v>
      </c>
      <c r="F103" s="32"/>
      <c r="G103" s="33">
        <f t="shared" si="8"/>
        <v>1025.27</v>
      </c>
      <c r="H103" s="20">
        <f t="shared" si="9"/>
        <v>1025.27</v>
      </c>
      <c r="I103" s="2216">
        <v>1025.27</v>
      </c>
      <c r="J103" s="2216"/>
      <c r="K103" s="2216"/>
      <c r="L103" s="2216"/>
      <c r="M103" s="2216"/>
      <c r="N103" s="2216"/>
      <c r="O103" s="2216"/>
      <c r="P103" s="2216"/>
      <c r="Q103" s="2216"/>
      <c r="R103" s="2216"/>
      <c r="S103" s="2216"/>
      <c r="T103" s="2216"/>
      <c r="U103" s="2216"/>
      <c r="V103" s="2216"/>
      <c r="W103" s="2216"/>
      <c r="X103" s="2216"/>
      <c r="Y103" s="2216"/>
      <c r="Z103" s="2216"/>
      <c r="AA103" s="2216"/>
      <c r="AB103" s="2216"/>
      <c r="AC103" s="16">
        <f t="shared" si="10"/>
        <v>0</v>
      </c>
      <c r="AD103" s="2217"/>
      <c r="AE103" s="2217"/>
      <c r="AF103" s="2217"/>
      <c r="AG103" s="2217"/>
      <c r="AH103" s="2217"/>
      <c r="AI103" s="2217"/>
      <c r="AJ103" s="2217"/>
      <c r="AK103" s="2217"/>
      <c r="AL103" s="2217"/>
      <c r="AM103" s="2217"/>
      <c r="AN103" s="2217"/>
      <c r="AO103" s="2217"/>
      <c r="AP103" s="2217"/>
      <c r="AQ103" s="2217"/>
      <c r="AR103" s="2217"/>
      <c r="AS103" s="2217"/>
      <c r="AT103" s="2218"/>
      <c r="AU103" s="2219"/>
      <c r="AV103" s="11">
        <f t="shared" si="11"/>
        <v>0</v>
      </c>
      <c r="AW103" s="11" t="str">
        <f t="shared" si="12"/>
        <v>镇房权证字第0401002995100110号</v>
      </c>
      <c r="AX103" s="11" t="str">
        <f t="shared" si="13"/>
        <v>大港港南路401号第21层2102室</v>
      </c>
      <c r="AY103" s="2983">
        <f t="shared" si="14"/>
        <v>147.96</v>
      </c>
      <c r="AZ103" s="16">
        <f t="shared" si="15"/>
        <v>1025.27</v>
      </c>
      <c r="BA103" s="16">
        <f t="shared" si="16"/>
        <v>1025.27</v>
      </c>
      <c r="BB103" s="16">
        <f t="shared" si="17"/>
        <v>1025.27</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70" customFormat="1" ht="51">
      <c r="A104" s="1275"/>
      <c r="B104" s="1275" t="s">
        <v>3242</v>
      </c>
      <c r="C104" s="2156" t="s">
        <v>3243</v>
      </c>
      <c r="D104" s="2956" t="s">
        <v>3273</v>
      </c>
      <c r="E104" s="16">
        <f t="shared" si="7"/>
        <v>18.829999999999998</v>
      </c>
      <c r="F104" s="32"/>
      <c r="G104" s="33">
        <f t="shared" si="8"/>
        <v>130.47999999999999</v>
      </c>
      <c r="H104" s="20">
        <f t="shared" si="9"/>
        <v>130.47999999999999</v>
      </c>
      <c r="I104" s="2216">
        <v>130.47999999999999</v>
      </c>
      <c r="J104" s="2216"/>
      <c r="K104" s="2216"/>
      <c r="L104" s="2216"/>
      <c r="M104" s="2216"/>
      <c r="N104" s="2216"/>
      <c r="O104" s="2216"/>
      <c r="P104" s="2216"/>
      <c r="Q104" s="2216"/>
      <c r="R104" s="2216"/>
      <c r="S104" s="2216"/>
      <c r="T104" s="2216"/>
      <c r="U104" s="2216"/>
      <c r="V104" s="2216"/>
      <c r="W104" s="2216"/>
      <c r="X104" s="2216"/>
      <c r="Y104" s="2216"/>
      <c r="Z104" s="2216"/>
      <c r="AA104" s="2216"/>
      <c r="AB104" s="2216"/>
      <c r="AC104" s="16">
        <f t="shared" si="10"/>
        <v>0</v>
      </c>
      <c r="AD104" s="2217"/>
      <c r="AE104" s="2217"/>
      <c r="AF104" s="2217"/>
      <c r="AG104" s="2217"/>
      <c r="AH104" s="2217"/>
      <c r="AI104" s="2217"/>
      <c r="AJ104" s="2217"/>
      <c r="AK104" s="2217"/>
      <c r="AL104" s="2217"/>
      <c r="AM104" s="2217"/>
      <c r="AN104" s="2217"/>
      <c r="AO104" s="2217"/>
      <c r="AP104" s="2217"/>
      <c r="AQ104" s="2217"/>
      <c r="AR104" s="2217"/>
      <c r="AS104" s="2217"/>
      <c r="AT104" s="2218"/>
      <c r="AU104" s="2219"/>
      <c r="AV104" s="11">
        <f t="shared" si="11"/>
        <v>0</v>
      </c>
      <c r="AW104" s="11" t="str">
        <f t="shared" si="12"/>
        <v>镇房权证字第0401003006100110号</v>
      </c>
      <c r="AX104" s="11" t="str">
        <f t="shared" si="13"/>
        <v>大港港南路401号第21层2103室</v>
      </c>
      <c r="AY104" s="2983">
        <f t="shared" si="14"/>
        <v>18.829999999999998</v>
      </c>
      <c r="AZ104" s="16">
        <f t="shared" si="15"/>
        <v>130.47999999999999</v>
      </c>
      <c r="BA104" s="16">
        <f t="shared" si="16"/>
        <v>130.47999999999999</v>
      </c>
      <c r="BB104" s="16">
        <f t="shared" si="17"/>
        <v>130.47999999999999</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70" customFormat="1" ht="51">
      <c r="A105" s="1275"/>
      <c r="B105" s="1275" t="s">
        <v>3244</v>
      </c>
      <c r="C105" s="2156" t="s">
        <v>3245</v>
      </c>
      <c r="D105" s="2956" t="s">
        <v>3273</v>
      </c>
      <c r="E105" s="16">
        <f t="shared" si="7"/>
        <v>226.4</v>
      </c>
      <c r="F105" s="32"/>
      <c r="G105" s="33">
        <f t="shared" si="8"/>
        <v>1568.83</v>
      </c>
      <c r="H105" s="20">
        <f t="shared" si="9"/>
        <v>1568.83</v>
      </c>
      <c r="I105" s="2216">
        <v>1568.83</v>
      </c>
      <c r="J105" s="2216"/>
      <c r="K105" s="2216"/>
      <c r="L105" s="2216"/>
      <c r="M105" s="2216"/>
      <c r="N105" s="2216"/>
      <c r="O105" s="2216"/>
      <c r="P105" s="2216"/>
      <c r="Q105" s="2216"/>
      <c r="R105" s="2216"/>
      <c r="S105" s="2216"/>
      <c r="T105" s="2216"/>
      <c r="U105" s="2216"/>
      <c r="V105" s="2216"/>
      <c r="W105" s="2216"/>
      <c r="X105" s="2216"/>
      <c r="Y105" s="2216"/>
      <c r="Z105" s="2216"/>
      <c r="AA105" s="2216"/>
      <c r="AB105" s="2216"/>
      <c r="AC105" s="16">
        <f t="shared" si="10"/>
        <v>0</v>
      </c>
      <c r="AD105" s="2217"/>
      <c r="AE105" s="2217"/>
      <c r="AF105" s="2217"/>
      <c r="AG105" s="2217"/>
      <c r="AH105" s="2217"/>
      <c r="AI105" s="2217"/>
      <c r="AJ105" s="2217"/>
      <c r="AK105" s="2217"/>
      <c r="AL105" s="2217"/>
      <c r="AM105" s="2217"/>
      <c r="AN105" s="2217"/>
      <c r="AO105" s="2217"/>
      <c r="AP105" s="2217"/>
      <c r="AQ105" s="2217"/>
      <c r="AR105" s="2217"/>
      <c r="AS105" s="2217"/>
      <c r="AT105" s="2218"/>
      <c r="AU105" s="2219"/>
      <c r="AV105" s="11">
        <f t="shared" si="11"/>
        <v>0</v>
      </c>
      <c r="AW105" s="11" t="str">
        <f t="shared" si="12"/>
        <v>镇房权证字第0401003004100110号</v>
      </c>
      <c r="AX105" s="11" t="str">
        <f t="shared" si="13"/>
        <v>大港港南路401号第22层2201室</v>
      </c>
      <c r="AY105" s="2983">
        <f t="shared" si="14"/>
        <v>226.4</v>
      </c>
      <c r="AZ105" s="16">
        <f t="shared" si="15"/>
        <v>1568.83</v>
      </c>
      <c r="BA105" s="16">
        <f t="shared" si="16"/>
        <v>1568.83</v>
      </c>
      <c r="BB105" s="16">
        <f t="shared" si="17"/>
        <v>1568.83</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70" customFormat="1" ht="51">
      <c r="A106" s="1275"/>
      <c r="B106" s="1275" t="s">
        <v>3246</v>
      </c>
      <c r="C106" s="2156" t="s">
        <v>3247</v>
      </c>
      <c r="D106" s="2956" t="s">
        <v>3273</v>
      </c>
      <c r="E106" s="16">
        <f t="shared" si="7"/>
        <v>48.54</v>
      </c>
      <c r="F106" s="32"/>
      <c r="G106" s="33">
        <f t="shared" si="8"/>
        <v>336.37</v>
      </c>
      <c r="H106" s="20">
        <f t="shared" si="9"/>
        <v>336.37</v>
      </c>
      <c r="I106" s="2216">
        <v>336.37</v>
      </c>
      <c r="J106" s="2216"/>
      <c r="K106" s="2216"/>
      <c r="L106" s="2216"/>
      <c r="M106" s="2216"/>
      <c r="N106" s="2216"/>
      <c r="O106" s="2216"/>
      <c r="P106" s="2216"/>
      <c r="Q106" s="2216"/>
      <c r="R106" s="2216"/>
      <c r="S106" s="2216"/>
      <c r="T106" s="2216"/>
      <c r="U106" s="2216"/>
      <c r="V106" s="2216"/>
      <c r="W106" s="2216"/>
      <c r="X106" s="2216"/>
      <c r="Y106" s="2216"/>
      <c r="Z106" s="2216"/>
      <c r="AA106" s="2216"/>
      <c r="AB106" s="2216"/>
      <c r="AC106" s="16">
        <f t="shared" si="10"/>
        <v>0</v>
      </c>
      <c r="AD106" s="2217"/>
      <c r="AE106" s="2217"/>
      <c r="AF106" s="2217"/>
      <c r="AG106" s="2217"/>
      <c r="AH106" s="2217"/>
      <c r="AI106" s="2217"/>
      <c r="AJ106" s="2217"/>
      <c r="AK106" s="2217"/>
      <c r="AL106" s="2217"/>
      <c r="AM106" s="2217"/>
      <c r="AN106" s="2217"/>
      <c r="AO106" s="2217"/>
      <c r="AP106" s="2217"/>
      <c r="AQ106" s="2217"/>
      <c r="AR106" s="2217"/>
      <c r="AS106" s="2217"/>
      <c r="AT106" s="2218"/>
      <c r="AU106" s="2219"/>
      <c r="AV106" s="11">
        <f t="shared" si="11"/>
        <v>0</v>
      </c>
      <c r="AW106" s="11" t="str">
        <f t="shared" si="12"/>
        <v>镇房权证字第0401003031100110号</v>
      </c>
      <c r="AX106" s="11" t="str">
        <f t="shared" si="13"/>
        <v>大港港南路401号第22层2202室</v>
      </c>
      <c r="AY106" s="2983">
        <f t="shared" si="14"/>
        <v>48.54</v>
      </c>
      <c r="AZ106" s="16">
        <f t="shared" si="15"/>
        <v>336.37</v>
      </c>
      <c r="BA106" s="16">
        <f t="shared" si="16"/>
        <v>336.37</v>
      </c>
      <c r="BB106" s="16">
        <f t="shared" si="17"/>
        <v>336.37</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70" customFormat="1" ht="51">
      <c r="A107" s="1275"/>
      <c r="B107" s="1275" t="s">
        <v>3248</v>
      </c>
      <c r="C107" s="2156" t="s">
        <v>3249</v>
      </c>
      <c r="D107" s="2956" t="s">
        <v>3273</v>
      </c>
      <c r="E107" s="16">
        <f t="shared" si="7"/>
        <v>19.14</v>
      </c>
      <c r="F107" s="32"/>
      <c r="G107" s="33">
        <f t="shared" si="8"/>
        <v>132.62</v>
      </c>
      <c r="H107" s="20">
        <f t="shared" si="9"/>
        <v>132.62</v>
      </c>
      <c r="I107" s="2216">
        <v>132.62</v>
      </c>
      <c r="J107" s="2216"/>
      <c r="K107" s="2216"/>
      <c r="L107" s="2216"/>
      <c r="M107" s="2216"/>
      <c r="N107" s="2216"/>
      <c r="O107" s="2216"/>
      <c r="P107" s="2216"/>
      <c r="Q107" s="2216"/>
      <c r="R107" s="2216"/>
      <c r="S107" s="2216"/>
      <c r="T107" s="2216"/>
      <c r="U107" s="2216"/>
      <c r="V107" s="2216"/>
      <c r="W107" s="2216"/>
      <c r="X107" s="2216"/>
      <c r="Y107" s="2216"/>
      <c r="Z107" s="2216"/>
      <c r="AA107" s="2216"/>
      <c r="AB107" s="2216"/>
      <c r="AC107" s="16">
        <f t="shared" si="10"/>
        <v>0</v>
      </c>
      <c r="AD107" s="2217"/>
      <c r="AE107" s="2217"/>
      <c r="AF107" s="2217"/>
      <c r="AG107" s="2217"/>
      <c r="AH107" s="2217"/>
      <c r="AI107" s="2217"/>
      <c r="AJ107" s="2217"/>
      <c r="AK107" s="2217"/>
      <c r="AL107" s="2217"/>
      <c r="AM107" s="2217"/>
      <c r="AN107" s="2217"/>
      <c r="AO107" s="2217"/>
      <c r="AP107" s="2217"/>
      <c r="AQ107" s="2217"/>
      <c r="AR107" s="2217"/>
      <c r="AS107" s="2217"/>
      <c r="AT107" s="2218"/>
      <c r="AU107" s="2219"/>
      <c r="AV107" s="11">
        <f t="shared" si="11"/>
        <v>0</v>
      </c>
      <c r="AW107" s="11" t="str">
        <f t="shared" si="12"/>
        <v>镇房权证字第0401003032100110号</v>
      </c>
      <c r="AX107" s="11" t="str">
        <f t="shared" si="13"/>
        <v>大港港南路401号第22层2203室</v>
      </c>
      <c r="AY107" s="2983">
        <f t="shared" si="14"/>
        <v>19.14</v>
      </c>
      <c r="AZ107" s="16">
        <f t="shared" si="15"/>
        <v>132.62</v>
      </c>
      <c r="BA107" s="16">
        <f t="shared" si="16"/>
        <v>132.62</v>
      </c>
      <c r="BB107" s="16">
        <f t="shared" si="17"/>
        <v>132.62</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70" customFormat="1" ht="51">
      <c r="A108" s="1275"/>
      <c r="B108" s="1275" t="s">
        <v>3250</v>
      </c>
      <c r="C108" s="2156" t="s">
        <v>3251</v>
      </c>
      <c r="D108" s="2956" t="s">
        <v>3273</v>
      </c>
      <c r="E108" s="16">
        <f t="shared" si="7"/>
        <v>66.680000000000007</v>
      </c>
      <c r="F108" s="32"/>
      <c r="G108" s="33">
        <f t="shared" si="8"/>
        <v>462.03</v>
      </c>
      <c r="H108" s="20">
        <f t="shared" si="9"/>
        <v>462.03</v>
      </c>
      <c r="I108" s="2216">
        <v>462.03</v>
      </c>
      <c r="J108" s="2216"/>
      <c r="K108" s="2216"/>
      <c r="L108" s="2216"/>
      <c r="M108" s="2216"/>
      <c r="N108" s="2216"/>
      <c r="O108" s="2216"/>
      <c r="P108" s="2216"/>
      <c r="Q108" s="2216"/>
      <c r="R108" s="2216"/>
      <c r="S108" s="2216"/>
      <c r="T108" s="2216"/>
      <c r="U108" s="2216"/>
      <c r="V108" s="2216"/>
      <c r="W108" s="2216"/>
      <c r="X108" s="2216"/>
      <c r="Y108" s="2216"/>
      <c r="Z108" s="2216"/>
      <c r="AA108" s="2216"/>
      <c r="AB108" s="2216"/>
      <c r="AC108" s="16">
        <f t="shared" si="10"/>
        <v>0</v>
      </c>
      <c r="AD108" s="2217"/>
      <c r="AE108" s="2217"/>
      <c r="AF108" s="2217"/>
      <c r="AG108" s="2217"/>
      <c r="AH108" s="2217"/>
      <c r="AI108" s="2217"/>
      <c r="AJ108" s="2217"/>
      <c r="AK108" s="2217"/>
      <c r="AL108" s="2217"/>
      <c r="AM108" s="2217"/>
      <c r="AN108" s="2217"/>
      <c r="AO108" s="2217"/>
      <c r="AP108" s="2217"/>
      <c r="AQ108" s="2217"/>
      <c r="AR108" s="2217"/>
      <c r="AS108" s="2217"/>
      <c r="AT108" s="2218"/>
      <c r="AU108" s="2219"/>
      <c r="AV108" s="11">
        <f t="shared" si="11"/>
        <v>0</v>
      </c>
      <c r="AW108" s="11" t="str">
        <f t="shared" si="12"/>
        <v>镇房权证字第0401003028100110号</v>
      </c>
      <c r="AX108" s="11" t="str">
        <f t="shared" si="13"/>
        <v>大港港南路401号第23层2301室</v>
      </c>
      <c r="AY108" s="2983">
        <f t="shared" si="14"/>
        <v>66.680000000000007</v>
      </c>
      <c r="AZ108" s="16">
        <f t="shared" si="15"/>
        <v>462.03</v>
      </c>
      <c r="BA108" s="16">
        <f t="shared" si="16"/>
        <v>462.03</v>
      </c>
      <c r="BB108" s="16">
        <f t="shared" si="17"/>
        <v>462.03</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70" customFormat="1" ht="51">
      <c r="A109" s="1275"/>
      <c r="B109" s="1275" t="s">
        <v>3252</v>
      </c>
      <c r="C109" s="2156" t="s">
        <v>3253</v>
      </c>
      <c r="D109" s="2956" t="s">
        <v>3273</v>
      </c>
      <c r="E109" s="16">
        <f t="shared" si="7"/>
        <v>18.829999999999998</v>
      </c>
      <c r="F109" s="32"/>
      <c r="G109" s="33">
        <f t="shared" si="8"/>
        <v>130.49</v>
      </c>
      <c r="H109" s="20">
        <f t="shared" si="9"/>
        <v>130.49</v>
      </c>
      <c r="I109" s="2216">
        <v>130.49</v>
      </c>
      <c r="J109" s="2216"/>
      <c r="K109" s="2216"/>
      <c r="L109" s="2216"/>
      <c r="M109" s="2216"/>
      <c r="N109" s="2216"/>
      <c r="O109" s="2216"/>
      <c r="P109" s="2216"/>
      <c r="Q109" s="2216"/>
      <c r="R109" s="2216"/>
      <c r="S109" s="2216"/>
      <c r="T109" s="2216"/>
      <c r="U109" s="2216"/>
      <c r="V109" s="2216"/>
      <c r="W109" s="2216"/>
      <c r="X109" s="2216"/>
      <c r="Y109" s="2216"/>
      <c r="Z109" s="2216"/>
      <c r="AA109" s="2216"/>
      <c r="AB109" s="2216"/>
      <c r="AC109" s="16">
        <f t="shared" si="10"/>
        <v>0</v>
      </c>
      <c r="AD109" s="2217"/>
      <c r="AE109" s="2217"/>
      <c r="AF109" s="2217"/>
      <c r="AG109" s="2217"/>
      <c r="AH109" s="2217"/>
      <c r="AI109" s="2217"/>
      <c r="AJ109" s="2217"/>
      <c r="AK109" s="2217"/>
      <c r="AL109" s="2217"/>
      <c r="AM109" s="2217"/>
      <c r="AN109" s="2217"/>
      <c r="AO109" s="2217"/>
      <c r="AP109" s="2217"/>
      <c r="AQ109" s="2217"/>
      <c r="AR109" s="2217"/>
      <c r="AS109" s="2217"/>
      <c r="AT109" s="2218"/>
      <c r="AU109" s="2219"/>
      <c r="AV109" s="11">
        <f t="shared" si="11"/>
        <v>0</v>
      </c>
      <c r="AW109" s="11" t="str">
        <f t="shared" si="12"/>
        <v>镇房权证字第0401003022100110号</v>
      </c>
      <c r="AX109" s="11" t="str">
        <f t="shared" si="13"/>
        <v>大港港南路401号第23层2302室</v>
      </c>
      <c r="AY109" s="2983">
        <f t="shared" si="14"/>
        <v>18.829999999999998</v>
      </c>
      <c r="AZ109" s="16">
        <f t="shared" si="15"/>
        <v>130.49</v>
      </c>
      <c r="BA109" s="16">
        <f t="shared" si="16"/>
        <v>130.49</v>
      </c>
      <c r="BB109" s="16">
        <f t="shared" si="17"/>
        <v>130.49</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70" customFormat="1" ht="51">
      <c r="A110" s="1275"/>
      <c r="B110" s="1275" t="s">
        <v>3254</v>
      </c>
      <c r="C110" s="2156" t="s">
        <v>3255</v>
      </c>
      <c r="D110" s="2956" t="s">
        <v>3273</v>
      </c>
      <c r="E110" s="16">
        <f t="shared" si="7"/>
        <v>44.97</v>
      </c>
      <c r="F110" s="32"/>
      <c r="G110" s="33">
        <f t="shared" ref="G110:G141" si="36">H110+AC110+AT110</f>
        <v>311.61</v>
      </c>
      <c r="H110" s="20">
        <f t="shared" ref="H110:H141" si="37">SUMIF(I$12:AB$12,"总值",I110:AB110)</f>
        <v>311.61</v>
      </c>
      <c r="I110" s="2216">
        <v>311.61</v>
      </c>
      <c r="J110" s="2216"/>
      <c r="K110" s="2216"/>
      <c r="L110" s="2216"/>
      <c r="M110" s="2216"/>
      <c r="N110" s="2216"/>
      <c r="O110" s="2216"/>
      <c r="P110" s="2216"/>
      <c r="Q110" s="2216"/>
      <c r="R110" s="2216"/>
      <c r="S110" s="2216"/>
      <c r="T110" s="2216"/>
      <c r="U110" s="2216"/>
      <c r="V110" s="2216"/>
      <c r="W110" s="2216"/>
      <c r="X110" s="2216"/>
      <c r="Y110" s="2216"/>
      <c r="Z110" s="2216"/>
      <c r="AA110" s="2216"/>
      <c r="AB110" s="2216"/>
      <c r="AC110" s="16">
        <f t="shared" ref="AC110:AC141" si="38">SUMIF(AD$12:AS$12,"总值",AD110:AS110)</f>
        <v>0</v>
      </c>
      <c r="AD110" s="2217"/>
      <c r="AE110" s="2217"/>
      <c r="AF110" s="2217"/>
      <c r="AG110" s="2217"/>
      <c r="AH110" s="2217"/>
      <c r="AI110" s="2217"/>
      <c r="AJ110" s="2217"/>
      <c r="AK110" s="2217"/>
      <c r="AL110" s="2217"/>
      <c r="AM110" s="2217"/>
      <c r="AN110" s="2217"/>
      <c r="AO110" s="2217"/>
      <c r="AP110" s="2217"/>
      <c r="AQ110" s="2217"/>
      <c r="AR110" s="2217"/>
      <c r="AS110" s="2217"/>
      <c r="AT110" s="2218"/>
      <c r="AU110" s="2219"/>
      <c r="AV110" s="11">
        <f t="shared" si="11"/>
        <v>0</v>
      </c>
      <c r="AW110" s="11" t="str">
        <f t="shared" si="12"/>
        <v>镇房权证字第0401003017100110号</v>
      </c>
      <c r="AX110" s="11" t="str">
        <f t="shared" si="13"/>
        <v>大港港南路401号第23层2303室</v>
      </c>
      <c r="AY110" s="2983">
        <f t="shared" ref="AY110:AY141" si="39">ROUND($AY$6*AZ110/$AZ$5,2)</f>
        <v>44.97</v>
      </c>
      <c r="AZ110" s="16">
        <f t="shared" ref="AZ110:AZ141" si="40">BA110+BL110</f>
        <v>311.61</v>
      </c>
      <c r="BA110" s="16">
        <f t="shared" ref="BA110:BA141" si="41">SUM(BB110:BK110)</f>
        <v>311.61</v>
      </c>
      <c r="BB110" s="16">
        <f t="shared" ref="BB110:BB141" si="42">IF($D110="是",I110-J110,0)</f>
        <v>311.61</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70" customFormat="1" ht="51">
      <c r="A111" s="1275"/>
      <c r="B111" s="1275" t="s">
        <v>3256</v>
      </c>
      <c r="C111" s="2156" t="s">
        <v>3257</v>
      </c>
      <c r="D111" s="2956" t="s">
        <v>3273</v>
      </c>
      <c r="E111" s="16">
        <f t="shared" si="7"/>
        <v>18.829999999999998</v>
      </c>
      <c r="F111" s="32"/>
      <c r="G111" s="33">
        <f t="shared" si="36"/>
        <v>130.49</v>
      </c>
      <c r="H111" s="20">
        <f t="shared" si="37"/>
        <v>130.49</v>
      </c>
      <c r="I111" s="2216">
        <v>130.49</v>
      </c>
      <c r="J111" s="2216"/>
      <c r="K111" s="2216"/>
      <c r="L111" s="2216"/>
      <c r="M111" s="2216"/>
      <c r="N111" s="2216"/>
      <c r="O111" s="2216"/>
      <c r="P111" s="2216"/>
      <c r="Q111" s="2216"/>
      <c r="R111" s="2216"/>
      <c r="S111" s="2216"/>
      <c r="T111" s="2216"/>
      <c r="U111" s="2216"/>
      <c r="V111" s="2216"/>
      <c r="W111" s="2216"/>
      <c r="X111" s="2216"/>
      <c r="Y111" s="2216"/>
      <c r="Z111" s="2216"/>
      <c r="AA111" s="2216"/>
      <c r="AB111" s="2216"/>
      <c r="AC111" s="16">
        <f t="shared" si="38"/>
        <v>0</v>
      </c>
      <c r="AD111" s="2217"/>
      <c r="AE111" s="2217"/>
      <c r="AF111" s="2217"/>
      <c r="AG111" s="2217"/>
      <c r="AH111" s="2217"/>
      <c r="AI111" s="2217"/>
      <c r="AJ111" s="2217"/>
      <c r="AK111" s="2217"/>
      <c r="AL111" s="2217"/>
      <c r="AM111" s="2217"/>
      <c r="AN111" s="2217"/>
      <c r="AO111" s="2217"/>
      <c r="AP111" s="2217"/>
      <c r="AQ111" s="2217"/>
      <c r="AR111" s="2217"/>
      <c r="AS111" s="2217"/>
      <c r="AT111" s="2218"/>
      <c r="AU111" s="2219"/>
      <c r="AV111" s="11">
        <f t="shared" si="11"/>
        <v>0</v>
      </c>
      <c r="AW111" s="11" t="str">
        <f t="shared" si="12"/>
        <v>镇房权证字第0401003027100110号</v>
      </c>
      <c r="AX111" s="11" t="str">
        <f t="shared" si="13"/>
        <v>大港港南路401号第23层2304室</v>
      </c>
      <c r="AY111" s="2983">
        <f t="shared" si="39"/>
        <v>18.829999999999998</v>
      </c>
      <c r="AZ111" s="16">
        <f t="shared" si="40"/>
        <v>130.49</v>
      </c>
      <c r="BA111" s="16">
        <f t="shared" si="41"/>
        <v>130.49</v>
      </c>
      <c r="BB111" s="16">
        <f t="shared" si="42"/>
        <v>130.49</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70" customFormat="1" ht="51">
      <c r="A112" s="1275"/>
      <c r="B112" s="1275" t="s">
        <v>3258</v>
      </c>
      <c r="C112" s="2156" t="s">
        <v>3259</v>
      </c>
      <c r="D112" s="2956" t="s">
        <v>3273</v>
      </c>
      <c r="E112" s="16">
        <f t="shared" si="7"/>
        <v>82.13</v>
      </c>
      <c r="F112" s="32"/>
      <c r="G112" s="33">
        <f t="shared" si="36"/>
        <v>569.14</v>
      </c>
      <c r="H112" s="20">
        <f t="shared" si="37"/>
        <v>569.14</v>
      </c>
      <c r="I112" s="2216">
        <v>569.14</v>
      </c>
      <c r="J112" s="2216"/>
      <c r="K112" s="2216"/>
      <c r="L112" s="2216"/>
      <c r="M112" s="2216"/>
      <c r="N112" s="2216"/>
      <c r="O112" s="2216"/>
      <c r="P112" s="2216"/>
      <c r="Q112" s="2216"/>
      <c r="R112" s="2216"/>
      <c r="S112" s="2216"/>
      <c r="T112" s="2216"/>
      <c r="U112" s="2216"/>
      <c r="V112" s="2216"/>
      <c r="W112" s="2216"/>
      <c r="X112" s="2216"/>
      <c r="Y112" s="2216"/>
      <c r="Z112" s="2216"/>
      <c r="AA112" s="2216"/>
      <c r="AB112" s="2216"/>
      <c r="AC112" s="16">
        <f t="shared" si="38"/>
        <v>0</v>
      </c>
      <c r="AD112" s="2217"/>
      <c r="AE112" s="2217"/>
      <c r="AF112" s="2217"/>
      <c r="AG112" s="2217"/>
      <c r="AH112" s="2217"/>
      <c r="AI112" s="2217"/>
      <c r="AJ112" s="2217"/>
      <c r="AK112" s="2217"/>
      <c r="AL112" s="2217"/>
      <c r="AM112" s="2217"/>
      <c r="AN112" s="2217"/>
      <c r="AO112" s="2217"/>
      <c r="AP112" s="2217"/>
      <c r="AQ112" s="2217"/>
      <c r="AR112" s="2217"/>
      <c r="AS112" s="2217"/>
      <c r="AT112" s="2218"/>
      <c r="AU112" s="2219"/>
      <c r="AV112" s="11">
        <f t="shared" si="11"/>
        <v>0</v>
      </c>
      <c r="AW112" s="11" t="str">
        <f t="shared" si="12"/>
        <v>镇房权证字第0401003023100110号</v>
      </c>
      <c r="AX112" s="11" t="str">
        <f t="shared" si="13"/>
        <v>大港港南路401号第23层2305室</v>
      </c>
      <c r="AY112" s="2983">
        <f t="shared" si="39"/>
        <v>82.13</v>
      </c>
      <c r="AZ112" s="16">
        <f t="shared" si="40"/>
        <v>569.14</v>
      </c>
      <c r="BA112" s="16">
        <f t="shared" si="41"/>
        <v>569.14</v>
      </c>
      <c r="BB112" s="16">
        <f t="shared" si="42"/>
        <v>569.14</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70" customFormat="1" ht="51">
      <c r="A113" s="1275"/>
      <c r="B113" s="1275" t="s">
        <v>3260</v>
      </c>
      <c r="C113" s="2156" t="s">
        <v>3261</v>
      </c>
      <c r="D113" s="2956" t="s">
        <v>3273</v>
      </c>
      <c r="E113" s="16">
        <f t="shared" ref="E113:E144" si="61">IF($C$3="是",ROUND($A$3*G113/$B$3,2),ROUND($A$3*(G113-AT113)/$B$3,2))</f>
        <v>20.67</v>
      </c>
      <c r="F113" s="32"/>
      <c r="G113" s="33">
        <f t="shared" si="36"/>
        <v>143.24</v>
      </c>
      <c r="H113" s="20">
        <f t="shared" si="37"/>
        <v>143.24</v>
      </c>
      <c r="I113" s="2216">
        <v>143.24</v>
      </c>
      <c r="J113" s="2216"/>
      <c r="K113" s="2216"/>
      <c r="L113" s="2216"/>
      <c r="M113" s="2216"/>
      <c r="N113" s="2216"/>
      <c r="O113" s="2216"/>
      <c r="P113" s="2216"/>
      <c r="Q113" s="2216"/>
      <c r="R113" s="2216"/>
      <c r="S113" s="2216"/>
      <c r="T113" s="2216"/>
      <c r="U113" s="2216"/>
      <c r="V113" s="2216"/>
      <c r="W113" s="2216"/>
      <c r="X113" s="2216"/>
      <c r="Y113" s="2216"/>
      <c r="Z113" s="2216"/>
      <c r="AA113" s="2216"/>
      <c r="AB113" s="2216"/>
      <c r="AC113" s="16">
        <f t="shared" si="38"/>
        <v>0</v>
      </c>
      <c r="AD113" s="2217"/>
      <c r="AE113" s="2217"/>
      <c r="AF113" s="2217"/>
      <c r="AG113" s="2217"/>
      <c r="AH113" s="2217"/>
      <c r="AI113" s="2217"/>
      <c r="AJ113" s="2217"/>
      <c r="AK113" s="2217"/>
      <c r="AL113" s="2217"/>
      <c r="AM113" s="2217"/>
      <c r="AN113" s="2217"/>
      <c r="AO113" s="2217"/>
      <c r="AP113" s="2217"/>
      <c r="AQ113" s="2217"/>
      <c r="AR113" s="2217"/>
      <c r="AS113" s="2217"/>
      <c r="AT113" s="2218"/>
      <c r="AU113" s="2219"/>
      <c r="AV113" s="11">
        <f t="shared" ref="AV113:AV144" si="62">A113</f>
        <v>0</v>
      </c>
      <c r="AW113" s="11" t="str">
        <f t="shared" ref="AW113:AW144" si="63">B113</f>
        <v>镇房权证字第0401003009100110号</v>
      </c>
      <c r="AX113" s="11" t="str">
        <f t="shared" ref="AX113:AX144" si="64">C113</f>
        <v>大港港南路401号第23层2306室</v>
      </c>
      <c r="AY113" s="2983">
        <f t="shared" si="39"/>
        <v>20.67</v>
      </c>
      <c r="AZ113" s="16">
        <f t="shared" si="40"/>
        <v>143.24</v>
      </c>
      <c r="BA113" s="16">
        <f t="shared" si="41"/>
        <v>143.24</v>
      </c>
      <c r="BB113" s="16">
        <f t="shared" si="42"/>
        <v>143.24</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70" customFormat="1" ht="51">
      <c r="A114" s="1275"/>
      <c r="B114" s="1275" t="s">
        <v>3262</v>
      </c>
      <c r="C114" s="2156" t="s">
        <v>3263</v>
      </c>
      <c r="D114" s="2956" t="s">
        <v>3273</v>
      </c>
      <c r="E114" s="16">
        <f t="shared" si="61"/>
        <v>73.900000000000006</v>
      </c>
      <c r="F114" s="32"/>
      <c r="G114" s="33">
        <f t="shared" si="36"/>
        <v>512.11</v>
      </c>
      <c r="H114" s="20">
        <f t="shared" si="37"/>
        <v>512.11</v>
      </c>
      <c r="I114" s="2216">
        <v>512.11</v>
      </c>
      <c r="J114" s="2216"/>
      <c r="K114" s="2216"/>
      <c r="L114" s="2216"/>
      <c r="M114" s="2216"/>
      <c r="N114" s="2216"/>
      <c r="O114" s="2216"/>
      <c r="P114" s="2216"/>
      <c r="Q114" s="2216"/>
      <c r="R114" s="2216"/>
      <c r="S114" s="2216"/>
      <c r="T114" s="2216"/>
      <c r="U114" s="2216"/>
      <c r="V114" s="2216"/>
      <c r="W114" s="2216"/>
      <c r="X114" s="2216"/>
      <c r="Y114" s="2216"/>
      <c r="Z114" s="2216"/>
      <c r="AA114" s="2216"/>
      <c r="AB114" s="2216"/>
      <c r="AC114" s="16">
        <f t="shared" si="38"/>
        <v>0</v>
      </c>
      <c r="AD114" s="2217"/>
      <c r="AE114" s="2217"/>
      <c r="AF114" s="2217"/>
      <c r="AG114" s="2217"/>
      <c r="AH114" s="2217"/>
      <c r="AI114" s="2217"/>
      <c r="AJ114" s="2217"/>
      <c r="AK114" s="2217"/>
      <c r="AL114" s="2217"/>
      <c r="AM114" s="2217"/>
      <c r="AN114" s="2217"/>
      <c r="AO114" s="2217"/>
      <c r="AP114" s="2217"/>
      <c r="AQ114" s="2217"/>
      <c r="AR114" s="2217"/>
      <c r="AS114" s="2217"/>
      <c r="AT114" s="2218"/>
      <c r="AU114" s="2219"/>
      <c r="AV114" s="11">
        <f t="shared" si="62"/>
        <v>0</v>
      </c>
      <c r="AW114" s="11" t="str">
        <f t="shared" si="63"/>
        <v>镇房权证字第0401003008100110号</v>
      </c>
      <c r="AX114" s="11" t="str">
        <f t="shared" si="64"/>
        <v>大港港南路401号第24层2401室</v>
      </c>
      <c r="AY114" s="2983">
        <f t="shared" si="39"/>
        <v>73.900000000000006</v>
      </c>
      <c r="AZ114" s="16">
        <f t="shared" si="40"/>
        <v>512.11</v>
      </c>
      <c r="BA114" s="16">
        <f t="shared" si="41"/>
        <v>512.11</v>
      </c>
      <c r="BB114" s="16">
        <f t="shared" si="42"/>
        <v>512.11</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70" customFormat="1" ht="51">
      <c r="A115" s="1275"/>
      <c r="B115" s="1275" t="s">
        <v>3264</v>
      </c>
      <c r="C115" s="2156" t="s">
        <v>3265</v>
      </c>
      <c r="D115" s="2956" t="s">
        <v>3273</v>
      </c>
      <c r="E115" s="16">
        <f t="shared" si="61"/>
        <v>19.46</v>
      </c>
      <c r="F115" s="32"/>
      <c r="G115" s="33">
        <f t="shared" si="36"/>
        <v>134.87</v>
      </c>
      <c r="H115" s="20">
        <f t="shared" si="37"/>
        <v>134.87</v>
      </c>
      <c r="I115" s="2216">
        <v>134.87</v>
      </c>
      <c r="J115" s="2216"/>
      <c r="K115" s="2216"/>
      <c r="L115" s="2216"/>
      <c r="M115" s="2216"/>
      <c r="N115" s="2216"/>
      <c r="O115" s="2216"/>
      <c r="P115" s="2216"/>
      <c r="Q115" s="2216"/>
      <c r="R115" s="2216"/>
      <c r="S115" s="2216"/>
      <c r="T115" s="2216"/>
      <c r="U115" s="2216"/>
      <c r="V115" s="2216"/>
      <c r="W115" s="2216"/>
      <c r="X115" s="2216"/>
      <c r="Y115" s="2216"/>
      <c r="Z115" s="2216"/>
      <c r="AA115" s="2216"/>
      <c r="AB115" s="2216"/>
      <c r="AC115" s="16">
        <f t="shared" si="38"/>
        <v>0</v>
      </c>
      <c r="AD115" s="2217"/>
      <c r="AE115" s="2217"/>
      <c r="AF115" s="2217"/>
      <c r="AG115" s="2217"/>
      <c r="AH115" s="2217"/>
      <c r="AI115" s="2217"/>
      <c r="AJ115" s="2217"/>
      <c r="AK115" s="2217"/>
      <c r="AL115" s="2217"/>
      <c r="AM115" s="2217"/>
      <c r="AN115" s="2217"/>
      <c r="AO115" s="2217"/>
      <c r="AP115" s="2217"/>
      <c r="AQ115" s="2217"/>
      <c r="AR115" s="2217"/>
      <c r="AS115" s="2217"/>
      <c r="AT115" s="2218"/>
      <c r="AU115" s="2219"/>
      <c r="AV115" s="11">
        <f t="shared" si="62"/>
        <v>0</v>
      </c>
      <c r="AW115" s="11" t="str">
        <f t="shared" si="63"/>
        <v>镇房权证字第0401003013100110号</v>
      </c>
      <c r="AX115" s="11" t="str">
        <f t="shared" si="64"/>
        <v>大港港南路401号第24层2402室</v>
      </c>
      <c r="AY115" s="2983">
        <f t="shared" si="39"/>
        <v>19.46</v>
      </c>
      <c r="AZ115" s="16">
        <f t="shared" si="40"/>
        <v>134.87</v>
      </c>
      <c r="BA115" s="16">
        <f t="shared" si="41"/>
        <v>134.87</v>
      </c>
      <c r="BB115" s="16">
        <f t="shared" si="42"/>
        <v>134.87</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70" customFormat="1" ht="51">
      <c r="A116" s="1275"/>
      <c r="B116" s="1275" t="s">
        <v>3266</v>
      </c>
      <c r="C116" s="2156" t="s">
        <v>3267</v>
      </c>
      <c r="D116" s="2956" t="s">
        <v>3273</v>
      </c>
      <c r="E116" s="16">
        <f t="shared" si="61"/>
        <v>19.46</v>
      </c>
      <c r="F116" s="32"/>
      <c r="G116" s="33">
        <f t="shared" si="36"/>
        <v>134.87</v>
      </c>
      <c r="H116" s="20">
        <f t="shared" si="37"/>
        <v>134.87</v>
      </c>
      <c r="I116" s="2216">
        <v>134.87</v>
      </c>
      <c r="J116" s="2216"/>
      <c r="K116" s="2216"/>
      <c r="L116" s="2216"/>
      <c r="M116" s="2216"/>
      <c r="N116" s="2216"/>
      <c r="O116" s="2216"/>
      <c r="P116" s="2216"/>
      <c r="Q116" s="2216"/>
      <c r="R116" s="2216"/>
      <c r="S116" s="2216"/>
      <c r="T116" s="2216"/>
      <c r="U116" s="2216"/>
      <c r="V116" s="2216"/>
      <c r="W116" s="2216"/>
      <c r="X116" s="2216"/>
      <c r="Y116" s="2216"/>
      <c r="Z116" s="2216"/>
      <c r="AA116" s="2216"/>
      <c r="AB116" s="2216"/>
      <c r="AC116" s="16">
        <f t="shared" si="38"/>
        <v>0</v>
      </c>
      <c r="AD116" s="2217"/>
      <c r="AE116" s="2217"/>
      <c r="AF116" s="2217"/>
      <c r="AG116" s="2217"/>
      <c r="AH116" s="2217"/>
      <c r="AI116" s="2217"/>
      <c r="AJ116" s="2217"/>
      <c r="AK116" s="2217"/>
      <c r="AL116" s="2217"/>
      <c r="AM116" s="2217"/>
      <c r="AN116" s="2217"/>
      <c r="AO116" s="2217"/>
      <c r="AP116" s="2217"/>
      <c r="AQ116" s="2217"/>
      <c r="AR116" s="2217"/>
      <c r="AS116" s="2217"/>
      <c r="AT116" s="2218"/>
      <c r="AU116" s="2219"/>
      <c r="AV116" s="11">
        <f t="shared" si="62"/>
        <v>0</v>
      </c>
      <c r="AW116" s="11" t="str">
        <f t="shared" si="63"/>
        <v>镇房权证字第0401003012100110号</v>
      </c>
      <c r="AX116" s="11" t="str">
        <f t="shared" si="64"/>
        <v>大港港南路401号第24层2403室</v>
      </c>
      <c r="AY116" s="2983">
        <f t="shared" si="39"/>
        <v>19.46</v>
      </c>
      <c r="AZ116" s="16">
        <f t="shared" si="40"/>
        <v>134.87</v>
      </c>
      <c r="BA116" s="16">
        <f t="shared" si="41"/>
        <v>134.87</v>
      </c>
      <c r="BB116" s="16">
        <f t="shared" si="42"/>
        <v>134.87</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70" customFormat="1" ht="51">
      <c r="A117" s="1275"/>
      <c r="B117" s="1275" t="s">
        <v>3268</v>
      </c>
      <c r="C117" s="2156" t="s">
        <v>3269</v>
      </c>
      <c r="D117" s="2956" t="s">
        <v>3273</v>
      </c>
      <c r="E117" s="16">
        <f t="shared" si="61"/>
        <v>73.900000000000006</v>
      </c>
      <c r="F117" s="32"/>
      <c r="G117" s="33">
        <f t="shared" si="36"/>
        <v>512.11</v>
      </c>
      <c r="H117" s="20">
        <f t="shared" si="37"/>
        <v>512.11</v>
      </c>
      <c r="I117" s="2216">
        <v>512.11</v>
      </c>
      <c r="J117" s="2216"/>
      <c r="K117" s="2216"/>
      <c r="L117" s="2216"/>
      <c r="M117" s="2216"/>
      <c r="N117" s="2216"/>
      <c r="O117" s="2216"/>
      <c r="P117" s="2216"/>
      <c r="Q117" s="2216"/>
      <c r="R117" s="2216"/>
      <c r="S117" s="2216"/>
      <c r="T117" s="2216"/>
      <c r="U117" s="2216"/>
      <c r="V117" s="2216"/>
      <c r="W117" s="2216"/>
      <c r="X117" s="2216"/>
      <c r="Y117" s="2216"/>
      <c r="Z117" s="2216"/>
      <c r="AA117" s="2216"/>
      <c r="AB117" s="2216"/>
      <c r="AC117" s="16">
        <f t="shared" si="38"/>
        <v>0</v>
      </c>
      <c r="AD117" s="2217"/>
      <c r="AE117" s="2217"/>
      <c r="AF117" s="2217"/>
      <c r="AG117" s="2217"/>
      <c r="AH117" s="2217"/>
      <c r="AI117" s="2217"/>
      <c r="AJ117" s="2217"/>
      <c r="AK117" s="2217"/>
      <c r="AL117" s="2217"/>
      <c r="AM117" s="2217"/>
      <c r="AN117" s="2217"/>
      <c r="AO117" s="2217"/>
      <c r="AP117" s="2217"/>
      <c r="AQ117" s="2217"/>
      <c r="AR117" s="2217"/>
      <c r="AS117" s="2217"/>
      <c r="AT117" s="2218"/>
      <c r="AU117" s="2219"/>
      <c r="AV117" s="11">
        <f t="shared" si="62"/>
        <v>0</v>
      </c>
      <c r="AW117" s="11" t="str">
        <f t="shared" si="63"/>
        <v>镇房权证字第0401003010100110号</v>
      </c>
      <c r="AX117" s="11" t="str">
        <f t="shared" si="64"/>
        <v>大港港南路401号第24层2404室</v>
      </c>
      <c r="AY117" s="2983">
        <f t="shared" si="39"/>
        <v>73.900000000000006</v>
      </c>
      <c r="AZ117" s="16">
        <f t="shared" si="40"/>
        <v>512.11</v>
      </c>
      <c r="BA117" s="16">
        <f t="shared" si="41"/>
        <v>512.11</v>
      </c>
      <c r="BB117" s="16">
        <f t="shared" si="42"/>
        <v>512.11</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70" customFormat="1" ht="51">
      <c r="A118" s="1275"/>
      <c r="B118" s="1275" t="s">
        <v>3270</v>
      </c>
      <c r="C118" s="2156" t="s">
        <v>3271</v>
      </c>
      <c r="D118" s="2956" t="s">
        <v>3273</v>
      </c>
      <c r="E118" s="16">
        <f t="shared" si="61"/>
        <v>21.02</v>
      </c>
      <c r="F118" s="32"/>
      <c r="G118" s="33">
        <f t="shared" si="36"/>
        <v>145.69</v>
      </c>
      <c r="H118" s="20">
        <f t="shared" si="37"/>
        <v>145.69</v>
      </c>
      <c r="I118" s="2216">
        <v>145.69</v>
      </c>
      <c r="J118" s="2216"/>
      <c r="K118" s="2216"/>
      <c r="L118" s="2216"/>
      <c r="M118" s="2216"/>
      <c r="N118" s="2216"/>
      <c r="O118" s="2216"/>
      <c r="P118" s="2216"/>
      <c r="Q118" s="2216"/>
      <c r="R118" s="2216"/>
      <c r="S118" s="2216"/>
      <c r="T118" s="2216"/>
      <c r="U118" s="2216"/>
      <c r="V118" s="2216"/>
      <c r="W118" s="2216"/>
      <c r="X118" s="2216"/>
      <c r="Y118" s="2216"/>
      <c r="Z118" s="2216"/>
      <c r="AA118" s="2216"/>
      <c r="AB118" s="2216"/>
      <c r="AC118" s="16">
        <f t="shared" si="38"/>
        <v>0</v>
      </c>
      <c r="AD118" s="2217"/>
      <c r="AE118" s="2217"/>
      <c r="AF118" s="2217"/>
      <c r="AG118" s="2217"/>
      <c r="AH118" s="2217"/>
      <c r="AI118" s="2217"/>
      <c r="AJ118" s="2217"/>
      <c r="AK118" s="2217"/>
      <c r="AL118" s="2217"/>
      <c r="AM118" s="2217"/>
      <c r="AN118" s="2217"/>
      <c r="AO118" s="2217"/>
      <c r="AP118" s="2217"/>
      <c r="AQ118" s="2217"/>
      <c r="AR118" s="2217"/>
      <c r="AS118" s="2217"/>
      <c r="AT118" s="2218"/>
      <c r="AU118" s="2219"/>
      <c r="AV118" s="11">
        <f t="shared" si="62"/>
        <v>0</v>
      </c>
      <c r="AW118" s="11" t="str">
        <f t="shared" si="63"/>
        <v>镇房权证字第0401003011100110号</v>
      </c>
      <c r="AX118" s="11" t="str">
        <f t="shared" si="64"/>
        <v>大港港南路401号第24层2405室</v>
      </c>
      <c r="AY118" s="2983">
        <f t="shared" si="39"/>
        <v>21.02</v>
      </c>
      <c r="AZ118" s="16">
        <f t="shared" si="40"/>
        <v>145.69</v>
      </c>
      <c r="BA118" s="16">
        <f t="shared" si="41"/>
        <v>145.69</v>
      </c>
      <c r="BB118" s="16">
        <f t="shared" si="42"/>
        <v>145.69</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3007" customFormat="1" ht="51">
      <c r="A119" s="2994"/>
      <c r="B119" s="2994" t="s">
        <v>3064</v>
      </c>
      <c r="C119" s="2995" t="s">
        <v>3065</v>
      </c>
      <c r="D119" s="2996" t="s">
        <v>3272</v>
      </c>
      <c r="E119" s="2997">
        <f t="shared" si="61"/>
        <v>163.54</v>
      </c>
      <c r="F119" s="2998"/>
      <c r="G119" s="2999">
        <f t="shared" si="36"/>
        <v>1133.25</v>
      </c>
      <c r="H119" s="3000">
        <f t="shared" si="37"/>
        <v>1133.25</v>
      </c>
      <c r="I119" s="3001">
        <v>1133.25</v>
      </c>
      <c r="J119" s="3001"/>
      <c r="K119" s="3001"/>
      <c r="L119" s="3001"/>
      <c r="M119" s="3001"/>
      <c r="N119" s="3001"/>
      <c r="O119" s="3001"/>
      <c r="P119" s="3001"/>
      <c r="Q119" s="3001"/>
      <c r="R119" s="3001"/>
      <c r="S119" s="3001"/>
      <c r="T119" s="3001"/>
      <c r="U119" s="3001"/>
      <c r="V119" s="3001"/>
      <c r="W119" s="3001"/>
      <c r="X119" s="3001"/>
      <c r="Y119" s="3001"/>
      <c r="Z119" s="3001"/>
      <c r="AA119" s="3001"/>
      <c r="AB119" s="3001"/>
      <c r="AC119" s="2997">
        <f t="shared" si="38"/>
        <v>0</v>
      </c>
      <c r="AD119" s="3002"/>
      <c r="AE119" s="3002"/>
      <c r="AF119" s="3002"/>
      <c r="AG119" s="3002"/>
      <c r="AH119" s="3002"/>
      <c r="AI119" s="3002"/>
      <c r="AJ119" s="3002"/>
      <c r="AK119" s="3002"/>
      <c r="AL119" s="3002"/>
      <c r="AM119" s="3002"/>
      <c r="AN119" s="3002"/>
      <c r="AO119" s="3002"/>
      <c r="AP119" s="3002"/>
      <c r="AQ119" s="3002"/>
      <c r="AR119" s="3002"/>
      <c r="AS119" s="3002"/>
      <c r="AT119" s="2998"/>
      <c r="AU119" s="3003"/>
      <c r="AV119" s="3004">
        <f t="shared" si="62"/>
        <v>0</v>
      </c>
      <c r="AW119" s="3004" t="str">
        <f t="shared" si="63"/>
        <v>镇房权证字第0401003075100110号</v>
      </c>
      <c r="AX119" s="3004" t="str">
        <f t="shared" si="64"/>
        <v>大港港南路401号第1层101室</v>
      </c>
      <c r="AY119" s="3005">
        <f t="shared" si="39"/>
        <v>163.54</v>
      </c>
      <c r="AZ119" s="2997">
        <f t="shared" si="40"/>
        <v>1133.25</v>
      </c>
      <c r="BA119" s="2997">
        <f t="shared" si="41"/>
        <v>1133.25</v>
      </c>
      <c r="BB119" s="2997">
        <f t="shared" si="42"/>
        <v>1133.25</v>
      </c>
      <c r="BC119" s="2997">
        <f t="shared" si="43"/>
        <v>0</v>
      </c>
      <c r="BD119" s="2997">
        <f t="shared" si="44"/>
        <v>0</v>
      </c>
      <c r="BE119" s="2997">
        <f t="shared" si="45"/>
        <v>0</v>
      </c>
      <c r="BF119" s="2997">
        <f t="shared" si="46"/>
        <v>0</v>
      </c>
      <c r="BG119" s="2997">
        <f t="shared" si="47"/>
        <v>0</v>
      </c>
      <c r="BH119" s="2997">
        <f t="shared" si="48"/>
        <v>0</v>
      </c>
      <c r="BI119" s="2997">
        <f t="shared" si="49"/>
        <v>0</v>
      </c>
      <c r="BJ119" s="2997">
        <f t="shared" si="50"/>
        <v>0</v>
      </c>
      <c r="BK119" s="2997">
        <f t="shared" si="51"/>
        <v>0</v>
      </c>
      <c r="BL119" s="2997">
        <f t="shared" si="52"/>
        <v>0</v>
      </c>
      <c r="BM119" s="2997">
        <f t="shared" si="53"/>
        <v>0</v>
      </c>
      <c r="BN119" s="2997">
        <f t="shared" si="54"/>
        <v>0</v>
      </c>
      <c r="BO119" s="2997">
        <f t="shared" si="55"/>
        <v>0</v>
      </c>
      <c r="BP119" s="2997">
        <f t="shared" si="56"/>
        <v>0</v>
      </c>
      <c r="BQ119" s="2997">
        <f t="shared" si="57"/>
        <v>0</v>
      </c>
      <c r="BR119" s="2997">
        <f t="shared" si="58"/>
        <v>0</v>
      </c>
      <c r="BS119" s="2997">
        <f t="shared" si="59"/>
        <v>0</v>
      </c>
      <c r="BT119" s="3006">
        <f t="shared" si="60"/>
        <v>0</v>
      </c>
    </row>
    <row r="120" spans="1:72" s="3007" customFormat="1" ht="51">
      <c r="A120" s="2994"/>
      <c r="B120" s="2994" t="s">
        <v>3066</v>
      </c>
      <c r="C120" s="2995" t="s">
        <v>3067</v>
      </c>
      <c r="D120" s="2996" t="s">
        <v>3272</v>
      </c>
      <c r="E120" s="2997">
        <f t="shared" si="61"/>
        <v>13.62</v>
      </c>
      <c r="F120" s="2998"/>
      <c r="G120" s="2999">
        <f t="shared" si="36"/>
        <v>94.38</v>
      </c>
      <c r="H120" s="3000">
        <f t="shared" si="37"/>
        <v>94.38</v>
      </c>
      <c r="I120" s="3001">
        <v>94.38</v>
      </c>
      <c r="J120" s="3001"/>
      <c r="K120" s="3001"/>
      <c r="L120" s="3001"/>
      <c r="M120" s="3001"/>
      <c r="N120" s="3001"/>
      <c r="O120" s="3001"/>
      <c r="P120" s="3001"/>
      <c r="Q120" s="3001"/>
      <c r="R120" s="3001"/>
      <c r="S120" s="3001"/>
      <c r="T120" s="3001"/>
      <c r="U120" s="3001"/>
      <c r="V120" s="3001"/>
      <c r="W120" s="3001"/>
      <c r="X120" s="3001"/>
      <c r="Y120" s="3001"/>
      <c r="Z120" s="3001"/>
      <c r="AA120" s="3001"/>
      <c r="AB120" s="3001"/>
      <c r="AC120" s="2997">
        <f t="shared" si="38"/>
        <v>0</v>
      </c>
      <c r="AD120" s="3002"/>
      <c r="AE120" s="3002"/>
      <c r="AF120" s="3002"/>
      <c r="AG120" s="3002"/>
      <c r="AH120" s="3002"/>
      <c r="AI120" s="3002"/>
      <c r="AJ120" s="3002"/>
      <c r="AK120" s="3002"/>
      <c r="AL120" s="3002"/>
      <c r="AM120" s="3002"/>
      <c r="AN120" s="3002"/>
      <c r="AO120" s="3002"/>
      <c r="AP120" s="3002"/>
      <c r="AQ120" s="3002"/>
      <c r="AR120" s="3002"/>
      <c r="AS120" s="3002"/>
      <c r="AT120" s="2998"/>
      <c r="AU120" s="3003"/>
      <c r="AV120" s="3004">
        <f t="shared" si="62"/>
        <v>0</v>
      </c>
      <c r="AW120" s="3004" t="str">
        <f t="shared" si="63"/>
        <v>镇房权证字第0401003047100110号</v>
      </c>
      <c r="AX120" s="3004" t="str">
        <f t="shared" si="64"/>
        <v>大港港南路401号第1层102室</v>
      </c>
      <c r="AY120" s="3005">
        <f t="shared" si="39"/>
        <v>13.62</v>
      </c>
      <c r="AZ120" s="2997">
        <f t="shared" si="40"/>
        <v>94.38</v>
      </c>
      <c r="BA120" s="2997">
        <f t="shared" si="41"/>
        <v>94.38</v>
      </c>
      <c r="BB120" s="2997">
        <f t="shared" si="42"/>
        <v>94.38</v>
      </c>
      <c r="BC120" s="2997">
        <f t="shared" si="43"/>
        <v>0</v>
      </c>
      <c r="BD120" s="2997">
        <f t="shared" si="44"/>
        <v>0</v>
      </c>
      <c r="BE120" s="2997">
        <f t="shared" si="45"/>
        <v>0</v>
      </c>
      <c r="BF120" s="2997">
        <f t="shared" si="46"/>
        <v>0</v>
      </c>
      <c r="BG120" s="2997">
        <f t="shared" si="47"/>
        <v>0</v>
      </c>
      <c r="BH120" s="2997">
        <f t="shared" si="48"/>
        <v>0</v>
      </c>
      <c r="BI120" s="2997">
        <f t="shared" si="49"/>
        <v>0</v>
      </c>
      <c r="BJ120" s="2997">
        <f t="shared" si="50"/>
        <v>0</v>
      </c>
      <c r="BK120" s="2997">
        <f t="shared" si="51"/>
        <v>0</v>
      </c>
      <c r="BL120" s="2997">
        <f t="shared" si="52"/>
        <v>0</v>
      </c>
      <c r="BM120" s="2997">
        <f t="shared" si="53"/>
        <v>0</v>
      </c>
      <c r="BN120" s="2997">
        <f t="shared" si="54"/>
        <v>0</v>
      </c>
      <c r="BO120" s="2997">
        <f t="shared" si="55"/>
        <v>0</v>
      </c>
      <c r="BP120" s="2997">
        <f t="shared" si="56"/>
        <v>0</v>
      </c>
      <c r="BQ120" s="2997">
        <f t="shared" si="57"/>
        <v>0</v>
      </c>
      <c r="BR120" s="2997">
        <f t="shared" si="58"/>
        <v>0</v>
      </c>
      <c r="BS120" s="2997">
        <f t="shared" si="59"/>
        <v>0</v>
      </c>
      <c r="BT120" s="3006">
        <f t="shared" si="60"/>
        <v>0</v>
      </c>
    </row>
    <row r="121" spans="1:72" s="3007" customFormat="1" ht="51">
      <c r="A121" s="2994"/>
      <c r="B121" s="2994" t="s">
        <v>3068</v>
      </c>
      <c r="C121" s="2995" t="s">
        <v>3069</v>
      </c>
      <c r="D121" s="2996" t="s">
        <v>3272</v>
      </c>
      <c r="E121" s="2997">
        <f t="shared" si="61"/>
        <v>203.12</v>
      </c>
      <c r="F121" s="2998"/>
      <c r="G121" s="2999">
        <f t="shared" si="36"/>
        <v>1407.52</v>
      </c>
      <c r="H121" s="3000">
        <f t="shared" si="37"/>
        <v>1407.52</v>
      </c>
      <c r="I121" s="3001">
        <v>1407.52</v>
      </c>
      <c r="J121" s="3001"/>
      <c r="K121" s="3001"/>
      <c r="L121" s="3001"/>
      <c r="M121" s="3001"/>
      <c r="N121" s="3001"/>
      <c r="O121" s="3001"/>
      <c r="P121" s="3001"/>
      <c r="Q121" s="3001"/>
      <c r="R121" s="3001"/>
      <c r="S121" s="3001"/>
      <c r="T121" s="3001"/>
      <c r="U121" s="3001"/>
      <c r="V121" s="3001"/>
      <c r="W121" s="3001"/>
      <c r="X121" s="3001"/>
      <c r="Y121" s="3001"/>
      <c r="Z121" s="3001"/>
      <c r="AA121" s="3001"/>
      <c r="AB121" s="3001"/>
      <c r="AC121" s="2997">
        <f t="shared" si="38"/>
        <v>0</v>
      </c>
      <c r="AD121" s="3002"/>
      <c r="AE121" s="3002"/>
      <c r="AF121" s="3002"/>
      <c r="AG121" s="3002"/>
      <c r="AH121" s="3002"/>
      <c r="AI121" s="3002"/>
      <c r="AJ121" s="3002"/>
      <c r="AK121" s="3002"/>
      <c r="AL121" s="3002"/>
      <c r="AM121" s="3002"/>
      <c r="AN121" s="3002"/>
      <c r="AO121" s="3002"/>
      <c r="AP121" s="3002"/>
      <c r="AQ121" s="3002"/>
      <c r="AR121" s="3002"/>
      <c r="AS121" s="3002"/>
      <c r="AT121" s="2998"/>
      <c r="AU121" s="3003"/>
      <c r="AV121" s="3004">
        <f t="shared" si="62"/>
        <v>0</v>
      </c>
      <c r="AW121" s="3004" t="str">
        <f t="shared" si="63"/>
        <v>镇房权证字第0401003052100110号</v>
      </c>
      <c r="AX121" s="3004" t="str">
        <f t="shared" si="64"/>
        <v>大港港南路401号第1层103室</v>
      </c>
      <c r="AY121" s="3005">
        <f t="shared" si="39"/>
        <v>203.12</v>
      </c>
      <c r="AZ121" s="2997">
        <f t="shared" si="40"/>
        <v>1407.52</v>
      </c>
      <c r="BA121" s="2997">
        <f t="shared" si="41"/>
        <v>1407.52</v>
      </c>
      <c r="BB121" s="2997">
        <f t="shared" si="42"/>
        <v>1407.52</v>
      </c>
      <c r="BC121" s="2997">
        <f t="shared" si="43"/>
        <v>0</v>
      </c>
      <c r="BD121" s="2997">
        <f t="shared" si="44"/>
        <v>0</v>
      </c>
      <c r="BE121" s="2997">
        <f t="shared" si="45"/>
        <v>0</v>
      </c>
      <c r="BF121" s="2997">
        <f t="shared" si="46"/>
        <v>0</v>
      </c>
      <c r="BG121" s="2997">
        <f t="shared" si="47"/>
        <v>0</v>
      </c>
      <c r="BH121" s="2997">
        <f t="shared" si="48"/>
        <v>0</v>
      </c>
      <c r="BI121" s="2997">
        <f t="shared" si="49"/>
        <v>0</v>
      </c>
      <c r="BJ121" s="2997">
        <f t="shared" si="50"/>
        <v>0</v>
      </c>
      <c r="BK121" s="2997">
        <f t="shared" si="51"/>
        <v>0</v>
      </c>
      <c r="BL121" s="2997">
        <f t="shared" si="52"/>
        <v>0</v>
      </c>
      <c r="BM121" s="2997">
        <f t="shared" si="53"/>
        <v>0</v>
      </c>
      <c r="BN121" s="2997">
        <f t="shared" si="54"/>
        <v>0</v>
      </c>
      <c r="BO121" s="2997">
        <f t="shared" si="55"/>
        <v>0</v>
      </c>
      <c r="BP121" s="2997">
        <f t="shared" si="56"/>
        <v>0</v>
      </c>
      <c r="BQ121" s="2997">
        <f t="shared" si="57"/>
        <v>0</v>
      </c>
      <c r="BR121" s="2997">
        <f t="shared" si="58"/>
        <v>0</v>
      </c>
      <c r="BS121" s="2997">
        <f t="shared" si="59"/>
        <v>0</v>
      </c>
      <c r="BT121" s="3006">
        <f t="shared" si="60"/>
        <v>0</v>
      </c>
    </row>
    <row r="122" spans="1:72" s="3007" customFormat="1" ht="51">
      <c r="A122" s="2994"/>
      <c r="B122" s="2994" t="s">
        <v>3070</v>
      </c>
      <c r="C122" s="2995" t="s">
        <v>3071</v>
      </c>
      <c r="D122" s="2996" t="s">
        <v>3272</v>
      </c>
      <c r="E122" s="2997">
        <f t="shared" si="61"/>
        <v>246.45</v>
      </c>
      <c r="F122" s="2998"/>
      <c r="G122" s="2999">
        <f t="shared" si="36"/>
        <v>1707.77</v>
      </c>
      <c r="H122" s="3000">
        <f t="shared" si="37"/>
        <v>1707.77</v>
      </c>
      <c r="I122" s="3001">
        <v>1707.77</v>
      </c>
      <c r="J122" s="3001"/>
      <c r="K122" s="3001"/>
      <c r="L122" s="3001"/>
      <c r="M122" s="3001"/>
      <c r="N122" s="3001"/>
      <c r="O122" s="3001"/>
      <c r="P122" s="3001"/>
      <c r="Q122" s="3001"/>
      <c r="R122" s="3001"/>
      <c r="S122" s="3001"/>
      <c r="T122" s="3001"/>
      <c r="U122" s="3001"/>
      <c r="V122" s="3001"/>
      <c r="W122" s="3001"/>
      <c r="X122" s="3001"/>
      <c r="Y122" s="3001"/>
      <c r="Z122" s="3001"/>
      <c r="AA122" s="3001"/>
      <c r="AB122" s="3001"/>
      <c r="AC122" s="2997">
        <f t="shared" si="38"/>
        <v>0</v>
      </c>
      <c r="AD122" s="3002"/>
      <c r="AE122" s="3002"/>
      <c r="AF122" s="3002"/>
      <c r="AG122" s="3002"/>
      <c r="AH122" s="3002"/>
      <c r="AI122" s="3002"/>
      <c r="AJ122" s="3002"/>
      <c r="AK122" s="3002"/>
      <c r="AL122" s="3002"/>
      <c r="AM122" s="3002"/>
      <c r="AN122" s="3002"/>
      <c r="AO122" s="3002"/>
      <c r="AP122" s="3002"/>
      <c r="AQ122" s="3002"/>
      <c r="AR122" s="3002"/>
      <c r="AS122" s="3002"/>
      <c r="AT122" s="2998"/>
      <c r="AU122" s="3003"/>
      <c r="AV122" s="3004">
        <f t="shared" si="62"/>
        <v>0</v>
      </c>
      <c r="AW122" s="3004" t="str">
        <f t="shared" si="63"/>
        <v>镇房权证字第0401003069100110号</v>
      </c>
      <c r="AX122" s="3004" t="str">
        <f t="shared" si="64"/>
        <v>大港港南路401号第1层104室</v>
      </c>
      <c r="AY122" s="3005">
        <f t="shared" si="39"/>
        <v>246.45</v>
      </c>
      <c r="AZ122" s="2997">
        <f t="shared" si="40"/>
        <v>1707.77</v>
      </c>
      <c r="BA122" s="2997">
        <f t="shared" si="41"/>
        <v>1707.77</v>
      </c>
      <c r="BB122" s="2997">
        <f t="shared" si="42"/>
        <v>1707.77</v>
      </c>
      <c r="BC122" s="2997">
        <f t="shared" si="43"/>
        <v>0</v>
      </c>
      <c r="BD122" s="2997">
        <f t="shared" si="44"/>
        <v>0</v>
      </c>
      <c r="BE122" s="2997">
        <f t="shared" si="45"/>
        <v>0</v>
      </c>
      <c r="BF122" s="2997">
        <f t="shared" si="46"/>
        <v>0</v>
      </c>
      <c r="BG122" s="2997">
        <f t="shared" si="47"/>
        <v>0</v>
      </c>
      <c r="BH122" s="2997">
        <f t="shared" si="48"/>
        <v>0</v>
      </c>
      <c r="BI122" s="2997">
        <f t="shared" si="49"/>
        <v>0</v>
      </c>
      <c r="BJ122" s="2997">
        <f t="shared" si="50"/>
        <v>0</v>
      </c>
      <c r="BK122" s="2997">
        <f t="shared" si="51"/>
        <v>0</v>
      </c>
      <c r="BL122" s="2997">
        <f t="shared" si="52"/>
        <v>0</v>
      </c>
      <c r="BM122" s="2997">
        <f t="shared" si="53"/>
        <v>0</v>
      </c>
      <c r="BN122" s="2997">
        <f t="shared" si="54"/>
        <v>0</v>
      </c>
      <c r="BO122" s="2997">
        <f t="shared" si="55"/>
        <v>0</v>
      </c>
      <c r="BP122" s="2997">
        <f t="shared" si="56"/>
        <v>0</v>
      </c>
      <c r="BQ122" s="2997">
        <f t="shared" si="57"/>
        <v>0</v>
      </c>
      <c r="BR122" s="2997">
        <f t="shared" si="58"/>
        <v>0</v>
      </c>
      <c r="BS122" s="2997">
        <f t="shared" si="59"/>
        <v>0</v>
      </c>
      <c r="BT122" s="3006">
        <f t="shared" si="60"/>
        <v>0</v>
      </c>
    </row>
    <row r="123" spans="1:72" s="3020" customFormat="1" ht="57">
      <c r="A123" s="3008"/>
      <c r="B123" s="3009" t="s">
        <v>3072</v>
      </c>
      <c r="C123" s="3009" t="s">
        <v>3073</v>
      </c>
      <c r="D123" s="3009" t="s">
        <v>3272</v>
      </c>
      <c r="E123" s="3010">
        <f t="shared" si="61"/>
        <v>177.5</v>
      </c>
      <c r="F123" s="3011"/>
      <c r="G123" s="3012">
        <f t="shared" si="36"/>
        <v>1229.97</v>
      </c>
      <c r="H123" s="3013">
        <f t="shared" si="37"/>
        <v>1229.97</v>
      </c>
      <c r="I123" s="3014">
        <v>1229.97</v>
      </c>
      <c r="J123" s="3014"/>
      <c r="K123" s="3014"/>
      <c r="L123" s="3014"/>
      <c r="M123" s="3014"/>
      <c r="N123" s="3014"/>
      <c r="O123" s="3014"/>
      <c r="P123" s="3014"/>
      <c r="Q123" s="3014"/>
      <c r="R123" s="3014"/>
      <c r="S123" s="3014"/>
      <c r="T123" s="3014"/>
      <c r="U123" s="3014"/>
      <c r="V123" s="3014"/>
      <c r="W123" s="3014"/>
      <c r="X123" s="3014"/>
      <c r="Y123" s="3014"/>
      <c r="Z123" s="3014"/>
      <c r="AA123" s="3014"/>
      <c r="AB123" s="3014"/>
      <c r="AC123" s="3010">
        <f t="shared" si="38"/>
        <v>0</v>
      </c>
      <c r="AD123" s="3015"/>
      <c r="AE123" s="3015"/>
      <c r="AF123" s="3015"/>
      <c r="AG123" s="3015"/>
      <c r="AH123" s="3015"/>
      <c r="AI123" s="3015"/>
      <c r="AJ123" s="3015"/>
      <c r="AK123" s="3015"/>
      <c r="AL123" s="3015"/>
      <c r="AM123" s="3015"/>
      <c r="AN123" s="3015"/>
      <c r="AO123" s="3015"/>
      <c r="AP123" s="3015"/>
      <c r="AQ123" s="3015"/>
      <c r="AR123" s="3015"/>
      <c r="AS123" s="3015"/>
      <c r="AT123" s="3011"/>
      <c r="AU123" s="3016"/>
      <c r="AV123" s="3017">
        <f t="shared" si="62"/>
        <v>0</v>
      </c>
      <c r="AW123" s="3017" t="str">
        <f t="shared" si="63"/>
        <v>镇房权证字第0401003098100110号</v>
      </c>
      <c r="AX123" s="3017" t="str">
        <f t="shared" si="64"/>
        <v>大港港南路401号第2层201室</v>
      </c>
      <c r="AY123" s="3018">
        <f t="shared" si="39"/>
        <v>177.5</v>
      </c>
      <c r="AZ123" s="3010">
        <f t="shared" si="40"/>
        <v>1229.97</v>
      </c>
      <c r="BA123" s="3010">
        <f t="shared" si="41"/>
        <v>1229.97</v>
      </c>
      <c r="BB123" s="3010">
        <f t="shared" si="42"/>
        <v>1229.97</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19">
        <f t="shared" si="60"/>
        <v>0</v>
      </c>
    </row>
    <row r="124" spans="1:72" s="3020" customFormat="1" ht="57">
      <c r="A124" s="3008"/>
      <c r="B124" s="3009" t="s">
        <v>3074</v>
      </c>
      <c r="C124" s="3009" t="s">
        <v>3075</v>
      </c>
      <c r="D124" s="3009" t="s">
        <v>3272</v>
      </c>
      <c r="E124" s="3010">
        <f t="shared" si="61"/>
        <v>77.209999999999994</v>
      </c>
      <c r="F124" s="3011"/>
      <c r="G124" s="3012">
        <f t="shared" si="36"/>
        <v>535.04999999999995</v>
      </c>
      <c r="H124" s="3013">
        <f t="shared" si="37"/>
        <v>535.04999999999995</v>
      </c>
      <c r="I124" s="3014">
        <v>535.04999999999995</v>
      </c>
      <c r="J124" s="3014"/>
      <c r="K124" s="3014"/>
      <c r="L124" s="3014"/>
      <c r="M124" s="3014"/>
      <c r="N124" s="3014"/>
      <c r="O124" s="3014"/>
      <c r="P124" s="3014"/>
      <c r="Q124" s="3014"/>
      <c r="R124" s="3014"/>
      <c r="S124" s="3014"/>
      <c r="T124" s="3014"/>
      <c r="U124" s="3014"/>
      <c r="V124" s="3014"/>
      <c r="W124" s="3014"/>
      <c r="X124" s="3014"/>
      <c r="Y124" s="3014"/>
      <c r="Z124" s="3014"/>
      <c r="AA124" s="3014"/>
      <c r="AB124" s="3014"/>
      <c r="AC124" s="3010">
        <f t="shared" si="38"/>
        <v>0</v>
      </c>
      <c r="AD124" s="3015"/>
      <c r="AE124" s="3015"/>
      <c r="AF124" s="3015"/>
      <c r="AG124" s="3015"/>
      <c r="AH124" s="3015"/>
      <c r="AI124" s="3015"/>
      <c r="AJ124" s="3015"/>
      <c r="AK124" s="3015"/>
      <c r="AL124" s="3015"/>
      <c r="AM124" s="3015"/>
      <c r="AN124" s="3015"/>
      <c r="AO124" s="3015"/>
      <c r="AP124" s="3015"/>
      <c r="AQ124" s="3015"/>
      <c r="AR124" s="3015"/>
      <c r="AS124" s="3015"/>
      <c r="AT124" s="3011"/>
      <c r="AU124" s="3016"/>
      <c r="AV124" s="3017">
        <f t="shared" si="62"/>
        <v>0</v>
      </c>
      <c r="AW124" s="3017" t="str">
        <f t="shared" si="63"/>
        <v>镇房权证字第0401003035100110号</v>
      </c>
      <c r="AX124" s="3017" t="str">
        <f t="shared" si="64"/>
        <v>大港港南路401号第2层202室</v>
      </c>
      <c r="AY124" s="3018">
        <f t="shared" si="39"/>
        <v>77.209999999999994</v>
      </c>
      <c r="AZ124" s="3010">
        <f t="shared" si="40"/>
        <v>535.04999999999995</v>
      </c>
      <c r="BA124" s="3010">
        <f t="shared" si="41"/>
        <v>535.04999999999995</v>
      </c>
      <c r="BB124" s="3010">
        <f t="shared" si="42"/>
        <v>535.04999999999995</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19">
        <f t="shared" si="60"/>
        <v>0</v>
      </c>
    </row>
    <row r="125" spans="1:72" s="3020" customFormat="1" ht="57">
      <c r="A125" s="3008"/>
      <c r="B125" s="3009" t="s">
        <v>3076</v>
      </c>
      <c r="C125" s="3009" t="s">
        <v>3077</v>
      </c>
      <c r="D125" s="3009" t="s">
        <v>3272</v>
      </c>
      <c r="E125" s="3010">
        <f t="shared" si="61"/>
        <v>98.17</v>
      </c>
      <c r="F125" s="3011"/>
      <c r="G125" s="3012">
        <f t="shared" si="36"/>
        <v>680.24</v>
      </c>
      <c r="H125" s="3013">
        <f t="shared" si="37"/>
        <v>680.24</v>
      </c>
      <c r="I125" s="3014">
        <v>680.24</v>
      </c>
      <c r="J125" s="3014"/>
      <c r="K125" s="3014"/>
      <c r="L125" s="3014"/>
      <c r="M125" s="3014"/>
      <c r="N125" s="3014"/>
      <c r="O125" s="3014"/>
      <c r="P125" s="3014"/>
      <c r="Q125" s="3014"/>
      <c r="R125" s="3014"/>
      <c r="S125" s="3014"/>
      <c r="T125" s="3014"/>
      <c r="U125" s="3014"/>
      <c r="V125" s="3014"/>
      <c r="W125" s="3014"/>
      <c r="X125" s="3014"/>
      <c r="Y125" s="3014"/>
      <c r="Z125" s="3014"/>
      <c r="AA125" s="3014"/>
      <c r="AB125" s="3014"/>
      <c r="AC125" s="3010">
        <f t="shared" si="38"/>
        <v>0</v>
      </c>
      <c r="AD125" s="3015"/>
      <c r="AE125" s="3015"/>
      <c r="AF125" s="3015"/>
      <c r="AG125" s="3015"/>
      <c r="AH125" s="3015"/>
      <c r="AI125" s="3015"/>
      <c r="AJ125" s="3015"/>
      <c r="AK125" s="3015"/>
      <c r="AL125" s="3015"/>
      <c r="AM125" s="3015"/>
      <c r="AN125" s="3015"/>
      <c r="AO125" s="3015"/>
      <c r="AP125" s="3015"/>
      <c r="AQ125" s="3015"/>
      <c r="AR125" s="3015"/>
      <c r="AS125" s="3015"/>
      <c r="AT125" s="3011"/>
      <c r="AU125" s="3016"/>
      <c r="AV125" s="3017">
        <f t="shared" si="62"/>
        <v>0</v>
      </c>
      <c r="AW125" s="3017" t="str">
        <f t="shared" si="63"/>
        <v>镇房权证字第0401003084100110号</v>
      </c>
      <c r="AX125" s="3017" t="str">
        <f t="shared" si="64"/>
        <v>大港港南路401号第2层203室</v>
      </c>
      <c r="AY125" s="3018">
        <f t="shared" si="39"/>
        <v>98.17</v>
      </c>
      <c r="AZ125" s="3010">
        <f t="shared" si="40"/>
        <v>680.24</v>
      </c>
      <c r="BA125" s="3010">
        <f t="shared" si="41"/>
        <v>680.24</v>
      </c>
      <c r="BB125" s="3010">
        <f t="shared" si="42"/>
        <v>680.24</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19">
        <f t="shared" si="60"/>
        <v>0</v>
      </c>
    </row>
    <row r="126" spans="1:72" s="3020" customFormat="1" ht="57">
      <c r="A126" s="3008"/>
      <c r="B126" s="3009" t="s">
        <v>3078</v>
      </c>
      <c r="C126" s="3009" t="s">
        <v>3079</v>
      </c>
      <c r="D126" s="3009" t="s">
        <v>3272</v>
      </c>
      <c r="E126" s="3010">
        <f t="shared" si="61"/>
        <v>229.85</v>
      </c>
      <c r="F126" s="3011"/>
      <c r="G126" s="3012">
        <f t="shared" si="36"/>
        <v>1592.71</v>
      </c>
      <c r="H126" s="3013">
        <f t="shared" si="37"/>
        <v>1592.71</v>
      </c>
      <c r="I126" s="3014">
        <v>1592.71</v>
      </c>
      <c r="J126" s="3014"/>
      <c r="K126" s="3014"/>
      <c r="L126" s="3014"/>
      <c r="M126" s="3014"/>
      <c r="N126" s="3014"/>
      <c r="O126" s="3014"/>
      <c r="P126" s="3014"/>
      <c r="Q126" s="3014"/>
      <c r="R126" s="3014"/>
      <c r="S126" s="3014"/>
      <c r="T126" s="3014"/>
      <c r="U126" s="3014"/>
      <c r="V126" s="3014"/>
      <c r="W126" s="3014"/>
      <c r="X126" s="3014"/>
      <c r="Y126" s="3014"/>
      <c r="Z126" s="3014"/>
      <c r="AA126" s="3014"/>
      <c r="AB126" s="3014"/>
      <c r="AC126" s="3010">
        <f t="shared" si="38"/>
        <v>0</v>
      </c>
      <c r="AD126" s="3015"/>
      <c r="AE126" s="3015"/>
      <c r="AF126" s="3015"/>
      <c r="AG126" s="3015"/>
      <c r="AH126" s="3015"/>
      <c r="AI126" s="3015"/>
      <c r="AJ126" s="3015"/>
      <c r="AK126" s="3015"/>
      <c r="AL126" s="3015"/>
      <c r="AM126" s="3015"/>
      <c r="AN126" s="3015"/>
      <c r="AO126" s="3015"/>
      <c r="AP126" s="3015"/>
      <c r="AQ126" s="3015"/>
      <c r="AR126" s="3015"/>
      <c r="AS126" s="3015"/>
      <c r="AT126" s="3011"/>
      <c r="AU126" s="3016"/>
      <c r="AV126" s="3017">
        <f t="shared" si="62"/>
        <v>0</v>
      </c>
      <c r="AW126" s="3017" t="str">
        <f t="shared" si="63"/>
        <v>镇房权证字第0401003053100110号</v>
      </c>
      <c r="AX126" s="3017" t="str">
        <f t="shared" si="64"/>
        <v>大港港南路401号第2层204室</v>
      </c>
      <c r="AY126" s="3018">
        <f t="shared" si="39"/>
        <v>229.85</v>
      </c>
      <c r="AZ126" s="3010">
        <f t="shared" si="40"/>
        <v>1592.71</v>
      </c>
      <c r="BA126" s="3010">
        <f t="shared" si="41"/>
        <v>1592.71</v>
      </c>
      <c r="BB126" s="3010">
        <f t="shared" si="42"/>
        <v>1592.71</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19">
        <f t="shared" si="60"/>
        <v>0</v>
      </c>
    </row>
    <row r="127" spans="1:72" s="3020" customFormat="1" ht="57">
      <c r="A127" s="3008"/>
      <c r="B127" s="3009" t="s">
        <v>3080</v>
      </c>
      <c r="C127" s="3009" t="s">
        <v>3081</v>
      </c>
      <c r="D127" s="3009" t="s">
        <v>3272</v>
      </c>
      <c r="E127" s="3010">
        <f t="shared" si="61"/>
        <v>19.27</v>
      </c>
      <c r="F127" s="3011"/>
      <c r="G127" s="3012">
        <f t="shared" si="36"/>
        <v>133.5</v>
      </c>
      <c r="H127" s="3013">
        <f t="shared" si="37"/>
        <v>133.5</v>
      </c>
      <c r="I127" s="3014">
        <v>133.5</v>
      </c>
      <c r="J127" s="3014"/>
      <c r="K127" s="3014"/>
      <c r="L127" s="3014"/>
      <c r="M127" s="3014"/>
      <c r="N127" s="3014"/>
      <c r="O127" s="3014"/>
      <c r="P127" s="3014"/>
      <c r="Q127" s="3014"/>
      <c r="R127" s="3014"/>
      <c r="S127" s="3014"/>
      <c r="T127" s="3014"/>
      <c r="U127" s="3014"/>
      <c r="V127" s="3014"/>
      <c r="W127" s="3014"/>
      <c r="X127" s="3014"/>
      <c r="Y127" s="3014"/>
      <c r="Z127" s="3014"/>
      <c r="AA127" s="3014"/>
      <c r="AB127" s="3014"/>
      <c r="AC127" s="3010">
        <f t="shared" si="38"/>
        <v>0</v>
      </c>
      <c r="AD127" s="3015"/>
      <c r="AE127" s="3015"/>
      <c r="AF127" s="3015"/>
      <c r="AG127" s="3015"/>
      <c r="AH127" s="3015"/>
      <c r="AI127" s="3015"/>
      <c r="AJ127" s="3015"/>
      <c r="AK127" s="3015"/>
      <c r="AL127" s="3015"/>
      <c r="AM127" s="3015"/>
      <c r="AN127" s="3015"/>
      <c r="AO127" s="3015"/>
      <c r="AP127" s="3015"/>
      <c r="AQ127" s="3015"/>
      <c r="AR127" s="3015"/>
      <c r="AS127" s="3015"/>
      <c r="AT127" s="3011"/>
      <c r="AU127" s="3016"/>
      <c r="AV127" s="3017">
        <f t="shared" si="62"/>
        <v>0</v>
      </c>
      <c r="AW127" s="3017" t="str">
        <f t="shared" si="63"/>
        <v>镇房权证字第0401003094100110号</v>
      </c>
      <c r="AX127" s="3017" t="str">
        <f t="shared" si="64"/>
        <v>大港港南路401号第2层205室</v>
      </c>
      <c r="AY127" s="3018">
        <f t="shared" si="39"/>
        <v>19.27</v>
      </c>
      <c r="AZ127" s="3010">
        <f t="shared" si="40"/>
        <v>133.5</v>
      </c>
      <c r="BA127" s="3010">
        <f t="shared" si="41"/>
        <v>133.5</v>
      </c>
      <c r="BB127" s="3010">
        <f t="shared" si="42"/>
        <v>133.5</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19">
        <f t="shared" si="60"/>
        <v>0</v>
      </c>
    </row>
    <row r="128" spans="1:72" s="3020" customFormat="1" ht="57">
      <c r="A128" s="3008"/>
      <c r="B128" s="3009" t="s">
        <v>3082</v>
      </c>
      <c r="C128" s="3009" t="s">
        <v>3083</v>
      </c>
      <c r="D128" s="3009" t="s">
        <v>3272</v>
      </c>
      <c r="E128" s="3010">
        <f t="shared" si="61"/>
        <v>193.35</v>
      </c>
      <c r="F128" s="3011"/>
      <c r="G128" s="3012">
        <f t="shared" si="36"/>
        <v>1339.83</v>
      </c>
      <c r="H128" s="3013">
        <f t="shared" si="37"/>
        <v>1339.83</v>
      </c>
      <c r="I128" s="3014">
        <v>1339.83</v>
      </c>
      <c r="J128" s="3014"/>
      <c r="K128" s="3014"/>
      <c r="L128" s="3014"/>
      <c r="M128" s="3014"/>
      <c r="N128" s="3014"/>
      <c r="O128" s="3014"/>
      <c r="P128" s="3014"/>
      <c r="Q128" s="3014"/>
      <c r="R128" s="3014"/>
      <c r="S128" s="3014"/>
      <c r="T128" s="3014"/>
      <c r="U128" s="3014"/>
      <c r="V128" s="3014"/>
      <c r="W128" s="3014"/>
      <c r="X128" s="3014"/>
      <c r="Y128" s="3014"/>
      <c r="Z128" s="3014"/>
      <c r="AA128" s="3014"/>
      <c r="AB128" s="3014"/>
      <c r="AC128" s="3010">
        <f t="shared" si="38"/>
        <v>0</v>
      </c>
      <c r="AD128" s="3015"/>
      <c r="AE128" s="3015"/>
      <c r="AF128" s="3015"/>
      <c r="AG128" s="3015"/>
      <c r="AH128" s="3015"/>
      <c r="AI128" s="3015"/>
      <c r="AJ128" s="3015"/>
      <c r="AK128" s="3015"/>
      <c r="AL128" s="3015"/>
      <c r="AM128" s="3015"/>
      <c r="AN128" s="3015"/>
      <c r="AO128" s="3015"/>
      <c r="AP128" s="3015"/>
      <c r="AQ128" s="3015"/>
      <c r="AR128" s="3015"/>
      <c r="AS128" s="3015"/>
      <c r="AT128" s="3011"/>
      <c r="AU128" s="3016"/>
      <c r="AV128" s="3017">
        <f t="shared" si="62"/>
        <v>0</v>
      </c>
      <c r="AW128" s="3017" t="str">
        <f t="shared" si="63"/>
        <v>镇房权证字第0401003060100110号</v>
      </c>
      <c r="AX128" s="3017" t="str">
        <f t="shared" si="64"/>
        <v>大港港南路401号第2层206室</v>
      </c>
      <c r="AY128" s="3018">
        <f t="shared" si="39"/>
        <v>193.35</v>
      </c>
      <c r="AZ128" s="3010">
        <f t="shared" si="40"/>
        <v>1339.83</v>
      </c>
      <c r="BA128" s="3010">
        <f t="shared" si="41"/>
        <v>1339.83</v>
      </c>
      <c r="BB128" s="3010">
        <f t="shared" si="42"/>
        <v>1339.83</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19">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workbookViewId="0">
      <selection activeCell="G40" sqref="G40"/>
    </sheetView>
  </sheetViews>
  <sheetFormatPr defaultRowHeight="13.5"/>
  <cols>
    <col min="3" max="3" width="24.125" customWidth="1"/>
  </cols>
  <sheetData>
    <row r="1" spans="1:6" ht="14.25" thickBot="1">
      <c r="A1" s="2989" t="s">
        <v>3652</v>
      </c>
      <c r="B1" s="2990" t="s">
        <v>3653</v>
      </c>
      <c r="C1" s="2990" t="s">
        <v>3654</v>
      </c>
      <c r="D1" s="2990" t="s">
        <v>3655</v>
      </c>
      <c r="E1" s="2990" t="s">
        <v>3536</v>
      </c>
      <c r="F1" s="2990" t="s">
        <v>3656</v>
      </c>
    </row>
    <row r="2" spans="1:6" ht="14.25" thickBot="1">
      <c r="A2" s="2991">
        <v>1</v>
      </c>
      <c r="B2" s="2992" t="s">
        <v>3891</v>
      </c>
      <c r="C2" s="2992" t="s">
        <v>3657</v>
      </c>
      <c r="D2" s="2993">
        <v>1104.17</v>
      </c>
      <c r="E2" s="2993">
        <v>7651.29</v>
      </c>
      <c r="F2" s="2992" t="s">
        <v>3658</v>
      </c>
    </row>
    <row r="3" spans="1:6" ht="14.25" thickBot="1">
      <c r="A3" s="2991">
        <v>2</v>
      </c>
      <c r="B3" s="2992" t="s">
        <v>3659</v>
      </c>
      <c r="C3" s="2992" t="s">
        <v>3660</v>
      </c>
      <c r="D3" s="2993">
        <v>1093</v>
      </c>
      <c r="E3" s="2993">
        <v>7573.92</v>
      </c>
      <c r="F3" s="2992" t="s">
        <v>3661</v>
      </c>
    </row>
    <row r="4" spans="1:6" ht="14.25" thickBot="1">
      <c r="A4" s="2991">
        <v>3</v>
      </c>
      <c r="B4" s="2993" t="s">
        <v>3890</v>
      </c>
      <c r="C4" s="2993" t="s">
        <v>3065</v>
      </c>
      <c r="D4" s="2993">
        <v>163.54</v>
      </c>
      <c r="E4" s="2993">
        <v>1133.25</v>
      </c>
      <c r="F4" s="2993" t="s">
        <v>3870</v>
      </c>
    </row>
    <row r="5" spans="1:6" ht="14.25" thickBot="1">
      <c r="A5" s="2991">
        <v>4</v>
      </c>
      <c r="B5" s="2993" t="s">
        <v>3066</v>
      </c>
      <c r="C5" s="2993" t="s">
        <v>3067</v>
      </c>
      <c r="D5" s="2993">
        <v>13.62</v>
      </c>
      <c r="E5" s="2993">
        <v>94.38</v>
      </c>
      <c r="F5" s="2993" t="s">
        <v>3870</v>
      </c>
    </row>
    <row r="6" spans="1:6" ht="14.25" thickBot="1">
      <c r="A6" s="2991">
        <v>5</v>
      </c>
      <c r="B6" s="2993" t="s">
        <v>3068</v>
      </c>
      <c r="C6" s="2993" t="s">
        <v>3069</v>
      </c>
      <c r="D6" s="2993">
        <v>203.12</v>
      </c>
      <c r="E6" s="2993">
        <v>1407.52</v>
      </c>
      <c r="F6" s="2993" t="s">
        <v>3870</v>
      </c>
    </row>
    <row r="7" spans="1:6" ht="14.25" thickBot="1">
      <c r="A7" s="2991">
        <v>6</v>
      </c>
      <c r="B7" s="2993" t="s">
        <v>3070</v>
      </c>
      <c r="C7" s="2993" t="s">
        <v>3071</v>
      </c>
      <c r="D7" s="2993">
        <v>246.45</v>
      </c>
      <c r="E7" s="2993">
        <v>1707.77</v>
      </c>
      <c r="F7" s="2993" t="s">
        <v>3870</v>
      </c>
    </row>
    <row r="8" spans="1:6" ht="14.25" thickBot="1">
      <c r="A8" s="2991">
        <v>7</v>
      </c>
      <c r="B8" s="2993" t="s">
        <v>3072</v>
      </c>
      <c r="C8" s="2993" t="s">
        <v>3073</v>
      </c>
      <c r="D8" s="2993">
        <v>177.5</v>
      </c>
      <c r="E8" s="2993">
        <v>1229.97</v>
      </c>
      <c r="F8" s="2993" t="s">
        <v>3649</v>
      </c>
    </row>
    <row r="9" spans="1:6" ht="14.25" thickBot="1">
      <c r="A9" s="2991">
        <v>8</v>
      </c>
      <c r="B9" s="2993" t="s">
        <v>3074</v>
      </c>
      <c r="C9" s="2993" t="s">
        <v>3075</v>
      </c>
      <c r="D9" s="2993">
        <v>77.209999999999994</v>
      </c>
      <c r="E9" s="2993">
        <v>535.04999999999995</v>
      </c>
      <c r="F9" s="2993" t="s">
        <v>3649</v>
      </c>
    </row>
    <row r="10" spans="1:6" ht="14.25" thickBot="1">
      <c r="A10" s="2991">
        <v>9</v>
      </c>
      <c r="B10" s="2993" t="s">
        <v>3076</v>
      </c>
      <c r="C10" s="2993" t="s">
        <v>3077</v>
      </c>
      <c r="D10" s="2993">
        <v>98.17</v>
      </c>
      <c r="E10" s="2993">
        <v>680.24</v>
      </c>
      <c r="F10" s="2993" t="s">
        <v>3649</v>
      </c>
    </row>
    <row r="11" spans="1:6" ht="14.25" thickBot="1">
      <c r="A11" s="2991">
        <v>10</v>
      </c>
      <c r="B11" s="2993" t="s">
        <v>3078</v>
      </c>
      <c r="C11" s="2993" t="s">
        <v>3079</v>
      </c>
      <c r="D11" s="2993">
        <v>229.85</v>
      </c>
      <c r="E11" s="2993">
        <v>1592.71</v>
      </c>
      <c r="F11" s="2993" t="s">
        <v>3649</v>
      </c>
    </row>
    <row r="12" spans="1:6" ht="14.25" thickBot="1">
      <c r="A12" s="2991">
        <v>11</v>
      </c>
      <c r="B12" s="2993" t="s">
        <v>3080</v>
      </c>
      <c r="C12" s="2993" t="s">
        <v>3081</v>
      </c>
      <c r="D12" s="2993">
        <v>19.27</v>
      </c>
      <c r="E12" s="2993">
        <v>133.5</v>
      </c>
      <c r="F12" s="2993" t="s">
        <v>3649</v>
      </c>
    </row>
    <row r="13" spans="1:6" ht="14.25" thickBot="1">
      <c r="A13" s="2991">
        <v>12</v>
      </c>
      <c r="B13" s="2993" t="s">
        <v>3082</v>
      </c>
      <c r="C13" s="2993" t="s">
        <v>3083</v>
      </c>
      <c r="D13" s="2993">
        <v>193.35</v>
      </c>
      <c r="E13" s="2993">
        <v>1339.83</v>
      </c>
      <c r="F13" s="2993" t="s">
        <v>3649</v>
      </c>
    </row>
    <row r="14" spans="1:6" ht="14.25" thickBot="1">
      <c r="A14" s="2991">
        <v>13</v>
      </c>
      <c r="B14" s="2992" t="s">
        <v>3662</v>
      </c>
      <c r="C14" s="2992" t="s">
        <v>3663</v>
      </c>
      <c r="D14" s="2993">
        <v>77.010000000000005</v>
      </c>
      <c r="E14" s="2993">
        <v>533.66999999999996</v>
      </c>
      <c r="F14" s="2993" t="s">
        <v>3664</v>
      </c>
    </row>
    <row r="15" spans="1:6" ht="14.25" thickBot="1">
      <c r="A15" s="2991">
        <v>14</v>
      </c>
      <c r="B15" s="2992" t="s">
        <v>3665</v>
      </c>
      <c r="C15" s="2992" t="s">
        <v>3666</v>
      </c>
      <c r="D15" s="2993">
        <v>48.68</v>
      </c>
      <c r="E15" s="2993">
        <v>337.31</v>
      </c>
      <c r="F15" s="2993" t="s">
        <v>3664</v>
      </c>
    </row>
    <row r="16" spans="1:6" ht="14.25" thickBot="1">
      <c r="A16" s="2991">
        <v>15</v>
      </c>
      <c r="B16" s="2992" t="s">
        <v>3667</v>
      </c>
      <c r="C16" s="2992" t="s">
        <v>3668</v>
      </c>
      <c r="D16" s="2993">
        <v>27.42</v>
      </c>
      <c r="E16" s="2993">
        <v>189.98</v>
      </c>
      <c r="F16" s="2993" t="s">
        <v>3664</v>
      </c>
    </row>
    <row r="17" spans="1:6" ht="14.25" thickBot="1">
      <c r="A17" s="2991">
        <v>16</v>
      </c>
      <c r="B17" s="2992" t="s">
        <v>3669</v>
      </c>
      <c r="C17" s="2992" t="s">
        <v>3670</v>
      </c>
      <c r="D17" s="2993">
        <v>22.35</v>
      </c>
      <c r="E17" s="2993">
        <v>154.85</v>
      </c>
      <c r="F17" s="2993" t="s">
        <v>3664</v>
      </c>
    </row>
    <row r="18" spans="1:6" ht="14.25" thickBot="1">
      <c r="A18" s="2991">
        <v>17</v>
      </c>
      <c r="B18" s="2992" t="s">
        <v>3671</v>
      </c>
      <c r="C18" s="2992" t="s">
        <v>3672</v>
      </c>
      <c r="D18" s="2993">
        <v>57.95</v>
      </c>
      <c r="E18" s="2993">
        <v>401.57</v>
      </c>
      <c r="F18" s="2993" t="s">
        <v>3664</v>
      </c>
    </row>
    <row r="19" spans="1:6" ht="14.25" thickBot="1">
      <c r="A19" s="2991">
        <v>18</v>
      </c>
      <c r="B19" s="2992" t="s">
        <v>3673</v>
      </c>
      <c r="C19" s="2992" t="s">
        <v>3674</v>
      </c>
      <c r="D19" s="2993">
        <v>48.51</v>
      </c>
      <c r="E19" s="2993">
        <v>336.14</v>
      </c>
      <c r="F19" s="2993" t="s">
        <v>3664</v>
      </c>
    </row>
    <row r="20" spans="1:6" ht="14.25" thickBot="1">
      <c r="A20" s="2991">
        <v>19</v>
      </c>
      <c r="B20" s="2992" t="s">
        <v>3675</v>
      </c>
      <c r="C20" s="2992" t="s">
        <v>3676</v>
      </c>
      <c r="D20" s="2993">
        <v>58.21</v>
      </c>
      <c r="E20" s="2993">
        <v>403.36</v>
      </c>
      <c r="F20" s="2993" t="s">
        <v>3664</v>
      </c>
    </row>
    <row r="21" spans="1:6" ht="14.25" thickBot="1">
      <c r="A21" s="2991">
        <v>20</v>
      </c>
      <c r="B21" s="2992" t="s">
        <v>3677</v>
      </c>
      <c r="C21" s="2992" t="s">
        <v>3678</v>
      </c>
      <c r="D21" s="2993">
        <v>22.4</v>
      </c>
      <c r="E21" s="2993">
        <v>155.22999999999999</v>
      </c>
      <c r="F21" s="2993" t="s">
        <v>3664</v>
      </c>
    </row>
    <row r="22" spans="1:6" ht="14.25" thickBot="1">
      <c r="A22" s="2991">
        <v>21</v>
      </c>
      <c r="B22" s="2992" t="s">
        <v>3679</v>
      </c>
      <c r="C22" s="2992" t="s">
        <v>3680</v>
      </c>
      <c r="D22" s="2993">
        <v>39.159999999999997</v>
      </c>
      <c r="E22" s="2993">
        <v>271.39</v>
      </c>
      <c r="F22" s="2993" t="s">
        <v>3664</v>
      </c>
    </row>
    <row r="23" spans="1:6" ht="14.25" thickBot="1">
      <c r="A23" s="2991">
        <v>22</v>
      </c>
      <c r="B23" s="2992" t="s">
        <v>3681</v>
      </c>
      <c r="C23" s="2992" t="s">
        <v>3682</v>
      </c>
      <c r="D23" s="2993">
        <v>27.46</v>
      </c>
      <c r="E23" s="2993">
        <v>190.28</v>
      </c>
      <c r="F23" s="2993" t="s">
        <v>3664</v>
      </c>
    </row>
    <row r="24" spans="1:6" ht="14.25" thickBot="1">
      <c r="A24" s="2991">
        <v>23</v>
      </c>
      <c r="B24" s="2992" t="s">
        <v>3683</v>
      </c>
      <c r="C24" s="2992" t="s">
        <v>3684</v>
      </c>
      <c r="D24" s="2993">
        <v>109.74</v>
      </c>
      <c r="E24" s="2993">
        <v>760.46</v>
      </c>
      <c r="F24" s="2993" t="s">
        <v>3664</v>
      </c>
    </row>
    <row r="25" spans="1:6" ht="14.25" thickBot="1">
      <c r="A25" s="2991">
        <v>24</v>
      </c>
      <c r="B25" s="2992" t="s">
        <v>3685</v>
      </c>
      <c r="C25" s="2992" t="s">
        <v>3686</v>
      </c>
      <c r="D25" s="2993">
        <v>76.680000000000007</v>
      </c>
      <c r="E25" s="2993">
        <v>531.33000000000004</v>
      </c>
      <c r="F25" s="2993" t="s">
        <v>3664</v>
      </c>
    </row>
    <row r="26" spans="1:6" ht="14.25" thickBot="1">
      <c r="A26" s="2991">
        <v>25</v>
      </c>
      <c r="B26" s="2992" t="s">
        <v>3687</v>
      </c>
      <c r="C26" s="2992" t="s">
        <v>3688</v>
      </c>
      <c r="D26" s="2993">
        <v>68</v>
      </c>
      <c r="E26" s="2993">
        <v>471.2</v>
      </c>
      <c r="F26" s="2993" t="s">
        <v>3664</v>
      </c>
    </row>
    <row r="27" spans="1:6" ht="14.25" thickBot="1">
      <c r="A27" s="2991">
        <v>26</v>
      </c>
      <c r="B27" s="2992" t="s">
        <v>3689</v>
      </c>
      <c r="C27" s="2992" t="s">
        <v>3690</v>
      </c>
      <c r="D27" s="2993">
        <v>192.82</v>
      </c>
      <c r="E27" s="2993">
        <v>1336.12</v>
      </c>
      <c r="F27" s="2993" t="s">
        <v>3664</v>
      </c>
    </row>
    <row r="28" spans="1:6" ht="14.25" thickBot="1">
      <c r="A28" s="2991">
        <v>27</v>
      </c>
      <c r="B28" s="2992" t="s">
        <v>3691</v>
      </c>
      <c r="C28" s="2992" t="s">
        <v>3692</v>
      </c>
      <c r="D28" s="2993">
        <v>10.1</v>
      </c>
      <c r="E28" s="2993">
        <v>70</v>
      </c>
      <c r="F28" s="2993" t="s">
        <v>3664</v>
      </c>
    </row>
    <row r="29" spans="1:6" ht="14.25" thickBot="1">
      <c r="A29" s="2991">
        <v>28</v>
      </c>
      <c r="B29" s="2992" t="s">
        <v>3693</v>
      </c>
      <c r="C29" s="2992" t="s">
        <v>3694</v>
      </c>
      <c r="D29" s="2993">
        <v>177.89</v>
      </c>
      <c r="E29" s="2993">
        <v>1232.6500000000001</v>
      </c>
      <c r="F29" s="2993" t="s">
        <v>3695</v>
      </c>
    </row>
    <row r="30" spans="1:6" ht="14.25" thickBot="1">
      <c r="A30" s="2991">
        <v>29</v>
      </c>
      <c r="B30" s="2992" t="s">
        <v>3696</v>
      </c>
      <c r="C30" s="2992" t="s">
        <v>3697</v>
      </c>
      <c r="D30" s="2993">
        <v>92.65</v>
      </c>
      <c r="E30" s="2993">
        <v>642</v>
      </c>
      <c r="F30" s="2993" t="s">
        <v>3695</v>
      </c>
    </row>
    <row r="31" spans="1:6" ht="14.25" thickBot="1">
      <c r="A31" s="2991">
        <v>30</v>
      </c>
      <c r="B31" s="2992" t="s">
        <v>3698</v>
      </c>
      <c r="C31" s="2992" t="s">
        <v>3699</v>
      </c>
      <c r="D31" s="2993">
        <v>14.78</v>
      </c>
      <c r="E31" s="2993">
        <v>102.42</v>
      </c>
      <c r="F31" s="2993" t="s">
        <v>3695</v>
      </c>
    </row>
    <row r="32" spans="1:6" ht="14.25" thickBot="1">
      <c r="A32" s="2991">
        <v>31</v>
      </c>
      <c r="B32" s="2992" t="s">
        <v>3700</v>
      </c>
      <c r="C32" s="2992" t="s">
        <v>3701</v>
      </c>
      <c r="D32" s="2993">
        <v>10.34</v>
      </c>
      <c r="E32" s="2993">
        <v>71.66</v>
      </c>
      <c r="F32" s="2993" t="s">
        <v>3695</v>
      </c>
    </row>
    <row r="33" spans="1:6" ht="14.25" thickBot="1">
      <c r="A33" s="2991">
        <v>32</v>
      </c>
      <c r="B33" s="2992" t="s">
        <v>3702</v>
      </c>
      <c r="C33" s="2992" t="s">
        <v>3703</v>
      </c>
      <c r="D33" s="2993">
        <v>55.49</v>
      </c>
      <c r="E33" s="2993">
        <v>384.52</v>
      </c>
      <c r="F33" s="2993" t="s">
        <v>3704</v>
      </c>
    </row>
    <row r="34" spans="1:6" ht="14.25" thickBot="1">
      <c r="A34" s="2991">
        <v>33</v>
      </c>
      <c r="B34" s="2992" t="s">
        <v>3705</v>
      </c>
      <c r="C34" s="2992" t="s">
        <v>3706</v>
      </c>
      <c r="D34" s="2993">
        <v>98.99</v>
      </c>
      <c r="E34" s="2993">
        <v>685.96</v>
      </c>
      <c r="F34" s="2993" t="s">
        <v>3704</v>
      </c>
    </row>
    <row r="35" spans="1:6" ht="14.25" thickBot="1">
      <c r="A35" s="2991">
        <v>34</v>
      </c>
      <c r="B35" s="2992" t="s">
        <v>3707</v>
      </c>
      <c r="C35" s="2992" t="s">
        <v>3708</v>
      </c>
      <c r="D35" s="2993">
        <v>67.69</v>
      </c>
      <c r="E35" s="2993">
        <v>469.05</v>
      </c>
      <c r="F35" s="2993" t="s">
        <v>3704</v>
      </c>
    </row>
    <row r="36" spans="1:6" ht="14.25" thickBot="1">
      <c r="A36" s="2991">
        <v>35</v>
      </c>
      <c r="B36" s="2992" t="s">
        <v>3709</v>
      </c>
      <c r="C36" s="2992" t="s">
        <v>3710</v>
      </c>
      <c r="D36" s="2993">
        <v>63.81</v>
      </c>
      <c r="E36" s="2993">
        <v>442.19</v>
      </c>
      <c r="F36" s="2993" t="s">
        <v>3704</v>
      </c>
    </row>
    <row r="37" spans="1:6" ht="14.25" thickBot="1">
      <c r="A37" s="2991">
        <v>36</v>
      </c>
      <c r="B37" s="2992" t="s">
        <v>3711</v>
      </c>
      <c r="C37" s="2992" t="s">
        <v>3712</v>
      </c>
      <c r="D37" s="2993">
        <v>10.15</v>
      </c>
      <c r="E37" s="2993">
        <v>70.3</v>
      </c>
      <c r="F37" s="2993" t="s">
        <v>3704</v>
      </c>
    </row>
    <row r="38" spans="1:6" ht="14.25" thickBot="1">
      <c r="A38" s="2991">
        <v>37</v>
      </c>
      <c r="B38" s="2992" t="s">
        <v>3713</v>
      </c>
      <c r="C38" s="2992" t="s">
        <v>3714</v>
      </c>
      <c r="D38" s="2993">
        <v>55.49</v>
      </c>
      <c r="E38" s="2993">
        <v>384.52</v>
      </c>
      <c r="F38" s="2993" t="s">
        <v>3715</v>
      </c>
    </row>
    <row r="39" spans="1:6" ht="14.25" thickBot="1">
      <c r="A39" s="2991">
        <v>38</v>
      </c>
      <c r="B39" s="2992" t="s">
        <v>3716</v>
      </c>
      <c r="C39" s="2992" t="s">
        <v>3717</v>
      </c>
      <c r="D39" s="2993">
        <v>98.99</v>
      </c>
      <c r="E39" s="2993">
        <v>685.96</v>
      </c>
      <c r="F39" s="2993" t="s">
        <v>3715</v>
      </c>
    </row>
    <row r="40" spans="1:6" ht="14.25" thickBot="1">
      <c r="A40" s="2991">
        <v>39</v>
      </c>
      <c r="B40" s="2992" t="s">
        <v>3718</v>
      </c>
      <c r="C40" s="2992" t="s">
        <v>3719</v>
      </c>
      <c r="D40" s="2993">
        <v>67.69</v>
      </c>
      <c r="E40" s="2993">
        <v>469.05</v>
      </c>
      <c r="F40" s="2993" t="s">
        <v>3715</v>
      </c>
    </row>
    <row r="41" spans="1:6" ht="14.25" thickBot="1">
      <c r="A41" s="2991">
        <v>40</v>
      </c>
      <c r="B41" s="2992" t="s">
        <v>3720</v>
      </c>
      <c r="C41" s="2992" t="s">
        <v>3721</v>
      </c>
      <c r="D41" s="2993">
        <v>63.81</v>
      </c>
      <c r="E41" s="2993">
        <v>442.19</v>
      </c>
      <c r="F41" s="2993" t="s">
        <v>3715</v>
      </c>
    </row>
    <row r="42" spans="1:6" ht="14.25" thickBot="1">
      <c r="A42" s="2991">
        <v>41</v>
      </c>
      <c r="B42" s="2992" t="s">
        <v>3722</v>
      </c>
      <c r="C42" s="2992" t="s">
        <v>3723</v>
      </c>
      <c r="D42" s="2993">
        <v>10.15</v>
      </c>
      <c r="E42" s="2993">
        <v>70.3</v>
      </c>
      <c r="F42" s="2993" t="s">
        <v>3715</v>
      </c>
    </row>
    <row r="43" spans="1:6" ht="14.25" thickBot="1">
      <c r="A43" s="2991">
        <v>42</v>
      </c>
      <c r="B43" s="2992" t="s">
        <v>3724</v>
      </c>
      <c r="C43" s="2992" t="s">
        <v>3725</v>
      </c>
      <c r="D43" s="2993">
        <v>55.49</v>
      </c>
      <c r="E43" s="2993">
        <v>384.52</v>
      </c>
      <c r="F43" s="2993" t="s">
        <v>3726</v>
      </c>
    </row>
    <row r="44" spans="1:6" ht="14.25" thickBot="1">
      <c r="A44" s="2991">
        <v>43</v>
      </c>
      <c r="B44" s="2992" t="s">
        <v>3727</v>
      </c>
      <c r="C44" s="2992" t="s">
        <v>3728</v>
      </c>
      <c r="D44" s="2993">
        <v>98.99</v>
      </c>
      <c r="E44" s="2993">
        <v>685.96</v>
      </c>
      <c r="F44" s="2993" t="s">
        <v>3726</v>
      </c>
    </row>
    <row r="45" spans="1:6" ht="14.25" thickBot="1">
      <c r="A45" s="2991">
        <v>44</v>
      </c>
      <c r="B45" s="2992" t="s">
        <v>3729</v>
      </c>
      <c r="C45" s="2992" t="s">
        <v>3730</v>
      </c>
      <c r="D45" s="2993">
        <v>67.69</v>
      </c>
      <c r="E45" s="2993">
        <v>469.05</v>
      </c>
      <c r="F45" s="2993" t="s">
        <v>3726</v>
      </c>
    </row>
    <row r="46" spans="1:6" ht="14.25" thickBot="1">
      <c r="A46" s="2991">
        <v>45</v>
      </c>
      <c r="B46" s="2992" t="s">
        <v>3731</v>
      </c>
      <c r="C46" s="2992" t="s">
        <v>3732</v>
      </c>
      <c r="D46" s="2993">
        <v>63.81</v>
      </c>
      <c r="E46" s="2993">
        <v>442.19</v>
      </c>
      <c r="F46" s="2993" t="s">
        <v>3726</v>
      </c>
    </row>
    <row r="47" spans="1:6" ht="14.25" thickBot="1">
      <c r="A47" s="2991">
        <v>46</v>
      </c>
      <c r="B47" s="2992" t="s">
        <v>3733</v>
      </c>
      <c r="C47" s="2992" t="s">
        <v>3734</v>
      </c>
      <c r="D47" s="2993">
        <v>10.15</v>
      </c>
      <c r="E47" s="2993">
        <v>70.3</v>
      </c>
      <c r="F47" s="2993" t="s">
        <v>3726</v>
      </c>
    </row>
    <row r="48" spans="1:6" ht="14.25" thickBot="1">
      <c r="A48" s="2991">
        <v>47</v>
      </c>
      <c r="B48" s="2992" t="s">
        <v>3735</v>
      </c>
      <c r="C48" s="2992" t="s">
        <v>3736</v>
      </c>
      <c r="D48" s="2993">
        <v>55.49</v>
      </c>
      <c r="E48" s="2993">
        <v>384.52</v>
      </c>
      <c r="F48" s="2993" t="s">
        <v>3737</v>
      </c>
    </row>
    <row r="49" spans="1:6" ht="14.25" thickBot="1">
      <c r="A49" s="2991">
        <v>48</v>
      </c>
      <c r="B49" s="2992" t="s">
        <v>3738</v>
      </c>
      <c r="C49" s="2992" t="s">
        <v>3739</v>
      </c>
      <c r="D49" s="2993">
        <v>98.99</v>
      </c>
      <c r="E49" s="2993">
        <v>685.96</v>
      </c>
      <c r="F49" s="2993" t="s">
        <v>3737</v>
      </c>
    </row>
    <row r="50" spans="1:6" ht="14.25" thickBot="1">
      <c r="A50" s="2991">
        <v>49</v>
      </c>
      <c r="B50" s="2992" t="s">
        <v>3740</v>
      </c>
      <c r="C50" s="2992" t="s">
        <v>3741</v>
      </c>
      <c r="D50" s="2993">
        <v>67.69</v>
      </c>
      <c r="E50" s="2993">
        <v>469.05</v>
      </c>
      <c r="F50" s="2993" t="s">
        <v>3737</v>
      </c>
    </row>
    <row r="51" spans="1:6" ht="14.25" thickBot="1">
      <c r="A51" s="2991">
        <v>50</v>
      </c>
      <c r="B51" s="2992" t="s">
        <v>3742</v>
      </c>
      <c r="C51" s="2992" t="s">
        <v>3743</v>
      </c>
      <c r="D51" s="2993">
        <v>63.81</v>
      </c>
      <c r="E51" s="2993">
        <v>442.19</v>
      </c>
      <c r="F51" s="2993" t="s">
        <v>3737</v>
      </c>
    </row>
    <row r="52" spans="1:6" ht="14.25" thickBot="1">
      <c r="A52" s="2991">
        <v>51</v>
      </c>
      <c r="B52" s="2992" t="s">
        <v>3744</v>
      </c>
      <c r="C52" s="2992" t="s">
        <v>3745</v>
      </c>
      <c r="D52" s="2993">
        <v>10.15</v>
      </c>
      <c r="E52" s="2993">
        <v>70.3</v>
      </c>
      <c r="F52" s="2993" t="s">
        <v>3737</v>
      </c>
    </row>
    <row r="53" spans="1:6" ht="14.25" thickBot="1">
      <c r="A53" s="2991">
        <v>52</v>
      </c>
      <c r="B53" s="2992" t="s">
        <v>3746</v>
      </c>
      <c r="C53" s="2992" t="s">
        <v>3747</v>
      </c>
      <c r="D53" s="2993">
        <v>55.49</v>
      </c>
      <c r="E53" s="2993">
        <v>384.52</v>
      </c>
      <c r="F53" s="2993" t="s">
        <v>3748</v>
      </c>
    </row>
    <row r="54" spans="1:6" ht="14.25" thickBot="1">
      <c r="A54" s="2991">
        <v>53</v>
      </c>
      <c r="B54" s="2992" t="s">
        <v>3749</v>
      </c>
      <c r="C54" s="2992" t="s">
        <v>3750</v>
      </c>
      <c r="D54" s="2993">
        <v>98.99</v>
      </c>
      <c r="E54" s="2993">
        <v>685.96</v>
      </c>
      <c r="F54" s="2993" t="s">
        <v>3748</v>
      </c>
    </row>
    <row r="55" spans="1:6" ht="14.25" thickBot="1">
      <c r="A55" s="2991">
        <v>54</v>
      </c>
      <c r="B55" s="2992" t="s">
        <v>3751</v>
      </c>
      <c r="C55" s="2992" t="s">
        <v>3752</v>
      </c>
      <c r="D55" s="2993">
        <v>67.69</v>
      </c>
      <c r="E55" s="2993">
        <v>469.05</v>
      </c>
      <c r="F55" s="2993" t="s">
        <v>3748</v>
      </c>
    </row>
    <row r="56" spans="1:6" ht="14.25" thickBot="1">
      <c r="A56" s="2991">
        <v>55</v>
      </c>
      <c r="B56" s="2992" t="s">
        <v>3753</v>
      </c>
      <c r="C56" s="2992" t="s">
        <v>3754</v>
      </c>
      <c r="D56" s="2993">
        <v>63.81</v>
      </c>
      <c r="E56" s="2993">
        <v>442.19</v>
      </c>
      <c r="F56" s="2993" t="s">
        <v>3748</v>
      </c>
    </row>
    <row r="57" spans="1:6" ht="14.25" thickBot="1">
      <c r="A57" s="2991">
        <v>56</v>
      </c>
      <c r="B57" s="2992" t="s">
        <v>3755</v>
      </c>
      <c r="C57" s="2992" t="s">
        <v>3756</v>
      </c>
      <c r="D57" s="2993">
        <v>10.15</v>
      </c>
      <c r="E57" s="2993">
        <v>70.3</v>
      </c>
      <c r="F57" s="2993" t="s">
        <v>3748</v>
      </c>
    </row>
    <row r="58" spans="1:6" ht="14.25" thickBot="1">
      <c r="A58" s="2991">
        <v>57</v>
      </c>
      <c r="B58" s="2992" t="s">
        <v>3757</v>
      </c>
      <c r="C58" s="2992" t="s">
        <v>3758</v>
      </c>
      <c r="D58" s="2993">
        <v>55.49</v>
      </c>
      <c r="E58" s="2993">
        <v>384.52</v>
      </c>
      <c r="F58" s="2993" t="s">
        <v>3759</v>
      </c>
    </row>
    <row r="59" spans="1:6" ht="14.25" thickBot="1">
      <c r="A59" s="2991">
        <v>58</v>
      </c>
      <c r="B59" s="2992" t="s">
        <v>3760</v>
      </c>
      <c r="C59" s="2992" t="s">
        <v>3761</v>
      </c>
      <c r="D59" s="2993">
        <v>98.99</v>
      </c>
      <c r="E59" s="2993">
        <v>685.96</v>
      </c>
      <c r="F59" s="2993" t="s">
        <v>3759</v>
      </c>
    </row>
    <row r="60" spans="1:6" ht="14.25" thickBot="1">
      <c r="A60" s="2991">
        <v>59</v>
      </c>
      <c r="B60" s="2992" t="s">
        <v>3762</v>
      </c>
      <c r="C60" s="2992" t="s">
        <v>3763</v>
      </c>
      <c r="D60" s="2993">
        <v>67.69</v>
      </c>
      <c r="E60" s="2993">
        <v>469.05</v>
      </c>
      <c r="F60" s="2993" t="s">
        <v>3759</v>
      </c>
    </row>
    <row r="61" spans="1:6" ht="14.25" thickBot="1">
      <c r="A61" s="2991">
        <v>60</v>
      </c>
      <c r="B61" s="2992" t="s">
        <v>3764</v>
      </c>
      <c r="C61" s="2992" t="s">
        <v>3765</v>
      </c>
      <c r="D61" s="2993">
        <v>63.81</v>
      </c>
      <c r="E61" s="2993">
        <v>442.19</v>
      </c>
      <c r="F61" s="2993" t="s">
        <v>3759</v>
      </c>
    </row>
    <row r="62" spans="1:6" ht="14.25" thickBot="1">
      <c r="A62" s="2991">
        <v>61</v>
      </c>
      <c r="B62" s="2992" t="s">
        <v>3766</v>
      </c>
      <c r="C62" s="2992" t="s">
        <v>3767</v>
      </c>
      <c r="D62" s="2993">
        <v>10.15</v>
      </c>
      <c r="E62" s="2993">
        <v>70.3</v>
      </c>
      <c r="F62" s="2993" t="s">
        <v>3759</v>
      </c>
    </row>
    <row r="63" spans="1:6" ht="14.25" thickBot="1">
      <c r="A63" s="2991">
        <v>62</v>
      </c>
      <c r="B63" s="2992" t="s">
        <v>3768</v>
      </c>
      <c r="C63" s="2992" t="s">
        <v>3769</v>
      </c>
      <c r="D63" s="2993">
        <v>137.11000000000001</v>
      </c>
      <c r="E63" s="2993">
        <v>950.07</v>
      </c>
      <c r="F63" s="2993" t="s">
        <v>3770</v>
      </c>
    </row>
    <row r="64" spans="1:6" ht="14.25" thickBot="1">
      <c r="A64" s="2991">
        <v>63</v>
      </c>
      <c r="B64" s="2992" t="s">
        <v>3771</v>
      </c>
      <c r="C64" s="2992" t="s">
        <v>3772</v>
      </c>
      <c r="D64" s="2993">
        <v>148.88</v>
      </c>
      <c r="E64" s="2993">
        <v>1031.6500000000001</v>
      </c>
      <c r="F64" s="2993" t="s">
        <v>3770</v>
      </c>
    </row>
    <row r="65" spans="1:6" ht="14.25" thickBot="1">
      <c r="A65" s="2991">
        <v>64</v>
      </c>
      <c r="B65" s="2992" t="s">
        <v>3773</v>
      </c>
      <c r="C65" s="2992" t="s">
        <v>3774</v>
      </c>
      <c r="D65" s="2993">
        <v>10.15</v>
      </c>
      <c r="E65" s="2993">
        <v>70.3</v>
      </c>
      <c r="F65" s="2993" t="s">
        <v>3770</v>
      </c>
    </row>
    <row r="66" spans="1:6" ht="14.25" thickBot="1">
      <c r="A66" s="2991">
        <v>65</v>
      </c>
      <c r="B66" s="2992" t="s">
        <v>3775</v>
      </c>
      <c r="C66" s="2992" t="s">
        <v>3776</v>
      </c>
      <c r="D66" s="2993">
        <v>148.88</v>
      </c>
      <c r="E66" s="2993">
        <v>1031.6500000000001</v>
      </c>
      <c r="F66" s="2993" t="s">
        <v>3777</v>
      </c>
    </row>
    <row r="67" spans="1:6" ht="14.25" thickBot="1">
      <c r="A67" s="2991">
        <v>66</v>
      </c>
      <c r="B67" s="2992" t="s">
        <v>3778</v>
      </c>
      <c r="C67" s="2992" t="s">
        <v>3779</v>
      </c>
      <c r="D67" s="2993">
        <v>10.15</v>
      </c>
      <c r="E67" s="2993">
        <v>70.3</v>
      </c>
      <c r="F67" s="2993" t="s">
        <v>3777</v>
      </c>
    </row>
    <row r="68" spans="1:6" ht="14.25" thickBot="1">
      <c r="A68" s="2991">
        <v>67</v>
      </c>
      <c r="B68" s="2992" t="s">
        <v>3780</v>
      </c>
      <c r="C68" s="2992" t="s">
        <v>3781</v>
      </c>
      <c r="D68" s="2993">
        <v>137.11000000000001</v>
      </c>
      <c r="E68" s="2993">
        <v>950.07</v>
      </c>
      <c r="F68" s="2993" t="s">
        <v>3782</v>
      </c>
    </row>
    <row r="69" spans="1:6" ht="14.25" thickBot="1">
      <c r="A69" s="2991">
        <v>68</v>
      </c>
      <c r="B69" s="2992" t="s">
        <v>3783</v>
      </c>
      <c r="C69" s="2992" t="s">
        <v>3784</v>
      </c>
      <c r="D69" s="2993">
        <v>148.88</v>
      </c>
      <c r="E69" s="2993">
        <v>1031.6500000000001</v>
      </c>
      <c r="F69" s="2993" t="s">
        <v>3782</v>
      </c>
    </row>
    <row r="70" spans="1:6" ht="14.25" thickBot="1">
      <c r="A70" s="2991">
        <v>69</v>
      </c>
      <c r="B70" s="2992" t="s">
        <v>3785</v>
      </c>
      <c r="C70" s="2992" t="s">
        <v>3786</v>
      </c>
      <c r="D70" s="2993">
        <v>10.15</v>
      </c>
      <c r="E70" s="2993">
        <v>70.3</v>
      </c>
      <c r="F70" s="2993" t="s">
        <v>3782</v>
      </c>
    </row>
    <row r="71" spans="1:6" ht="14.25" thickBot="1">
      <c r="A71" s="2991">
        <v>70</v>
      </c>
      <c r="B71" s="2992" t="s">
        <v>3787</v>
      </c>
      <c r="C71" s="2992" t="s">
        <v>3788</v>
      </c>
      <c r="D71" s="2993">
        <v>137.11000000000001</v>
      </c>
      <c r="E71" s="2993">
        <v>950.07</v>
      </c>
      <c r="F71" s="2993" t="s">
        <v>3789</v>
      </c>
    </row>
    <row r="72" spans="1:6" ht="14.25" thickBot="1">
      <c r="A72" s="2991">
        <v>71</v>
      </c>
      <c r="B72" s="2992" t="s">
        <v>3790</v>
      </c>
      <c r="C72" s="2992" t="s">
        <v>3791</v>
      </c>
      <c r="D72" s="2993">
        <v>148.88</v>
      </c>
      <c r="E72" s="2993">
        <v>1031.6500000000001</v>
      </c>
      <c r="F72" s="2993" t="s">
        <v>3789</v>
      </c>
    </row>
    <row r="73" spans="1:6" ht="14.25" thickBot="1">
      <c r="A73" s="2991">
        <v>72</v>
      </c>
      <c r="B73" s="2992" t="s">
        <v>3792</v>
      </c>
      <c r="C73" s="2992" t="s">
        <v>3793</v>
      </c>
      <c r="D73" s="2993">
        <v>10.15</v>
      </c>
      <c r="E73" s="2993">
        <v>70.3</v>
      </c>
      <c r="F73" s="2993" t="s">
        <v>3789</v>
      </c>
    </row>
    <row r="74" spans="1:6" ht="14.25" thickBot="1">
      <c r="A74" s="2991">
        <v>73</v>
      </c>
      <c r="B74" s="2992" t="s">
        <v>3794</v>
      </c>
      <c r="C74" s="2992" t="s">
        <v>3795</v>
      </c>
      <c r="D74" s="2993">
        <v>138.29</v>
      </c>
      <c r="E74" s="2993">
        <v>958.29</v>
      </c>
      <c r="F74" s="2993" t="s">
        <v>3796</v>
      </c>
    </row>
    <row r="75" spans="1:6" ht="14.25" thickBot="1">
      <c r="A75" s="2991">
        <v>74</v>
      </c>
      <c r="B75" s="2992" t="s">
        <v>3797</v>
      </c>
      <c r="C75" s="2992" t="s">
        <v>3798</v>
      </c>
      <c r="D75" s="2993">
        <v>150.16999999999999</v>
      </c>
      <c r="E75" s="2993">
        <v>1040.58</v>
      </c>
      <c r="F75" s="2993" t="s">
        <v>3796</v>
      </c>
    </row>
    <row r="76" spans="1:6" ht="14.25" thickBot="1">
      <c r="A76" s="2991">
        <v>75</v>
      </c>
      <c r="B76" s="2992" t="s">
        <v>3799</v>
      </c>
      <c r="C76" s="2992" t="s">
        <v>3800</v>
      </c>
      <c r="D76" s="2993">
        <v>138.38999999999999</v>
      </c>
      <c r="E76" s="2993">
        <v>958.98</v>
      </c>
      <c r="F76" s="2993" t="s">
        <v>3801</v>
      </c>
    </row>
    <row r="77" spans="1:6" ht="14.25" thickBot="1">
      <c r="A77" s="2991">
        <v>76</v>
      </c>
      <c r="B77" s="2992" t="s">
        <v>3802</v>
      </c>
      <c r="C77" s="2992" t="s">
        <v>3803</v>
      </c>
      <c r="D77" s="2993">
        <v>150.27000000000001</v>
      </c>
      <c r="E77" s="2993">
        <v>1041.3</v>
      </c>
      <c r="F77" s="2993" t="s">
        <v>3801</v>
      </c>
    </row>
    <row r="78" spans="1:6" ht="14.25" thickBot="1">
      <c r="A78" s="2991">
        <v>77</v>
      </c>
      <c r="B78" s="2992" t="s">
        <v>3804</v>
      </c>
      <c r="C78" s="2992" t="s">
        <v>3805</v>
      </c>
      <c r="D78" s="2993">
        <v>136.26</v>
      </c>
      <c r="E78" s="2993">
        <v>944.22</v>
      </c>
      <c r="F78" s="2993" t="s">
        <v>3806</v>
      </c>
    </row>
    <row r="79" spans="1:6" ht="14.25" thickBot="1">
      <c r="A79" s="2991">
        <v>78</v>
      </c>
      <c r="B79" s="2992" t="s">
        <v>3807</v>
      </c>
      <c r="C79" s="2992" t="s">
        <v>3808</v>
      </c>
      <c r="D79" s="2993">
        <v>147.96</v>
      </c>
      <c r="E79" s="2993">
        <v>1025.27</v>
      </c>
      <c r="F79" s="2993" t="s">
        <v>3806</v>
      </c>
    </row>
    <row r="80" spans="1:6" ht="14.25" thickBot="1">
      <c r="A80" s="2991">
        <v>79</v>
      </c>
      <c r="B80" s="2992" t="s">
        <v>3809</v>
      </c>
      <c r="C80" s="2992" t="s">
        <v>3810</v>
      </c>
      <c r="D80" s="2993">
        <v>18.829999999999998</v>
      </c>
      <c r="E80" s="2993">
        <v>130.47999999999999</v>
      </c>
      <c r="F80" s="2993" t="s">
        <v>3806</v>
      </c>
    </row>
    <row r="81" spans="1:6" ht="14.25" thickBot="1">
      <c r="A81" s="2991">
        <v>80</v>
      </c>
      <c r="B81" s="2992" t="s">
        <v>3811</v>
      </c>
      <c r="C81" s="2992" t="s">
        <v>3812</v>
      </c>
      <c r="D81" s="2993">
        <v>136.26</v>
      </c>
      <c r="E81" s="2993">
        <v>944.22</v>
      </c>
      <c r="F81" s="2993" t="s">
        <v>3813</v>
      </c>
    </row>
    <row r="82" spans="1:6" ht="14.25" thickBot="1">
      <c r="A82" s="2991">
        <v>81</v>
      </c>
      <c r="B82" s="2992" t="s">
        <v>3814</v>
      </c>
      <c r="C82" s="2992" t="s">
        <v>3815</v>
      </c>
      <c r="D82" s="2993">
        <v>147.96</v>
      </c>
      <c r="E82" s="2993">
        <v>1025.27</v>
      </c>
      <c r="F82" s="2993" t="s">
        <v>3813</v>
      </c>
    </row>
    <row r="83" spans="1:6" ht="14.25" thickBot="1">
      <c r="A83" s="2991">
        <v>82</v>
      </c>
      <c r="B83" s="2992" t="s">
        <v>3816</v>
      </c>
      <c r="C83" s="2992" t="s">
        <v>3817</v>
      </c>
      <c r="D83" s="2993">
        <v>18.829999999999998</v>
      </c>
      <c r="E83" s="2993">
        <v>130.47999999999999</v>
      </c>
      <c r="F83" s="2993" t="s">
        <v>3813</v>
      </c>
    </row>
    <row r="84" spans="1:6" ht="14.25" thickBot="1">
      <c r="A84" s="2991">
        <v>83</v>
      </c>
      <c r="B84" s="2992" t="s">
        <v>3818</v>
      </c>
      <c r="C84" s="2992" t="s">
        <v>3819</v>
      </c>
      <c r="D84" s="2993">
        <v>136.26</v>
      </c>
      <c r="E84" s="2993">
        <v>944.22</v>
      </c>
      <c r="F84" s="2993" t="s">
        <v>3820</v>
      </c>
    </row>
    <row r="85" spans="1:6" ht="14.25" thickBot="1">
      <c r="A85" s="2991">
        <v>84</v>
      </c>
      <c r="B85" s="2992" t="s">
        <v>3821</v>
      </c>
      <c r="C85" s="2992" t="s">
        <v>3822</v>
      </c>
      <c r="D85" s="2993">
        <v>147.96</v>
      </c>
      <c r="E85" s="2993">
        <v>1025.27</v>
      </c>
      <c r="F85" s="2993" t="s">
        <v>3820</v>
      </c>
    </row>
    <row r="86" spans="1:6" ht="14.25" thickBot="1">
      <c r="A86" s="2991">
        <v>85</v>
      </c>
      <c r="B86" s="2992" t="s">
        <v>3823</v>
      </c>
      <c r="C86" s="2992" t="s">
        <v>3824</v>
      </c>
      <c r="D86" s="2993">
        <v>18.829999999999998</v>
      </c>
      <c r="E86" s="2993">
        <v>130.47999999999999</v>
      </c>
      <c r="F86" s="2993" t="s">
        <v>3820</v>
      </c>
    </row>
    <row r="87" spans="1:6" ht="14.25" thickBot="1">
      <c r="A87" s="2991">
        <v>86</v>
      </c>
      <c r="B87" s="2992" t="s">
        <v>3825</v>
      </c>
      <c r="C87" s="2992" t="s">
        <v>3826</v>
      </c>
      <c r="D87" s="2993">
        <v>136.26</v>
      </c>
      <c r="E87" s="2993">
        <v>944.22</v>
      </c>
      <c r="F87" s="2993" t="s">
        <v>3827</v>
      </c>
    </row>
    <row r="88" spans="1:6" ht="14.25" thickBot="1">
      <c r="A88" s="2991">
        <v>87</v>
      </c>
      <c r="B88" s="2992" t="s">
        <v>3828</v>
      </c>
      <c r="C88" s="2992" t="s">
        <v>3829</v>
      </c>
      <c r="D88" s="2993">
        <v>147.96</v>
      </c>
      <c r="E88" s="2993">
        <v>1025.27</v>
      </c>
      <c r="F88" s="2993" t="s">
        <v>3827</v>
      </c>
    </row>
    <row r="89" spans="1:6" ht="14.25" thickBot="1">
      <c r="A89" s="2991">
        <v>88</v>
      </c>
      <c r="B89" s="2992" t="s">
        <v>3830</v>
      </c>
      <c r="C89" s="2992" t="s">
        <v>3831</v>
      </c>
      <c r="D89" s="2993">
        <v>18.829999999999998</v>
      </c>
      <c r="E89" s="2993">
        <v>130.47999999999999</v>
      </c>
      <c r="F89" s="2993" t="s">
        <v>3827</v>
      </c>
    </row>
    <row r="90" spans="1:6" ht="14.25" thickBot="1">
      <c r="A90" s="2991">
        <v>89</v>
      </c>
      <c r="B90" s="2992" t="s">
        <v>3832</v>
      </c>
      <c r="C90" s="2992" t="s">
        <v>3833</v>
      </c>
      <c r="D90" s="2993">
        <v>136.26</v>
      </c>
      <c r="E90" s="2993">
        <v>944.22</v>
      </c>
      <c r="F90" s="2993" t="s">
        <v>3834</v>
      </c>
    </row>
    <row r="91" spans="1:6" ht="14.25" thickBot="1">
      <c r="A91" s="2991">
        <v>90</v>
      </c>
      <c r="B91" s="2992" t="s">
        <v>3835</v>
      </c>
      <c r="C91" s="2992" t="s">
        <v>3836</v>
      </c>
      <c r="D91" s="2993">
        <v>147.96</v>
      </c>
      <c r="E91" s="2993">
        <v>1025.27</v>
      </c>
      <c r="F91" s="2993" t="s">
        <v>3834</v>
      </c>
    </row>
    <row r="92" spans="1:6" ht="14.25" thickBot="1">
      <c r="A92" s="2991">
        <v>91</v>
      </c>
      <c r="B92" s="2992" t="s">
        <v>3837</v>
      </c>
      <c r="C92" s="2992" t="s">
        <v>3838</v>
      </c>
      <c r="D92" s="2993">
        <v>18.829999999999998</v>
      </c>
      <c r="E92" s="2993">
        <v>130.47999999999999</v>
      </c>
      <c r="F92" s="2993" t="s">
        <v>3834</v>
      </c>
    </row>
    <row r="93" spans="1:6" ht="14.25" thickBot="1">
      <c r="A93" s="2991">
        <v>92</v>
      </c>
      <c r="B93" s="2992" t="s">
        <v>3839</v>
      </c>
      <c r="C93" s="2992" t="s">
        <v>3840</v>
      </c>
      <c r="D93" s="2993">
        <v>226.4</v>
      </c>
      <c r="E93" s="2993">
        <v>1568.83</v>
      </c>
      <c r="F93" s="2993" t="s">
        <v>3841</v>
      </c>
    </row>
    <row r="94" spans="1:6" ht="14.25" thickBot="1">
      <c r="A94" s="2991">
        <v>93</v>
      </c>
      <c r="B94" s="2992" t="s">
        <v>3842</v>
      </c>
      <c r="C94" s="2992" t="s">
        <v>3843</v>
      </c>
      <c r="D94" s="2993">
        <v>48.54</v>
      </c>
      <c r="E94" s="2993">
        <v>336.37</v>
      </c>
      <c r="F94" s="2993" t="s">
        <v>3841</v>
      </c>
    </row>
    <row r="95" spans="1:6" ht="14.25" thickBot="1">
      <c r="A95" s="2991">
        <v>94</v>
      </c>
      <c r="B95" s="2992" t="s">
        <v>3844</v>
      </c>
      <c r="C95" s="2992" t="s">
        <v>3845</v>
      </c>
      <c r="D95" s="2993">
        <v>19.14</v>
      </c>
      <c r="E95" s="2993">
        <v>132.62</v>
      </c>
      <c r="F95" s="2993" t="s">
        <v>3841</v>
      </c>
    </row>
    <row r="96" spans="1:6" ht="14.25" thickBot="1">
      <c r="A96" s="2991">
        <v>95</v>
      </c>
      <c r="B96" s="2992" t="s">
        <v>3846</v>
      </c>
      <c r="C96" s="2992" t="s">
        <v>3847</v>
      </c>
      <c r="D96" s="2993">
        <v>66.680000000000007</v>
      </c>
      <c r="E96" s="2993">
        <v>462.03</v>
      </c>
      <c r="F96" s="2993" t="s">
        <v>3848</v>
      </c>
    </row>
    <row r="97" spans="1:6" ht="14.25" thickBot="1">
      <c r="A97" s="2991">
        <v>96</v>
      </c>
      <c r="B97" s="2992" t="s">
        <v>3849</v>
      </c>
      <c r="C97" s="2992" t="s">
        <v>3850</v>
      </c>
      <c r="D97" s="2993">
        <v>18.829999999999998</v>
      </c>
      <c r="E97" s="2993">
        <v>130.49</v>
      </c>
      <c r="F97" s="2993" t="s">
        <v>3848</v>
      </c>
    </row>
    <row r="98" spans="1:6" ht="14.25" thickBot="1">
      <c r="A98" s="2991">
        <v>97</v>
      </c>
      <c r="B98" s="2992" t="s">
        <v>3851</v>
      </c>
      <c r="C98" s="2992" t="s">
        <v>3852</v>
      </c>
      <c r="D98" s="2993">
        <v>44.97</v>
      </c>
      <c r="E98" s="2993">
        <v>311.61</v>
      </c>
      <c r="F98" s="2993" t="s">
        <v>3848</v>
      </c>
    </row>
    <row r="99" spans="1:6" ht="14.25" thickBot="1">
      <c r="A99" s="2991">
        <v>98</v>
      </c>
      <c r="B99" s="2992" t="s">
        <v>3853</v>
      </c>
      <c r="C99" s="2992" t="s">
        <v>3854</v>
      </c>
      <c r="D99" s="2993">
        <v>18.829999999999998</v>
      </c>
      <c r="E99" s="2993">
        <v>130.49</v>
      </c>
      <c r="F99" s="2993" t="s">
        <v>3848</v>
      </c>
    </row>
    <row r="100" spans="1:6" ht="14.25" thickBot="1">
      <c r="A100" s="2991">
        <v>99</v>
      </c>
      <c r="B100" s="2992" t="s">
        <v>3855</v>
      </c>
      <c r="C100" s="2992" t="s">
        <v>3856</v>
      </c>
      <c r="D100" s="2993">
        <v>82.13</v>
      </c>
      <c r="E100" s="2993">
        <v>569.14</v>
      </c>
      <c r="F100" s="2993" t="s">
        <v>3848</v>
      </c>
    </row>
    <row r="101" spans="1:6" ht="14.25" thickBot="1">
      <c r="A101" s="2991">
        <v>100</v>
      </c>
      <c r="B101" s="2992" t="s">
        <v>3857</v>
      </c>
      <c r="C101" s="2992" t="s">
        <v>3858</v>
      </c>
      <c r="D101" s="2993">
        <v>20.67</v>
      </c>
      <c r="E101" s="2993">
        <v>143.24</v>
      </c>
      <c r="F101" s="2993" t="s">
        <v>3848</v>
      </c>
    </row>
    <row r="102" spans="1:6" ht="14.25" thickBot="1">
      <c r="A102" s="2991">
        <v>101</v>
      </c>
      <c r="B102" s="2992" t="s">
        <v>3859</v>
      </c>
      <c r="C102" s="2992" t="s">
        <v>3860</v>
      </c>
      <c r="D102" s="2993">
        <v>73.900000000000006</v>
      </c>
      <c r="E102" s="2993">
        <v>512.11</v>
      </c>
      <c r="F102" s="2993" t="s">
        <v>3861</v>
      </c>
    </row>
    <row r="103" spans="1:6" ht="14.25" thickBot="1">
      <c r="A103" s="2991">
        <v>102</v>
      </c>
      <c r="B103" s="2992" t="s">
        <v>3862</v>
      </c>
      <c r="C103" s="2992" t="s">
        <v>3863</v>
      </c>
      <c r="D103" s="2993">
        <v>19.46</v>
      </c>
      <c r="E103" s="2993">
        <v>134.87</v>
      </c>
      <c r="F103" s="2993" t="s">
        <v>3861</v>
      </c>
    </row>
    <row r="104" spans="1:6" ht="14.25" thickBot="1">
      <c r="A104" s="2991">
        <v>103</v>
      </c>
      <c r="B104" s="2992" t="s">
        <v>3864</v>
      </c>
      <c r="C104" s="2992" t="s">
        <v>3865</v>
      </c>
      <c r="D104" s="2993">
        <v>19.46</v>
      </c>
      <c r="E104" s="2993">
        <v>134.87</v>
      </c>
      <c r="F104" s="2993" t="s">
        <v>3861</v>
      </c>
    </row>
    <row r="105" spans="1:6" ht="14.25" thickBot="1">
      <c r="A105" s="2991">
        <v>104</v>
      </c>
      <c r="B105" s="2992" t="s">
        <v>3866</v>
      </c>
      <c r="C105" s="2992" t="s">
        <v>3867</v>
      </c>
      <c r="D105" s="2993">
        <v>73.900000000000006</v>
      </c>
      <c r="E105" s="2993">
        <v>512.11</v>
      </c>
      <c r="F105" s="2993" t="s">
        <v>3861</v>
      </c>
    </row>
    <row r="106" spans="1:6" ht="14.25" thickBot="1">
      <c r="A106" s="2991">
        <v>105</v>
      </c>
      <c r="B106" s="2992" t="s">
        <v>3868</v>
      </c>
      <c r="C106" s="2992" t="s">
        <v>3869</v>
      </c>
      <c r="D106" s="2993">
        <f>21.02-0.04</f>
        <v>20.98</v>
      </c>
      <c r="E106" s="2993">
        <v>145.69</v>
      </c>
      <c r="F106" s="2993" t="s">
        <v>3861</v>
      </c>
    </row>
    <row r="107" spans="1:6" ht="14.25" thickBot="1">
      <c r="A107" s="3098" t="s">
        <v>37</v>
      </c>
      <c r="B107" s="3099"/>
      <c r="C107" s="3100"/>
      <c r="D107">
        <f>SUM(D2:D106)</f>
        <v>10471.889999999985</v>
      </c>
      <c r="E107" s="2993">
        <f>SUM(E2:E106)</f>
        <v>72564.650000000052</v>
      </c>
      <c r="F107" s="2992" t="s">
        <v>70</v>
      </c>
    </row>
  </sheetData>
  <mergeCells count="1">
    <mergeCell ref="A107:C10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110" t="s">
        <v>1940</v>
      </c>
      <c r="B2" s="3110"/>
      <c r="C2" s="3110"/>
      <c r="D2" s="970" t="s">
        <v>1916</v>
      </c>
      <c r="E2" s="2229" t="s">
        <v>1917</v>
      </c>
      <c r="F2" s="1395"/>
      <c r="G2" s="2230"/>
      <c r="H2" s="2231"/>
      <c r="I2" s="2232" t="s">
        <v>1941</v>
      </c>
      <c r="J2" s="1395"/>
      <c r="K2" s="1395"/>
      <c r="L2" s="1395"/>
      <c r="M2" s="1395"/>
      <c r="N2" s="1430"/>
      <c r="O2" s="1395"/>
      <c r="P2" s="1395"/>
    </row>
    <row r="3" spans="1:16" ht="15.75" thickBot="1">
      <c r="A3" s="3111" t="s">
        <v>1914</v>
      </c>
      <c r="B3" s="3111"/>
      <c r="C3" s="3111"/>
      <c r="D3" s="46">
        <f>'数据-基础表'!AY6</f>
        <v>10471.89</v>
      </c>
      <c r="E3" s="46">
        <f>'数据-基础表'!AZ5</f>
        <v>72564.650000000038</v>
      </c>
      <c r="F3" s="1395"/>
      <c r="G3" s="1402"/>
      <c r="H3" s="1250" t="s">
        <v>1915</v>
      </c>
      <c r="I3" s="55">
        <f>ROUND('数据-基础表'!B3/'数据-基础表'!A3,2)</f>
        <v>6.93</v>
      </c>
      <c r="J3" s="1395"/>
      <c r="K3" s="1395"/>
      <c r="L3" s="1395"/>
      <c r="M3" s="1395"/>
      <c r="N3" s="1430"/>
      <c r="O3" s="1395"/>
      <c r="P3" s="1395"/>
    </row>
    <row r="4" spans="1:16" ht="15">
      <c r="A4" s="3112"/>
      <c r="B4" s="3113"/>
      <c r="C4" s="3114"/>
      <c r="D4" s="2233" t="s">
        <v>1916</v>
      </c>
      <c r="E4" s="2234" t="s">
        <v>1917</v>
      </c>
      <c r="F4" s="1395"/>
      <c r="G4" s="2235" t="s">
        <v>1942</v>
      </c>
      <c r="H4" s="1250" t="s">
        <v>1922</v>
      </c>
      <c r="I4" s="55">
        <f>ROUND(SUMIF('数据-基础表'!I9:AS9,"地上",'数据-基础表'!I5:AS5)/'数据-基础表'!A3,2)</f>
        <v>5.49</v>
      </c>
      <c r="J4" s="1395"/>
      <c r="K4" s="1395"/>
      <c r="L4" s="1395"/>
      <c r="M4" s="1395"/>
      <c r="N4" s="1430"/>
      <c r="O4" s="1395"/>
      <c r="P4" s="1395"/>
    </row>
    <row r="5" spans="1:16">
      <c r="A5" s="47" t="s">
        <v>1918</v>
      </c>
      <c r="B5" s="3115" t="s">
        <v>1919</v>
      </c>
      <c r="C5" s="3115"/>
      <c r="D5" s="48">
        <f>ROUND($D$3*E5/$E$3,2)</f>
        <v>0</v>
      </c>
      <c r="E5" s="49">
        <f>SUMIF('数据-基础表'!$11:$11,"住宅",'数据-基础表'!$5:$5)</f>
        <v>0</v>
      </c>
      <c r="F5" s="1395"/>
      <c r="G5" s="1402"/>
      <c r="H5" s="1250" t="s">
        <v>1915</v>
      </c>
      <c r="I5" s="55">
        <f>ROUND(E31/D31,2)</f>
        <v>6.93</v>
      </c>
      <c r="J5" s="1395"/>
      <c r="K5" s="1395"/>
      <c r="L5" s="1395"/>
      <c r="M5" s="1395"/>
      <c r="N5" s="1395"/>
      <c r="O5" s="1395"/>
      <c r="P5" s="1395"/>
    </row>
    <row r="6" spans="1:16" ht="15" thickBot="1">
      <c r="A6" s="2236"/>
      <c r="B6" s="3115" t="s">
        <v>1920</v>
      </c>
      <c r="C6" s="3115"/>
      <c r="D6" s="48">
        <f>ROUND($D$3*E6/$E$3,2)</f>
        <v>10471.89</v>
      </c>
      <c r="E6" s="49">
        <f>E3-E5</f>
        <v>72564.650000000038</v>
      </c>
      <c r="F6" s="1395"/>
      <c r="G6" s="2237" t="s">
        <v>1921</v>
      </c>
      <c r="H6" s="1402" t="s">
        <v>1922</v>
      </c>
      <c r="I6" s="942">
        <f>ROUND(F31/D31,2)</f>
        <v>5.48</v>
      </c>
      <c r="J6" s="1395"/>
      <c r="K6" s="1395"/>
      <c r="L6" s="1395"/>
      <c r="M6" s="1395"/>
      <c r="N6" s="1395"/>
      <c r="O6" s="1395"/>
      <c r="P6" s="1395"/>
    </row>
    <row r="7" spans="1:16" ht="15">
      <c r="A7" s="3107"/>
      <c r="B7" s="3108"/>
      <c r="C7" s="3109"/>
      <c r="D7" s="2233" t="s">
        <v>1916</v>
      </c>
      <c r="E7" s="2238" t="s">
        <v>1923</v>
      </c>
      <c r="F7" s="1395"/>
      <c r="G7" s="2230" t="s">
        <v>1924</v>
      </c>
      <c r="H7" s="64"/>
      <c r="I7" s="420"/>
      <c r="J7" s="1395"/>
      <c r="K7" s="1395"/>
      <c r="L7" s="1395"/>
      <c r="M7" s="1395"/>
      <c r="N7" s="1395"/>
      <c r="O7" s="1395"/>
      <c r="P7" s="1395"/>
    </row>
    <row r="8" spans="1:16">
      <c r="A8" s="47" t="s">
        <v>1925</v>
      </c>
      <c r="B8" s="50" t="s">
        <v>1926</v>
      </c>
      <c r="C8" s="48" t="s">
        <v>1927</v>
      </c>
      <c r="D8" s="48">
        <f t="shared" ref="D8:D15" si="0">ROUND($D$3*E8/$E$3,2)</f>
        <v>8274.7199999999993</v>
      </c>
      <c r="E8" s="51">
        <f>SUMIF('数据-基础表'!BB10:BK10,"地上",'数据-基础表'!BB5:BK5)</f>
        <v>57339.44000000001</v>
      </c>
      <c r="F8" s="1395"/>
      <c r="G8" s="2239"/>
      <c r="H8" s="2239"/>
      <c r="I8" s="1395"/>
      <c r="J8" s="1395"/>
      <c r="K8" s="1395"/>
      <c r="L8" s="1395"/>
      <c r="M8" s="1395"/>
      <c r="N8" s="1395"/>
      <c r="O8" s="1395"/>
      <c r="P8" s="1395"/>
    </row>
    <row r="9" spans="1:16">
      <c r="A9" s="2240"/>
      <c r="B9" s="2241"/>
      <c r="C9" s="48" t="s">
        <v>1928</v>
      </c>
      <c r="D9" s="48">
        <f t="shared" si="0"/>
        <v>0</v>
      </c>
      <c r="E9" s="52">
        <v>0</v>
      </c>
      <c r="F9" s="1395"/>
      <c r="G9" s="2239"/>
      <c r="H9" s="2239"/>
      <c r="I9" s="1395"/>
      <c r="J9" s="1395"/>
      <c r="K9" s="1395"/>
      <c r="L9" s="1395"/>
      <c r="M9" s="1395"/>
      <c r="N9" s="1395"/>
      <c r="O9" s="1395"/>
      <c r="P9" s="1395"/>
    </row>
    <row r="10" spans="1:16">
      <c r="A10" s="2240"/>
      <c r="B10" s="2241"/>
      <c r="C10" s="48" t="s">
        <v>1937</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1943</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si="0"/>
        <v>2197.17</v>
      </c>
      <c r="E15" s="51">
        <f>SUMPRODUCT(('数据-基础表'!BB10:BK10="地下")*('数据-基础表'!BB11:BK11="车库—办公")*('数据-基础表'!BB5:BK5))</f>
        <v>15225.21</v>
      </c>
      <c r="F15" s="1395"/>
      <c r="G15" s="2239"/>
      <c r="H15" s="2239"/>
      <c r="I15" s="1395"/>
      <c r="J15" s="1395"/>
      <c r="K15" s="1395"/>
      <c r="L15" s="1395"/>
      <c r="M15" s="1395"/>
      <c r="N15" s="1395"/>
      <c r="O15" s="1395"/>
      <c r="P15" s="1395"/>
    </row>
    <row r="16" spans="1:16" ht="15.75" thickBot="1">
      <c r="A16" s="2236"/>
      <c r="B16" s="2241"/>
      <c r="C16" s="50" t="s">
        <v>1932</v>
      </c>
      <c r="D16" s="50">
        <f>SUM(D8:D15)</f>
        <v>10471.89</v>
      </c>
      <c r="E16" s="53">
        <f>SUM(E8:E15)</f>
        <v>72564.650000000009</v>
      </c>
      <c r="F16" s="1395"/>
      <c r="G16" s="2239"/>
      <c r="H16" s="2242" t="s">
        <v>1944</v>
      </c>
      <c r="I16" s="2243"/>
      <c r="J16" s="1395"/>
      <c r="K16" s="3104" t="s">
        <v>1944</v>
      </c>
      <c r="L16" s="3105"/>
      <c r="M16" s="3105"/>
      <c r="N16" s="3105"/>
      <c r="O16" s="3105"/>
      <c r="P16" s="3106"/>
    </row>
    <row r="17" spans="1:19" ht="15">
      <c r="A17" s="2244" t="s">
        <v>1945</v>
      </c>
      <c r="B17" s="2245" t="s">
        <v>1946</v>
      </c>
      <c r="C17" s="2246" t="s">
        <v>1947</v>
      </c>
      <c r="D17" s="2247" t="s">
        <v>1935</v>
      </c>
      <c r="E17" s="2248" t="s">
        <v>1936</v>
      </c>
      <c r="F17" s="2249"/>
      <c r="G17" s="2250"/>
      <c r="H17" s="2251" t="s">
        <v>1948</v>
      </c>
      <c r="I17" s="2252" t="s">
        <v>1933</v>
      </c>
      <c r="J17" s="1395"/>
      <c r="K17" s="3101" t="s">
        <v>1949</v>
      </c>
      <c r="L17" s="3102"/>
      <c r="M17" s="3103"/>
      <c r="N17" s="3101" t="s">
        <v>1950</v>
      </c>
      <c r="O17" s="3102"/>
      <c r="P17" s="3103"/>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66" t="s">
        <v>3467</v>
      </c>
      <c r="D19" s="48">
        <f>ROUND($D$3*E19/$E$3,2)</f>
        <v>8274.7199999999993</v>
      </c>
      <c r="E19" s="56">
        <f t="shared" ref="E19:E26" si="1">SUM(F19:G19)</f>
        <v>57339.44000000001</v>
      </c>
      <c r="F19" s="57">
        <f>'数据-基础表'!I5-'数据-基础表'!I77</f>
        <v>57339.44000000001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8274.7199999999993</v>
      </c>
      <c r="S19" s="1251">
        <f t="shared" si="5"/>
        <v>57339.44000000001</v>
      </c>
    </row>
    <row r="20" spans="1:19">
      <c r="A20" s="2265"/>
      <c r="B20" s="50" t="s">
        <v>1962</v>
      </c>
      <c r="C20" s="2966" t="s">
        <v>3650</v>
      </c>
      <c r="D20" s="48">
        <f t="shared" ref="D20:D26" si="6">ROUND($D$3*E20/$E$3,2)</f>
        <v>2197.17</v>
      </c>
      <c r="E20" s="56">
        <f t="shared" si="1"/>
        <v>15225.21</v>
      </c>
      <c r="F20" s="57"/>
      <c r="G20" s="58">
        <v>15225.21</v>
      </c>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2197.17</v>
      </c>
      <c r="S20" s="1251">
        <f t="shared" si="5"/>
        <v>15225.21</v>
      </c>
    </row>
    <row r="21" spans="1:19">
      <c r="A21" s="2265"/>
      <c r="B21" s="50" t="s">
        <v>1962</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10471.89</v>
      </c>
      <c r="E27" s="1397">
        <f>IF(SUM(E19:E26)='数据-基础表'!BA5,SUM(E19:E26),IF(F27="地上面积有误","面积有误","地下面积有误"))</f>
        <v>72564.650000000009</v>
      </c>
      <c r="F27" s="1396">
        <f>IF(SUM(F19:F26)=E8,SUM(F19:F26),"地上面积有误")</f>
        <v>57339.44000000001</v>
      </c>
      <c r="G27" s="1398">
        <f>SUM(G19:G26)</f>
        <v>15225.21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10471.89</v>
      </c>
      <c r="S27" s="1250">
        <f>IF(SUM(S19:S26)=$E$3,SUM(S19:S26),SUM(S19:S26)&amp;"误差"&amp;ROUND(SUM(S19:S26)-E3,2))</f>
        <v>72564.650000000009</v>
      </c>
    </row>
    <row r="28" spans="1:19">
      <c r="A28" s="2265"/>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1967</v>
      </c>
      <c r="D31" s="729">
        <f>D27+D30</f>
        <v>10471.89</v>
      </c>
      <c r="E31" s="729">
        <f>E27+E30</f>
        <v>72564.650000000009</v>
      </c>
      <c r="F31" s="730">
        <f>F27+F30</f>
        <v>57339.44000000001</v>
      </c>
      <c r="G31" s="731">
        <f>G27+G30</f>
        <v>15225.21</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D24" sqref="D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3456</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办公用房</v>
      </c>
      <c r="B6" s="2309" t="str">
        <f>IF(A6=0,"","经营性")</f>
        <v>经营性</v>
      </c>
      <c r="C6" s="2310" t="s">
        <v>1377</v>
      </c>
      <c r="D6" s="1054">
        <f>SUMIF(项目基本情况!D$12:I$12,C6,项目基本情况!D$14:I$14)</f>
        <v>40</v>
      </c>
      <c r="E6" s="1051">
        <f>IF(B6="","",SUMIF(项目基本情况!D$12:I$12,C6,项目基本情况!D$13:I$13))</f>
        <v>55026</v>
      </c>
      <c r="F6" s="72">
        <f>SUMIF(项目基本情况!D$12:I$12,C6,项目基本情况!D$15:I$15)</f>
        <v>32.130000000000003</v>
      </c>
      <c r="G6" s="73">
        <f>IF(ISERROR(ROUND(POWER(1+H6,D6-F6)*(POWER(1+H6,F6)-1)/(POWER(1+H6,D6)-1),3)),0,ROUND(POWER(1+H6,D6-F6)*(POWER(1+H6,F6)-1)/(POWER(1+H6,D6)-1),3))</f>
        <v>0.92200000000000004</v>
      </c>
      <c r="H6" s="802">
        <v>0.05</v>
      </c>
      <c r="I6" s="802">
        <v>5.5E-2</v>
      </c>
      <c r="J6" s="74">
        <v>8.5000000000000006E-2</v>
      </c>
      <c r="K6" s="1254">
        <f>SUMIF('数据-汇总表'!C$19:C$33,A6,'数据-汇总表'!E$19:E$33)</f>
        <v>57339.44000000001</v>
      </c>
      <c r="L6" s="803">
        <v>3500</v>
      </c>
      <c r="M6" s="75">
        <f t="shared" ref="M6:M14" si="0">ROUND(K6*L6/10000,0)</f>
        <v>20069</v>
      </c>
      <c r="N6" s="801">
        <f>N20</f>
        <v>0.91</v>
      </c>
      <c r="O6" s="75" t="str">
        <f>IF($N$5="成新度","——",ROUND(M6*N6,0))</f>
        <v>——</v>
      </c>
      <c r="P6" s="76" t="str">
        <f>IF($N$5="成新度","——",M6-O6)</f>
        <v>——</v>
      </c>
      <c r="Q6" s="804">
        <v>0.1</v>
      </c>
      <c r="R6" s="77">
        <f ca="1">SUMIF('数据-汇总表'!C$19:C$33,A6,'数据-汇总表'!R$19:R$27)</f>
        <v>8274.7199999999993</v>
      </c>
      <c r="S6" s="54">
        <f>IF('数据-汇总表'!$I$17="按面积比例",SUMIF('数据-汇总表'!C$19:C$33,A6,'数据-汇总表'!K$19:K$33),SUMIF('数据-汇总表'!C$19:C$33,A6,'数据-汇总表'!N$19:N$33))</f>
        <v>0</v>
      </c>
      <c r="T6" s="1446">
        <f>ROUND($L$14*S6/10000,0)</f>
        <v>0</v>
      </c>
      <c r="U6" s="78">
        <v>1.2</v>
      </c>
      <c r="V6" s="79">
        <v>0.03</v>
      </c>
      <c r="W6" s="79">
        <v>0.1</v>
      </c>
      <c r="X6" s="1264"/>
      <c r="Y6" s="80">
        <f>N6</f>
        <v>0.91</v>
      </c>
      <c r="Z6" s="81"/>
      <c r="AA6" s="74"/>
      <c r="AB6" s="74"/>
      <c r="AC6" s="1264"/>
      <c r="AD6" s="82"/>
      <c r="AE6" s="1265">
        <f ca="1">IF(AN6="",0,SUMIF(INDIRECT("'"&amp;AN6&amp;"'"&amp;"!E:E"),$AE$5,INDIRECT("'"&amp;AN6&amp;"'"&amp;"!F:F")))</f>
        <v>32.130000000000003</v>
      </c>
      <c r="AF6" s="1807"/>
      <c r="AG6" s="147">
        <f>IF(AF6="",0,AE6-AF6)</f>
        <v>0</v>
      </c>
      <c r="AH6" s="83"/>
      <c r="AI6" s="85">
        <v>365</v>
      </c>
      <c r="AJ6" s="86"/>
      <c r="AK6" s="87">
        <v>1.4999999999999999E-2</v>
      </c>
      <c r="AL6" s="88">
        <v>1.5E-3</v>
      </c>
      <c r="AM6" s="89">
        <v>0.01</v>
      </c>
      <c r="AN6" s="2311" t="s">
        <v>3457</v>
      </c>
      <c r="AO6" s="55">
        <f ca="1">SUMIF(INDIRECT("'"&amp;AN6&amp;"'"&amp;"!A:A"),"总价",INDIRECT("'"&amp;AN6&amp;"'"&amp;"!B:B"))</f>
        <v>30367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1377</v>
      </c>
      <c r="D7" s="1054">
        <f>SUMIF(项目基本情况!D$12:I$12,C7,项目基本情况!D$14:I$14)</f>
        <v>40</v>
      </c>
      <c r="E7" s="1051">
        <f>IF(B7="","",SUMIF(项目基本情况!D$12:I$12,C7,项目基本情况!D$13:I$13))</f>
        <v>55026</v>
      </c>
      <c r="F7" s="72">
        <f>SUMIF(项目基本情况!D$12:I$12,C7,项目基本情况!D$15:I$15)</f>
        <v>32.130000000000003</v>
      </c>
      <c r="G7" s="73">
        <f t="shared" ref="G7:G11" si="2">IF(ISERROR(ROUND(POWER(1+H7,D7-F7)*(POWER(1+H7,F7)-1)/(POWER(1+H7,D7)-1),3)),0,ROUND(POWER(1+H7,D7-F7)*(POWER(1+H7,F7)-1)/(POWER(1+H7,D7)-1),3))</f>
        <v>0.92200000000000004</v>
      </c>
      <c r="H7" s="802">
        <v>0.05</v>
      </c>
      <c r="I7" s="802">
        <v>5.5E-2</v>
      </c>
      <c r="J7" s="74">
        <v>8.5000000000000006E-2</v>
      </c>
      <c r="K7" s="1254">
        <f>SUMIF('数据-汇总表'!C$19:C$33,A7,'数据-汇总表'!E$19:E$33)</f>
        <v>15225.21</v>
      </c>
      <c r="L7" s="803">
        <v>2500</v>
      </c>
      <c r="M7" s="75">
        <f t="shared" si="0"/>
        <v>3806</v>
      </c>
      <c r="N7" s="801">
        <f>N6</f>
        <v>0.91</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6">
        <f t="shared" ref="T7:T13" si="5">ROUND($L$14*S7/10000,0)</f>
        <v>0</v>
      </c>
      <c r="U7" s="78">
        <v>0.6</v>
      </c>
      <c r="V7" s="79">
        <v>1.4999999999999999E-2</v>
      </c>
      <c r="W7" s="79">
        <v>0.05</v>
      </c>
      <c r="X7" s="1264"/>
      <c r="Y7" s="80">
        <f>Y6</f>
        <v>0.91</v>
      </c>
      <c r="Z7" s="81"/>
      <c r="AA7" s="74"/>
      <c r="AB7" s="74"/>
      <c r="AC7" s="1264"/>
      <c r="AD7" s="82"/>
      <c r="AE7" s="1265">
        <f t="shared" ref="AE7:AE13" ca="1" si="6">IF(AN7="",0,SUMIF(INDIRECT("'"&amp;AN7&amp;"'"&amp;"!E:E"),$AE$5,INDIRECT("'"&amp;AN7&amp;"'"&amp;"!F:F")))</f>
        <v>32.130000000000003</v>
      </c>
      <c r="AF7" s="1807"/>
      <c r="AG7" s="147">
        <f t="shared" ref="AG7:AG13" si="7">IF(AF7="",0,AE7-AF7)</f>
        <v>0</v>
      </c>
      <c r="AH7" s="83"/>
      <c r="AI7" s="85">
        <v>365</v>
      </c>
      <c r="AJ7" s="86"/>
      <c r="AK7" s="87">
        <v>1.4999999999999999E-2</v>
      </c>
      <c r="AL7" s="88">
        <v>1.5E-3</v>
      </c>
      <c r="AM7" s="89">
        <v>0.01</v>
      </c>
      <c r="AN7" s="2311" t="s">
        <v>3472</v>
      </c>
      <c r="AO7" s="55">
        <f t="shared" ref="AO7:AO13" ca="1" si="8">SUMIF(INDIRECT("'"&amp;AN7&amp;"'"&amp;"!A:A"),"总价",INDIRECT("'"&amp;AN7&amp;"'"&amp;"!B:B"))</f>
        <v>3223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0.92200000000000004</v>
      </c>
      <c r="H16" s="99">
        <f>ROUND(SUMPRODUCT(H6:H13,K6:K13)/SUMPRODUCT((H6:H13&gt;0)*(K6:K13)),3)</f>
        <v>0.05</v>
      </c>
      <c r="I16" s="100"/>
      <c r="J16" s="100"/>
      <c r="K16" s="101">
        <f>SUM(K6:K15)</f>
        <v>72564.650000000009</v>
      </c>
      <c r="L16" s="102">
        <f>ROUND(M16*10000/SUM(K6:K14),0)</f>
        <v>3290</v>
      </c>
      <c r="M16" s="102">
        <f>SUM(M6:M14)</f>
        <v>23875</v>
      </c>
      <c r="N16" s="103">
        <f>ROUND(SUMPRODUCT(M6:M14,N6:N14)/M16,3)</f>
        <v>0.91</v>
      </c>
      <c r="O16" s="102">
        <f>SUM(O6:O14)</f>
        <v>0</v>
      </c>
      <c r="P16" s="102">
        <f>SUM(P6:P14)</f>
        <v>0</v>
      </c>
      <c r="Q16" s="104">
        <f>ROUND(SUMPRODUCT(Q6:Q13,K6:K13)/SUMPRODUCT((Q6:Q13&gt;0)*(K6:K13)),2)</f>
        <v>0.09</v>
      </c>
      <c r="R16" s="1258">
        <f ca="1">SUM(R6:R13)</f>
        <v>10471.89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2967">
        <v>0.87</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2967">
        <v>0.95</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f>ROUND(N18*0.5+N19*0.5,2)</f>
        <v>0.91</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105</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105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762</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0.05</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0.03</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523</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v>4</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16" t="s">
        <v>2085</v>
      </c>
      <c r="B1" s="3117"/>
      <c r="C1" s="3117"/>
      <c r="D1" s="3117"/>
      <c r="E1" s="3117"/>
      <c r="F1" s="3117"/>
      <c r="G1" s="311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72564.650000000038</v>
      </c>
      <c r="C1" s="1745"/>
      <c r="D1" s="1745"/>
      <c r="E1" s="1745"/>
      <c r="F1" s="1745"/>
      <c r="G1" s="1743"/>
    </row>
    <row r="2" spans="1:10" ht="16.5">
      <c r="A2" s="1746" t="s">
        <v>1353</v>
      </c>
      <c r="B2" s="1746">
        <f>SUM(C14:C23)</f>
        <v>10471.89</v>
      </c>
      <c r="C2" s="1745"/>
      <c r="D2" s="1745"/>
      <c r="E2" s="1745"/>
      <c r="F2" s="1745"/>
      <c r="G2" s="1743"/>
    </row>
    <row r="3" spans="1:10" ht="16.5">
      <c r="A3" s="1746" t="s">
        <v>1362</v>
      </c>
      <c r="B3" s="1747">
        <f>项目基本情况!D3</f>
        <v>43296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45737</v>
      </c>
      <c r="C5" s="1746">
        <f ca="1">ROUND(B5*10000/$B$1,0)</f>
        <v>6303</v>
      </c>
      <c r="D5" s="1746">
        <f ca="1">ROUND(B5*10000/$B$2,0)</f>
        <v>43676</v>
      </c>
      <c r="E5" s="1745"/>
      <c r="F5" s="1743"/>
      <c r="G5" s="1743"/>
    </row>
    <row r="6" spans="1:10" ht="16.5">
      <c r="A6" s="1746" t="s">
        <v>1356</v>
      </c>
      <c r="B6" s="1746">
        <f ca="1">SUM(G14:G23)</f>
        <v>45737</v>
      </c>
      <c r="C6" s="1746">
        <f ca="1">ROUND(B6*10000/$B$1,0)</f>
        <v>6303</v>
      </c>
      <c r="D6" s="1746">
        <f ca="1">ROUND(B6*10000/$B$2,0)</f>
        <v>43676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72564.650000000038</v>
      </c>
      <c r="C14" s="1744">
        <f>结果表!C118</f>
        <v>10471.89</v>
      </c>
      <c r="D14" s="1744">
        <f ca="1">结果表!H118</f>
        <v>45737</v>
      </c>
      <c r="E14" s="1744">
        <f ca="1">ROUND(D14*10000/B14,0)</f>
        <v>6303</v>
      </c>
      <c r="F14" s="1744">
        <f ca="1">ROUND(D14*10000/C14,0)</f>
        <v>43676</v>
      </c>
      <c r="G14" s="1744">
        <f ca="1">结果表!D122</f>
        <v>45737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9" sqref="C19:D2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2122</v>
      </c>
      <c r="B1" s="2421"/>
      <c r="C1" s="2422"/>
      <c r="D1" s="2421"/>
      <c r="E1" s="2421"/>
      <c r="F1" s="2423" t="s">
        <v>2123</v>
      </c>
      <c r="G1" s="2073" t="s">
        <v>3454</v>
      </c>
      <c r="H1" s="2424" t="str">
        <f>IF(G1="现房","——","估价对象范围")</f>
        <v>——</v>
      </c>
      <c r="I1" s="2425"/>
    </row>
    <row r="2" spans="1:12" ht="21.75" customHeight="1" thickBot="1">
      <c r="A2" s="3151" t="str">
        <f>项目基本情况!S2</f>
        <v>北京市房地产</v>
      </c>
      <c r="B2" s="3152"/>
      <c r="C2" s="3152"/>
      <c r="D2" s="3152"/>
      <c r="E2" s="3152"/>
      <c r="F2" s="3152"/>
      <c r="G2" s="3152"/>
      <c r="H2" s="3152"/>
      <c r="I2" s="3153"/>
    </row>
    <row r="3" spans="1:12" ht="12.75">
      <c r="A3" s="3155" t="s">
        <v>2124</v>
      </c>
      <c r="B3" s="3156"/>
      <c r="C3" s="3156"/>
      <c r="D3" s="3156"/>
      <c r="E3" s="3156"/>
      <c r="F3" s="3156"/>
      <c r="G3" s="3156"/>
      <c r="H3" s="3156"/>
      <c r="I3" s="3156"/>
    </row>
    <row r="4" spans="1:12" ht="14.25">
      <c r="A4" s="2428" t="s">
        <v>2125</v>
      </c>
      <c r="B4" s="2429" t="s">
        <v>2126</v>
      </c>
      <c r="C4" s="2430" t="s">
        <v>3476</v>
      </c>
      <c r="D4" s="2430" t="s">
        <v>3514</v>
      </c>
      <c r="E4" s="3148" t="s">
        <v>2127</v>
      </c>
      <c r="F4" s="3149"/>
      <c r="G4" s="3149"/>
      <c r="H4" s="3149"/>
      <c r="I4" s="315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31" t="s">
        <v>2128</v>
      </c>
      <c r="B5" s="3066">
        <v>25</v>
      </c>
      <c r="C5" s="3134"/>
      <c r="D5" s="3154"/>
      <c r="E5" s="140" t="s">
        <v>2129</v>
      </c>
      <c r="F5" s="2432"/>
      <c r="G5" s="2432"/>
      <c r="H5" s="2432"/>
      <c r="I5" s="1834"/>
    </row>
    <row r="6" spans="1:12" ht="12.75">
      <c r="A6" s="3131"/>
      <c r="B6" s="3066"/>
      <c r="C6" s="3135"/>
      <c r="D6" s="3154"/>
      <c r="E6" s="140" t="s">
        <v>2130</v>
      </c>
      <c r="F6" s="2432"/>
      <c r="G6" s="2432"/>
      <c r="H6" s="2432"/>
      <c r="I6" s="1834"/>
    </row>
    <row r="7" spans="1:12" ht="12.75">
      <c r="A7" s="3131"/>
      <c r="B7" s="3066"/>
      <c r="C7" s="3136"/>
      <c r="D7" s="3154"/>
      <c r="E7" s="140" t="s">
        <v>2131</v>
      </c>
      <c r="F7" s="2432"/>
      <c r="G7" s="2432"/>
      <c r="H7" s="2432"/>
      <c r="I7" s="1834"/>
    </row>
    <row r="8" spans="1:12" ht="12.75">
      <c r="A8" s="3131" t="s">
        <v>2132</v>
      </c>
      <c r="B8" s="3066">
        <v>15</v>
      </c>
      <c r="C8" s="3134"/>
      <c r="D8" s="3154"/>
      <c r="E8" s="140" t="s">
        <v>2133</v>
      </c>
      <c r="F8" s="2432"/>
      <c r="G8" s="2432"/>
      <c r="H8" s="2432"/>
      <c r="I8" s="1834"/>
    </row>
    <row r="9" spans="1:12" ht="12.75">
      <c r="A9" s="3131"/>
      <c r="B9" s="3066"/>
      <c r="C9" s="3136"/>
      <c r="D9" s="3154"/>
      <c r="E9" s="140" t="s">
        <v>2134</v>
      </c>
      <c r="F9" s="2432"/>
      <c r="G9" s="2432"/>
      <c r="H9" s="2432"/>
      <c r="I9" s="1834"/>
    </row>
    <row r="10" spans="1:12" ht="12.75">
      <c r="A10" s="3131" t="s">
        <v>2135</v>
      </c>
      <c r="B10" s="3066">
        <v>15</v>
      </c>
      <c r="C10" s="3134"/>
      <c r="D10" s="3154"/>
      <c r="E10" s="140" t="s">
        <v>2136</v>
      </c>
      <c r="F10" s="2432"/>
      <c r="G10" s="2432"/>
      <c r="H10" s="2432"/>
      <c r="I10" s="1834"/>
    </row>
    <row r="11" spans="1:12" ht="12.75">
      <c r="A11" s="3131"/>
      <c r="B11" s="3066"/>
      <c r="C11" s="3136"/>
      <c r="D11" s="3154"/>
      <c r="E11" s="140" t="s">
        <v>2137</v>
      </c>
      <c r="F11" s="2432"/>
      <c r="G11" s="2432"/>
      <c r="H11" s="2432"/>
      <c r="I11" s="1834"/>
    </row>
    <row r="12" spans="1:12" ht="12.75">
      <c r="A12" s="3131" t="s">
        <v>2138</v>
      </c>
      <c r="B12" s="3066">
        <v>15</v>
      </c>
      <c r="C12" s="3134"/>
      <c r="D12" s="3154"/>
      <c r="E12" s="140" t="s">
        <v>2139</v>
      </c>
      <c r="F12" s="2432"/>
      <c r="G12" s="2432"/>
      <c r="H12" s="2432"/>
      <c r="I12" s="1834"/>
    </row>
    <row r="13" spans="1:12" ht="12.75">
      <c r="A13" s="3131"/>
      <c r="B13" s="3066"/>
      <c r="C13" s="3136"/>
      <c r="D13" s="3154"/>
      <c r="E13" s="140" t="s">
        <v>2140</v>
      </c>
      <c r="F13" s="2432"/>
      <c r="G13" s="2432"/>
      <c r="H13" s="2432"/>
      <c r="I13" s="1834"/>
    </row>
    <row r="14" spans="1:12" ht="12.75">
      <c r="A14" s="3131" t="s">
        <v>2141</v>
      </c>
      <c r="B14" s="3066">
        <v>30</v>
      </c>
      <c r="C14" s="3134">
        <v>0.6</v>
      </c>
      <c r="D14" s="3154">
        <f>1-C14</f>
        <v>0.4</v>
      </c>
      <c r="E14" s="140" t="s">
        <v>2142</v>
      </c>
      <c r="F14" s="2432"/>
      <c r="G14" s="2432"/>
      <c r="H14" s="2432"/>
      <c r="I14" s="1834"/>
    </row>
    <row r="15" spans="1:12" ht="12.75">
      <c r="A15" s="3131"/>
      <c r="B15" s="3066"/>
      <c r="C15" s="3135"/>
      <c r="D15" s="3154"/>
      <c r="E15" s="140" t="s">
        <v>2143</v>
      </c>
      <c r="F15" s="2432"/>
      <c r="G15" s="2432"/>
      <c r="H15" s="2432"/>
      <c r="I15" s="1834"/>
    </row>
    <row r="16" spans="1:12" ht="12.75">
      <c r="A16" s="3131"/>
      <c r="B16" s="3066"/>
      <c r="C16" s="3136"/>
      <c r="D16" s="3154"/>
      <c r="E16" s="140" t="s">
        <v>2144</v>
      </c>
      <c r="F16" s="2432"/>
      <c r="G16" s="2432"/>
      <c r="H16" s="2432"/>
      <c r="I16" s="1834"/>
    </row>
    <row r="17" spans="1:35" ht="15">
      <c r="A17" s="2433" t="s">
        <v>2145</v>
      </c>
      <c r="B17" s="64"/>
      <c r="C17" s="141">
        <f>SUM(C5:C16)</f>
        <v>0.6</v>
      </c>
      <c r="D17" s="141">
        <f>SUM(D5:D16)</f>
        <v>0.4</v>
      </c>
      <c r="E17" s="138"/>
      <c r="F17" s="138"/>
      <c r="G17" s="138"/>
      <c r="H17" s="138"/>
      <c r="I17" s="138"/>
      <c r="K17" s="2431"/>
      <c r="L17" s="2434" t="s">
        <v>2146</v>
      </c>
      <c r="M17" s="2434" t="s">
        <v>2147</v>
      </c>
    </row>
    <row r="18" spans="1:35" ht="15.75" thickBot="1">
      <c r="A18" s="2435" t="s">
        <v>2148</v>
      </c>
      <c r="B18" s="2436"/>
      <c r="C18" s="142">
        <f>ROUND(C17/SUM(C17:D17),2)</f>
        <v>0.6</v>
      </c>
      <c r="D18" s="142">
        <f>1-C18</f>
        <v>0.4</v>
      </c>
      <c r="E18" s="138"/>
      <c r="F18" s="138"/>
      <c r="G18" s="138"/>
      <c r="H18" s="138"/>
      <c r="I18" s="138"/>
      <c r="K18" s="2431" t="s">
        <v>2149</v>
      </c>
      <c r="L18" s="2431">
        <f>IF(C1="",'数据-汇总表'!E3,SUMIF(项目类型,C1,'数据-汇总表'!E17:E26)+SUMIF(项目类型,C1,'数据-汇总表'!I17:I26))</f>
        <v>72564.650000000038</v>
      </c>
      <c r="M18" s="2431">
        <f>IF(C1="",'数据-汇总表'!E3,SUMIF(项目类型,C1,'数据-汇总表'!E17:E26))</f>
        <v>72564.650000000038</v>
      </c>
    </row>
    <row r="19" spans="1:35" ht="15">
      <c r="A19" s="2437" t="s">
        <v>2150</v>
      </c>
      <c r="B19" s="2438" t="s">
        <v>2151</v>
      </c>
      <c r="C19" s="143">
        <f ca="1">SUMIF(INDIRECT("'"&amp;C4&amp;"'"&amp;"!A:A"),结果表!B19,INDIRECT("'"&amp;C4&amp;"'"&amp;"!B:B"))</f>
        <v>53835</v>
      </c>
      <c r="D19" s="144">
        <f ca="1">SUMIF(INDIRECT("'"&amp;D4&amp;"'"&amp;"!A:A"),结果表!B19,INDIRECT("'"&amp;D4&amp;"'"&amp;"!B:B"))</f>
        <v>33590</v>
      </c>
      <c r="E19" s="2437" t="s">
        <v>2152</v>
      </c>
      <c r="F19" s="2438" t="s">
        <v>2151</v>
      </c>
      <c r="G19" s="145">
        <f ca="1">ROUND(C19*$C$18+D19*$D$18,0)</f>
        <v>45737</v>
      </c>
      <c r="H19" s="2439" t="s">
        <v>2153</v>
      </c>
      <c r="I19" s="138"/>
      <c r="K19" s="2431" t="s">
        <v>2154</v>
      </c>
      <c r="L19" s="2431">
        <f>IF(C1="",'数据-汇总表'!D3,SUMIF(项目类型,C1,'数据-汇总表'!D17:D26)+SUMIF(项目类型,C1,'数据-汇总表'!H17:H27))</f>
        <v>10471.89</v>
      </c>
      <c r="M19" s="2431">
        <f>IF(C1="",'数据-汇总表'!D3,SUMIF(项目类型,C1,'数据-汇总表'!D17:D26))</f>
        <v>10471.89</v>
      </c>
    </row>
    <row r="20" spans="1:35" ht="15">
      <c r="A20" s="2440"/>
      <c r="B20" s="1250" t="s">
        <v>2155</v>
      </c>
      <c r="C20" s="146">
        <f ca="1">SUMIF(INDIRECT("'"&amp;C4&amp;"'"&amp;"!A:A"),结果表!B20,INDIRECT("'"&amp;C4&amp;"'"&amp;"!B:B"))</f>
        <v>7419</v>
      </c>
      <c r="D20" s="147">
        <f ca="1">SUMIF(INDIRECT("'"&amp;D4&amp;"'"&amp;"!A:A"),结果表!B20,INDIRECT("'"&amp;D4&amp;"'"&amp;"!B:B"))</f>
        <v>4629</v>
      </c>
      <c r="E20" s="2440"/>
      <c r="F20" s="1250" t="s">
        <v>2155</v>
      </c>
      <c r="G20" s="148">
        <f ca="1">ROUND(C20*$C$18+D20*$D$18,0)</f>
        <v>6303</v>
      </c>
      <c r="H20" s="983" t="s">
        <v>2156</v>
      </c>
      <c r="I20" s="138"/>
    </row>
    <row r="21" spans="1:35" ht="15" customHeight="1" thickBot="1">
      <c r="A21" s="1003"/>
      <c r="B21" s="2441" t="s">
        <v>2157</v>
      </c>
      <c r="C21" s="789">
        <f ca="1">ROUND(C19*10000/L19,0)</f>
        <v>51409</v>
      </c>
      <c r="D21" s="790">
        <f ca="1">ROUND(D19*10000/L19,0)</f>
        <v>32076</v>
      </c>
      <c r="E21" s="1003"/>
      <c r="F21" s="2441" t="s">
        <v>2157</v>
      </c>
      <c r="G21" s="149">
        <f ca="1">ROUND(G19*10000/L19,0)</f>
        <v>43676</v>
      </c>
      <c r="H21" s="2442" t="s">
        <v>2156</v>
      </c>
      <c r="I21" s="138"/>
    </row>
    <row r="22" spans="1:35" ht="15" thickBot="1">
      <c r="A22" s="2283" t="s">
        <v>2158</v>
      </c>
      <c r="B22" s="2443"/>
      <c r="C22" s="2444"/>
      <c r="D22" s="791">
        <f ca="1">IF(C19&lt;D19,D19/C19-1,C19/D19-1)</f>
        <v>0.60270913962488826</v>
      </c>
      <c r="E22" s="138"/>
      <c r="F22" s="138"/>
      <c r="G22" s="138"/>
      <c r="H22" s="138"/>
      <c r="I22" s="138"/>
    </row>
    <row r="23" spans="1:35" ht="13.5" thickBot="1">
      <c r="A23" s="2421"/>
      <c r="B23" s="2421"/>
      <c r="C23" s="2421"/>
      <c r="D23" s="2421"/>
      <c r="E23" s="138"/>
      <c r="F23" s="138"/>
      <c r="G23" s="138"/>
      <c r="H23" s="138"/>
      <c r="I23" s="138"/>
    </row>
    <row r="24" spans="1:35" ht="14.25">
      <c r="A24" s="3125" t="s">
        <v>2159</v>
      </c>
      <c r="B24" s="2438" t="s">
        <v>2151</v>
      </c>
      <c r="C24" s="145">
        <f>IF(B30=0,0,D30)</f>
        <v>0</v>
      </c>
      <c r="D24" s="2445"/>
      <c r="E24" s="138"/>
      <c r="F24" s="138"/>
      <c r="G24" s="138"/>
      <c r="H24" s="138"/>
      <c r="I24" s="138"/>
    </row>
    <row r="25" spans="1:35" ht="14.25">
      <c r="A25" s="3126"/>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45737</v>
      </c>
      <c r="D32" s="2452" t="s">
        <v>2166</v>
      </c>
      <c r="E32" s="138"/>
      <c r="F32" s="138"/>
      <c r="G32" s="138"/>
      <c r="H32" s="138"/>
      <c r="I32" s="138"/>
    </row>
    <row r="33" spans="1:15" ht="15">
      <c r="A33" s="960" t="s">
        <v>2167</v>
      </c>
      <c r="B33" s="2453"/>
      <c r="C33" s="2454" t="s">
        <v>3477</v>
      </c>
      <c r="D33" s="2455" t="s">
        <v>3476</v>
      </c>
      <c r="E33" s="2456" t="s">
        <v>2168</v>
      </c>
      <c r="F33" s="2457" t="str">
        <f>IF(D32="楼面单价","取值（单价）","取值（总价）")</f>
        <v>取值（总价）</v>
      </c>
      <c r="G33" s="138"/>
      <c r="H33" s="138"/>
      <c r="I33" s="138"/>
    </row>
    <row r="34" spans="1:15" ht="15">
      <c r="A34" s="2458"/>
      <c r="B34" s="2459" t="s">
        <v>2169</v>
      </c>
      <c r="C34" s="157">
        <f ca="1">IF(C33="自定义",F34,C32-C35)</f>
        <v>19804</v>
      </c>
      <c r="D34" s="1058">
        <f ca="1">IF(C33="自定义",ROUND(C34/C32,3),IF(C33="收益比率",SUMIF(INDIRECT("'"&amp;D33&amp;"'"&amp;"!b:b"),"土地收益比率",INDIRECT("'"&amp;D33&amp;"'"&amp;"!c:c")),SUMIF(INDIRECT("'"&amp;D33&amp;"'"&amp;"!b:b"),"土地成本比率",INDIRECT("'"&amp;D33&amp;"'"&amp;"!c:c"))))</f>
        <v>0.43300000000000005</v>
      </c>
      <c r="E34" s="2460" t="s">
        <v>2170</v>
      </c>
      <c r="F34" s="1739"/>
      <c r="G34" s="138"/>
      <c r="H34" s="138"/>
      <c r="I34" s="138"/>
    </row>
    <row r="35" spans="1:15" ht="15.75" thickBot="1">
      <c r="A35" s="2461"/>
      <c r="B35" s="2462" t="s">
        <v>2171</v>
      </c>
      <c r="C35" s="1444">
        <f ca="1">IF(C33="自定义",F35,ROUND(C32*D35,0))</f>
        <v>25933</v>
      </c>
      <c r="D35" s="1445">
        <f ca="1">IF(C33="自定义",ROUND(C35/C32,3),IF(C33="收益比率",SUMIF(INDIRECT("'"&amp;D33&amp;"'"&amp;"!b:b"),"建筑物收益比率",INDIRECT("'"&amp;D33&amp;"'"&amp;"!c:c")),SUMIF(INDIRECT("'"&amp;D33&amp;"'"&amp;"!b:b"),"建筑物成本比率",INDIRECT("'"&amp;D33&amp;"'"&amp;"!c:c"))))</f>
        <v>0.56699999999999995</v>
      </c>
      <c r="E35" s="2463" t="s">
        <v>2172</v>
      </c>
      <c r="F35" s="163"/>
      <c r="G35" s="138"/>
      <c r="H35" s="138"/>
      <c r="I35" s="138"/>
    </row>
    <row r="36" spans="1:15" ht="15.75" thickBot="1">
      <c r="A36" s="3143" t="s">
        <v>2173</v>
      </c>
      <c r="B36" s="2464" t="s">
        <v>2174</v>
      </c>
      <c r="C36" s="154"/>
      <c r="D36" s="2465"/>
      <c r="E36" s="2466"/>
      <c r="F36" s="2467"/>
      <c r="G36" s="138"/>
      <c r="H36" s="138"/>
      <c r="I36" s="138"/>
    </row>
    <row r="37" spans="1:15" ht="15.75" thickBot="1">
      <c r="A37" s="3144"/>
      <c r="B37" s="2269" t="s">
        <v>2175</v>
      </c>
      <c r="C37" s="156"/>
      <c r="D37" s="1395"/>
      <c r="E37" s="1395"/>
      <c r="F37" s="2467"/>
      <c r="G37" s="138"/>
      <c r="H37" s="138"/>
      <c r="I37" s="138"/>
    </row>
    <row r="38" spans="1:15" ht="15.75" thickBot="1">
      <c r="A38" s="3145"/>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22" t="s">
        <v>2187</v>
      </c>
      <c r="B45" s="3123"/>
      <c r="C45" s="3124"/>
      <c r="D45" s="164">
        <f ca="1">ROUND(H101*F45,0)</f>
        <v>45737</v>
      </c>
      <c r="E45" s="165" t="s">
        <v>2188</v>
      </c>
      <c r="F45" s="166">
        <v>1</v>
      </c>
      <c r="G45" s="167" t="s">
        <v>2189</v>
      </c>
      <c r="H45" s="138"/>
      <c r="I45" s="138"/>
      <c r="J45" s="3182" t="s">
        <v>2190</v>
      </c>
      <c r="K45" s="3182"/>
      <c r="L45" s="3182"/>
      <c r="M45" s="3182"/>
      <c r="N45" s="3182"/>
      <c r="O45" s="3182"/>
    </row>
    <row r="46" spans="1:15" ht="14.25" customHeight="1">
      <c r="A46" s="3119" t="s">
        <v>2191</v>
      </c>
      <c r="B46" s="3120"/>
      <c r="C46" s="3120"/>
      <c r="D46" s="3120"/>
      <c r="E46" s="3120"/>
      <c r="F46" s="3120"/>
      <c r="G46" s="3121"/>
      <c r="H46" s="2483"/>
      <c r="I46" s="168"/>
      <c r="J46" s="1812">
        <v>1</v>
      </c>
      <c r="K46" s="3182" t="s">
        <v>2192</v>
      </c>
      <c r="L46" s="3182"/>
      <c r="M46" s="3202"/>
      <c r="N46" s="3202"/>
      <c r="O46" s="3202"/>
    </row>
    <row r="47" spans="1:15" ht="12" customHeight="1">
      <c r="A47" s="169" t="s">
        <v>2193</v>
      </c>
      <c r="B47" s="170"/>
      <c r="C47" s="171"/>
      <c r="D47" s="172" t="s">
        <v>2194</v>
      </c>
      <c r="E47" s="24" t="s">
        <v>2195</v>
      </c>
      <c r="F47" s="173" t="s">
        <v>2196</v>
      </c>
      <c r="G47" s="174" t="s">
        <v>2197</v>
      </c>
      <c r="H47" s="2483"/>
      <c r="I47" s="168"/>
      <c r="J47" s="1812">
        <v>2</v>
      </c>
      <c r="K47" s="3182" t="s">
        <v>2198</v>
      </c>
      <c r="L47" s="3182"/>
      <c r="M47" s="3203">
        <f>'数据-取费表'!B2</f>
        <v>43296</v>
      </c>
      <c r="N47" s="3203"/>
      <c r="O47" s="3203"/>
    </row>
    <row r="48" spans="1:15" ht="25.5">
      <c r="A48" s="3150" t="s">
        <v>2199</v>
      </c>
      <c r="B48" s="3133"/>
      <c r="C48" s="3133"/>
      <c r="D48" s="140">
        <f>IF(H48="情况1",0,IF(H48="情况2",D52,IF(H48="情况3",D53,IF(H48="情况4",D54))))</f>
        <v>0</v>
      </c>
      <c r="E48" s="1801" t="str">
        <f>IF(H48="情况4","(销售额-原购置价)×税（费）率","销售额×税（费）率")</f>
        <v>销售额×税（费）率</v>
      </c>
      <c r="F48" s="175" t="str">
        <f>IF(H48="情况1","免征",'数据-取费表'!B41)</f>
        <v>免征</v>
      </c>
      <c r="G48" s="2484" t="s">
        <v>2200</v>
      </c>
      <c r="H48" s="2485" t="s">
        <v>2201</v>
      </c>
      <c r="I48" s="2483"/>
      <c r="J48" s="1812">
        <v>3</v>
      </c>
      <c r="K48" s="3182" t="s">
        <v>2202</v>
      </c>
      <c r="L48" s="3182"/>
      <c r="M48" s="3204">
        <f ca="1">H101</f>
        <v>45737</v>
      </c>
      <c r="N48" s="3204"/>
      <c r="O48" s="3204"/>
    </row>
    <row r="49" spans="1:35" ht="25.5" customHeight="1">
      <c r="A49" s="176" t="s">
        <v>2203</v>
      </c>
      <c r="B49" s="3118" t="s">
        <v>2204</v>
      </c>
      <c r="C49" s="3118"/>
      <c r="D49" s="177">
        <v>0</v>
      </c>
      <c r="E49" s="23" t="s">
        <v>2205</v>
      </c>
      <c r="F49" s="28" t="s">
        <v>34</v>
      </c>
      <c r="G49" s="3188"/>
      <c r="H49" s="138"/>
      <c r="I49" s="2486"/>
      <c r="J49" s="1812">
        <v>4</v>
      </c>
      <c r="K49" s="3182" t="str">
        <f>IF(项目基本情况!E8="房地产抵押价值","房地产抵押价值","抵押担保权已注销时的房地产抵押价值")</f>
        <v>房地产抵押价值</v>
      </c>
      <c r="L49" s="3182"/>
      <c r="M49" s="3204">
        <f ca="1">IF(项目基本情况!E8="房地产抵押价值",H107,H109)</f>
        <v>45737</v>
      </c>
      <c r="N49" s="3204"/>
      <c r="O49" s="3204"/>
    </row>
    <row r="50" spans="1:35" ht="25.5" customHeight="1">
      <c r="A50" s="178"/>
      <c r="B50" s="3118" t="s">
        <v>2206</v>
      </c>
      <c r="C50" s="3118"/>
      <c r="D50" s="179"/>
      <c r="E50" s="31"/>
      <c r="F50" s="180"/>
      <c r="G50" s="3189"/>
      <c r="H50" s="138"/>
      <c r="I50" s="2486"/>
      <c r="J50" s="3182" t="s">
        <v>2207</v>
      </c>
      <c r="K50" s="3182"/>
      <c r="L50" s="3182"/>
      <c r="M50" s="3182"/>
      <c r="N50" s="3182"/>
      <c r="O50" s="3182"/>
    </row>
    <row r="51" spans="1:35" ht="12" customHeight="1">
      <c r="A51" s="181"/>
      <c r="B51" s="3118" t="s">
        <v>2208</v>
      </c>
      <c r="C51" s="3118"/>
      <c r="D51" s="182"/>
      <c r="E51" s="30"/>
      <c r="F51" s="180"/>
      <c r="G51" s="3190"/>
      <c r="H51" s="138"/>
      <c r="I51" s="2486"/>
      <c r="J51" s="2487" t="s">
        <v>2209</v>
      </c>
      <c r="K51" s="3182" t="s">
        <v>2210</v>
      </c>
      <c r="L51" s="3182"/>
      <c r="M51" s="2487" t="s">
        <v>2211</v>
      </c>
      <c r="N51" s="2487" t="s">
        <v>2212</v>
      </c>
      <c r="O51" s="2487" t="s">
        <v>2213</v>
      </c>
    </row>
    <row r="52" spans="1:35" ht="24" customHeight="1">
      <c r="A52" s="183" t="s">
        <v>2214</v>
      </c>
      <c r="B52" s="3118" t="s">
        <v>2215</v>
      </c>
      <c r="C52" s="3118"/>
      <c r="D52" s="182">
        <f ca="1">ROUND(D45*'数据-取费表'!B41/(1+'数据-取费表'!C42),0)</f>
        <v>2439</v>
      </c>
      <c r="E52" s="11" t="s">
        <v>2216</v>
      </c>
      <c r="F52" s="184">
        <f>'数据-取费表'!B41</f>
        <v>5.6000000000000001E-2</v>
      </c>
      <c r="G52" s="2488"/>
      <c r="H52" s="138"/>
      <c r="I52" s="2486"/>
      <c r="J52" s="1812">
        <v>1</v>
      </c>
      <c r="K52" s="3183" t="s">
        <v>2217</v>
      </c>
      <c r="L52" s="3183"/>
      <c r="M52" s="1754">
        <f>D48</f>
        <v>0</v>
      </c>
      <c r="N52" s="1812" t="str">
        <f>E48</f>
        <v>销售额×税（费）率</v>
      </c>
      <c r="O52" s="1755" t="str">
        <f>F48</f>
        <v>免征</v>
      </c>
    </row>
    <row r="53" spans="1:35" ht="12" customHeight="1">
      <c r="A53" s="183" t="s">
        <v>2218</v>
      </c>
      <c r="B53" s="3141" t="s">
        <v>2219</v>
      </c>
      <c r="C53" s="3142"/>
      <c r="D53" s="182">
        <f ca="1">ROUND(D45*'数据-取费表'!B41/(1+'数据-取费表'!C42),0)</f>
        <v>2439</v>
      </c>
      <c r="E53" s="11" t="s">
        <v>2216</v>
      </c>
      <c r="F53" s="184">
        <f>'数据-取费表'!B41</f>
        <v>5.6000000000000001E-2</v>
      </c>
      <c r="G53" s="2488"/>
      <c r="H53" s="138"/>
      <c r="I53" s="2486"/>
      <c r="J53" s="1812">
        <v>2</v>
      </c>
      <c r="K53" s="3183" t="s">
        <v>2220</v>
      </c>
      <c r="L53" s="3183"/>
      <c r="M53" s="1754">
        <f t="shared" ref="M53:O54" ca="1" si="0">D55</f>
        <v>23</v>
      </c>
      <c r="N53" s="1812" t="str">
        <f t="shared" si="0"/>
        <v>销售额×税（费）率</v>
      </c>
      <c r="O53" s="1755">
        <f t="shared" si="0"/>
        <v>5.0000000000000001E-4</v>
      </c>
    </row>
    <row r="54" spans="1:35" ht="12" customHeight="1">
      <c r="A54" s="183" t="s">
        <v>2221</v>
      </c>
      <c r="B54" s="3141" t="s">
        <v>2222</v>
      </c>
      <c r="C54" s="3142"/>
      <c r="D54" s="182">
        <f ca="1">C68</f>
        <v>2439</v>
      </c>
      <c r="E54" s="30" t="s">
        <v>2223</v>
      </c>
      <c r="F54" s="184">
        <f>'数据-取费表'!B41</f>
        <v>5.6000000000000001E-2</v>
      </c>
      <c r="G54" s="2488"/>
      <c r="H54" s="2489"/>
      <c r="I54" s="2486"/>
      <c r="J54" s="1812">
        <v>3</v>
      </c>
      <c r="K54" s="3183" t="s">
        <v>2224</v>
      </c>
      <c r="L54" s="3183"/>
      <c r="M54" s="1754">
        <f t="shared" ca="1" si="0"/>
        <v>25887</v>
      </c>
      <c r="N54" s="1812" t="str">
        <f t="shared" si="0"/>
        <v>增值额×税（费）率</v>
      </c>
      <c r="O54" s="1756" t="str">
        <f t="shared" si="0"/>
        <v>——</v>
      </c>
    </row>
    <row r="55" spans="1:35" ht="24" customHeight="1">
      <c r="A55" s="3132" t="s">
        <v>2225</v>
      </c>
      <c r="B55" s="3133"/>
      <c r="C55" s="3133"/>
      <c r="D55" s="185">
        <f ca="1">IF(H55="个人住宅",0,ROUND(D45*I55,0))</f>
        <v>23</v>
      </c>
      <c r="E55" s="11" t="s">
        <v>2226</v>
      </c>
      <c r="F55" s="184">
        <f>IF(H55="正常",I55,"免征")</f>
        <v>5.0000000000000001E-4</v>
      </c>
      <c r="G55" s="2488"/>
      <c r="H55" s="2485" t="s">
        <v>2227</v>
      </c>
      <c r="I55" s="186">
        <f>'数据-取费表'!B49</f>
        <v>5.0000000000000001E-4</v>
      </c>
      <c r="J55" s="1812" t="str">
        <f>IF(H59="非个人房产","",4)</f>
        <v/>
      </c>
      <c r="K55" s="3183" t="str">
        <f>IF(H59="非个人房产","——","个人所得税")</f>
        <v>——</v>
      </c>
      <c r="L55" s="3183"/>
      <c r="M55" s="1757" t="str">
        <f>D59</f>
        <v>——</v>
      </c>
      <c r="N55" s="1810" t="str">
        <f>E59</f>
        <v>——</v>
      </c>
      <c r="O55" s="1758" t="str">
        <f>F59</f>
        <v>——</v>
      </c>
    </row>
    <row r="56" spans="1:35" ht="24.75">
      <c r="A56" s="3132" t="s">
        <v>2228</v>
      </c>
      <c r="B56" s="3133"/>
      <c r="C56" s="3133"/>
      <c r="D56" s="185">
        <f ca="1">IF(H56="个人住宅",D57,D58)</f>
        <v>25887</v>
      </c>
      <c r="E56" s="11" t="s">
        <v>2229</v>
      </c>
      <c r="F56" s="184" t="str">
        <f>IF(H56="正常",F58,"免征")</f>
        <v>——</v>
      </c>
      <c r="G56" s="2490" t="s">
        <v>2230</v>
      </c>
      <c r="H56" s="2491" t="s">
        <v>2227</v>
      </c>
      <c r="I56" s="2492"/>
      <c r="J56" s="1812" t="str">
        <f>IF(项目基本情况!K6="上海银行",IF(J55="",4,J55+1),"")</f>
        <v/>
      </c>
      <c r="K56" s="3206" t="str">
        <f>IF(项目基本情况!K6="上海银行","其他处置费用","")</f>
        <v/>
      </c>
      <c r="L56" s="3207"/>
      <c r="M56" s="1754" t="str">
        <f>IF(项目基本情况!K6="上海银行",M69,"")</f>
        <v/>
      </c>
      <c r="N56" s="3209" t="str">
        <f>IF(项目基本情况!K6="上海银行","包含处置中涉及的律师、诉讼、拍卖、评估等费用","")</f>
        <v/>
      </c>
      <c r="O56" s="3210"/>
    </row>
    <row r="57" spans="1:35" ht="12.75">
      <c r="A57" s="183" t="s">
        <v>2203</v>
      </c>
      <c r="B57" s="3148" t="s">
        <v>2231</v>
      </c>
      <c r="C57" s="3157"/>
      <c r="D57" s="187">
        <v>0</v>
      </c>
      <c r="E57" s="23" t="s">
        <v>2205</v>
      </c>
      <c r="F57" s="155"/>
      <c r="G57" s="2488"/>
      <c r="H57" s="2492"/>
      <c r="I57" s="2492"/>
      <c r="J57" s="3183">
        <f>IF(AND(J55="",J56=""),4,IF(项目基本情况!K6="上海银行",结果表!J56+1,结果表!J55+1))</f>
        <v>4</v>
      </c>
      <c r="K57" s="3183" t="s">
        <v>2232</v>
      </c>
      <c r="L57" s="2493" t="s">
        <v>2233</v>
      </c>
      <c r="M57" s="1759"/>
      <c r="N57" s="1760">
        <f ca="1">SUMIF(M52:M56,"&lt;9e307")</f>
        <v>25910</v>
      </c>
      <c r="O57" s="2494"/>
      <c r="P57" s="1753">
        <f ca="1">N57/M49</f>
        <v>0.56649977042656929</v>
      </c>
    </row>
    <row r="58" spans="1:35" ht="24.75">
      <c r="A58" s="183" t="s">
        <v>2214</v>
      </c>
      <c r="B58" s="3148" t="s">
        <v>2234</v>
      </c>
      <c r="C58" s="3149"/>
      <c r="D58" s="185">
        <f ca="1">IF(H58="转让取得",C81,C97)</f>
        <v>25887</v>
      </c>
      <c r="E58" s="11" t="s">
        <v>2229</v>
      </c>
      <c r="F58" s="24" t="s">
        <v>34</v>
      </c>
      <c r="G58" s="2488"/>
      <c r="H58" s="2491" t="s">
        <v>2235</v>
      </c>
      <c r="I58" s="2492"/>
      <c r="J58" s="3183"/>
      <c r="K58" s="3183"/>
      <c r="L58" s="2493" t="s">
        <v>2236</v>
      </c>
      <c r="M58" s="1761"/>
      <c r="N58" s="2495" t="str">
        <f ca="1">NUMBERSTRING(INT(N57*10000),2)&amp;"元整"</f>
        <v>贰亿伍仟玖佰壹拾万元整</v>
      </c>
      <c r="O58" s="2496"/>
    </row>
    <row r="59" spans="1:35" ht="24.75" thickBot="1">
      <c r="A59" s="3186" t="s">
        <v>2237</v>
      </c>
      <c r="B59" s="3187"/>
      <c r="C59" s="3187"/>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184">
        <f>J57+1</f>
        <v>5</v>
      </c>
      <c r="K59" s="3183" t="s">
        <v>2239</v>
      </c>
      <c r="L59" s="1812" t="s">
        <v>2233</v>
      </c>
      <c r="M59" s="1762"/>
      <c r="N59" s="1763">
        <f ca="1">M49-N57</f>
        <v>19827</v>
      </c>
      <c r="O59" s="2498"/>
    </row>
    <row r="60" spans="1:35" ht="12" customHeight="1">
      <c r="A60" s="2499"/>
      <c r="B60" s="2421"/>
      <c r="C60" s="2421"/>
      <c r="D60" s="2421"/>
      <c r="E60" s="2169"/>
      <c r="F60" s="2492"/>
      <c r="G60" s="2492"/>
      <c r="H60" s="2500"/>
      <c r="I60" s="138"/>
      <c r="J60" s="3185"/>
      <c r="K60" s="3183"/>
      <c r="L60" s="2493" t="s">
        <v>2236</v>
      </c>
      <c r="M60" s="1761"/>
      <c r="N60" s="2495" t="str">
        <f ca="1">NUMBERSTRING(INT(N59*10000),2)&amp;"元整"</f>
        <v>壹亿玖仟捌佰贰拾柒万元整</v>
      </c>
      <c r="O60" s="2496"/>
    </row>
    <row r="61" spans="1:35" ht="13.5" thickBot="1">
      <c r="A61" s="3130" t="s">
        <v>2240</v>
      </c>
      <c r="B61" s="3130"/>
      <c r="C61" s="3130"/>
      <c r="D61" s="3130"/>
      <c r="E61" s="3130"/>
      <c r="F61" s="2492"/>
      <c r="G61" s="2492"/>
      <c r="H61" s="2500"/>
      <c r="I61" s="138"/>
      <c r="J61" s="1812">
        <f>J59+1</f>
        <v>6</v>
      </c>
      <c r="K61" s="3183" t="s">
        <v>2241</v>
      </c>
      <c r="L61" s="3183"/>
      <c r="M61" s="1764"/>
      <c r="N61" s="1765">
        <f ca="1">ROUND(N59*10000/'数据-汇总表'!E3,0)</f>
        <v>2732</v>
      </c>
      <c r="O61" s="2501"/>
    </row>
    <row r="62" spans="1:35" ht="12.75">
      <c r="A62" s="3146" t="s">
        <v>2242</v>
      </c>
      <c r="B62" s="3147"/>
      <c r="C62" s="1804"/>
      <c r="D62" s="1804" t="s">
        <v>2243</v>
      </c>
      <c r="E62" s="192" t="s">
        <v>2244</v>
      </c>
      <c r="F62" s="2492"/>
      <c r="G62" s="2492"/>
      <c r="H62" s="2500"/>
      <c r="I62" s="138"/>
    </row>
    <row r="63" spans="1:35" ht="12.75">
      <c r="A63" s="203" t="s">
        <v>775</v>
      </c>
      <c r="B63" s="193" t="s">
        <v>2245</v>
      </c>
      <c r="C63" s="194">
        <f ca="1">ROUND((C64+C65)/(1+'数据-取费表'!C42),0)</f>
        <v>43559</v>
      </c>
      <c r="D63" s="195"/>
      <c r="E63" s="196"/>
      <c r="F63" s="2492"/>
      <c r="G63" s="2492"/>
      <c r="H63" s="2500"/>
      <c r="I63" s="138"/>
      <c r="J63" s="3208" t="s">
        <v>2246</v>
      </c>
      <c r="K63" s="2502" t="s">
        <v>2247</v>
      </c>
      <c r="L63" s="1752">
        <f ca="1">IF(M49&gt;10000,M49*0.5%,IF(AND(M49&gt;1000,M49&lt;=10000),M49*1%,IF(AND(M49&gt;100,M49&lt;=1000),M49*3%,IF(AND(M49&gt;10,M49&lt;=100),M49*5%,M49*8%))))</f>
        <v>228.685</v>
      </c>
      <c r="M63" s="24">
        <f ca="1">ROUND(L63,1)</f>
        <v>228.7</v>
      </c>
      <c r="Z63" s="2426"/>
      <c r="AI63" s="2427"/>
    </row>
    <row r="64" spans="1:35" ht="14.25" customHeight="1">
      <c r="A64" s="197" t="s">
        <v>770</v>
      </c>
      <c r="B64" s="198" t="s">
        <v>2248</v>
      </c>
      <c r="C64" s="199">
        <f ca="1">D45</f>
        <v>45737</v>
      </c>
      <c r="D64" s="200" t="s">
        <v>32</v>
      </c>
      <c r="E64" s="201"/>
      <c r="F64" s="2492"/>
      <c r="G64" s="2492"/>
      <c r="H64" s="2500"/>
      <c r="I64" s="138"/>
      <c r="J64" s="3208"/>
      <c r="K64" s="2502" t="s">
        <v>2249</v>
      </c>
      <c r="L64" s="1752">
        <f ca="1">IF(M49&gt;2000,M49*0.5%,IF(AND(M49&gt;1000,M49&lt;=2000),M49*0.6%,IF(AND(M49&gt;500,M49&lt;=1000),M49*0.7%,IF(AND(M49&gt;200,M49&lt;=500),M49*0.8%,IF(AND(M49&gt;100,M49&lt;=200),M49*0.9%,IF(AND(M49&gt;50,M49&lt;=100),M49*1%,IF(AND(M49&gt;20,M49&lt;=50),M49*1.5%,IF(AND(M49&gt;10,M49&lt;=20),M49*2%,IF(AND(M49&gt;1,M49&lt;=10),M49*2.5%)))))))))</f>
        <v>228.685</v>
      </c>
      <c r="M64" s="24">
        <f t="shared" ref="M64:M65" ca="1" si="1">ROUND(L64,1)</f>
        <v>228.7</v>
      </c>
      <c r="N64" s="138" t="s">
        <v>2250</v>
      </c>
      <c r="Z64" s="2426"/>
      <c r="AI64" s="2427"/>
    </row>
    <row r="65" spans="1:35" ht="14.25" customHeight="1">
      <c r="A65" s="197" t="s">
        <v>771</v>
      </c>
      <c r="B65" s="198" t="s">
        <v>2251</v>
      </c>
      <c r="C65" s="202"/>
      <c r="D65" s="200"/>
      <c r="E65" s="201"/>
      <c r="F65" s="2492"/>
      <c r="G65" s="2492"/>
      <c r="H65" s="2500"/>
      <c r="I65" s="138"/>
      <c r="J65" s="3208"/>
      <c r="K65" s="2502" t="s">
        <v>2252</v>
      </c>
      <c r="L65" s="1752">
        <f ca="1">IF(M49&gt;1000,M49*0.1%,IF(AND(M49&gt;500,M49&lt;=1000),M49*0.5%,IF(AND(M49&gt;50,M49&lt;=500),M49*1%,IF(AND(M49&gt;1,M49&lt;=50),M49*1.5%))))</f>
        <v>45.737000000000002</v>
      </c>
      <c r="M65" s="24">
        <f t="shared" ca="1" si="1"/>
        <v>45.7</v>
      </c>
      <c r="N65" s="138" t="s">
        <v>2250</v>
      </c>
      <c r="Z65" s="2426"/>
      <c r="AI65" s="2427"/>
    </row>
    <row r="66" spans="1:35" ht="14.25" customHeight="1">
      <c r="A66" s="203" t="s">
        <v>772</v>
      </c>
      <c r="B66" s="204" t="s">
        <v>2253</v>
      </c>
      <c r="C66" s="205"/>
      <c r="D66" s="206" t="s">
        <v>32</v>
      </c>
      <c r="E66" s="1776" t="s">
        <v>1371</v>
      </c>
      <c r="F66" s="2492"/>
      <c r="G66" s="2492"/>
      <c r="H66" s="2500"/>
      <c r="I66" s="138"/>
      <c r="J66" s="3208"/>
      <c r="K66" s="2502" t="s">
        <v>2254</v>
      </c>
      <c r="L66" s="1752">
        <f ca="1">M49*0.5%</f>
        <v>228.685</v>
      </c>
      <c r="M66" s="24">
        <f ca="1">IF(L66&gt;0.5,0.5,ROUND(L66,0))</f>
        <v>0.5</v>
      </c>
      <c r="N66" s="138" t="s">
        <v>2255</v>
      </c>
      <c r="Z66" s="2426"/>
      <c r="AI66" s="2427"/>
    </row>
    <row r="67" spans="1:35" ht="14.25" customHeight="1">
      <c r="A67" s="203" t="s">
        <v>773</v>
      </c>
      <c r="B67" s="204" t="s">
        <v>2256</v>
      </c>
      <c r="C67" s="207">
        <f ca="1">C63-C66</f>
        <v>43559</v>
      </c>
      <c r="D67" s="200" t="s">
        <v>32</v>
      </c>
      <c r="E67" s="201"/>
      <c r="F67" s="2492"/>
      <c r="G67" s="2492"/>
      <c r="H67" s="2500"/>
      <c r="I67" s="138"/>
      <c r="J67" s="3208"/>
      <c r="K67" s="2502" t="s">
        <v>2257</v>
      </c>
      <c r="L67" s="1752">
        <f ca="1">IF(M49&gt;=10000,(8.25+(M49-10000)*0.01%),IF(AND(M49&gt;=8000,M49&lt;10000),(7.85+(M49-8000)*0.02%),IF(AND(M49&gt;=5000,M49&lt;8000),(6.65+(M49-5000)*0.04%),IF(AND(M49&gt;=2000,M49&lt;5000),(4.25+(PM49-2000)*0.08%),IF(AND(M49&gt;=1000,M49&lt;2000),(2.75+(M49-1000)*0.15%),IF(AND(M49&gt;=100,M49&lt;1000),(0.5+(M49-100)*0.25%),IF(AND(M49&gt;0,M49&lt;100),M49*0.5%)))))))</f>
        <v>11.823700000000001</v>
      </c>
      <c r="M67" s="24">
        <f ca="1">ROUND(L67*0.9,1)</f>
        <v>10.6</v>
      </c>
      <c r="Z67" s="2426"/>
      <c r="AI67" s="2427"/>
    </row>
    <row r="68" spans="1:35" ht="14.25" customHeight="1" thickBot="1">
      <c r="A68" s="208" t="s">
        <v>774</v>
      </c>
      <c r="B68" s="209" t="s">
        <v>2258</v>
      </c>
      <c r="C68" s="210">
        <f ca="1">IF(C67&lt;=0,0,ROUND(C67*D68,0))</f>
        <v>2439</v>
      </c>
      <c r="D68" s="211">
        <f>'数据-取费表'!B41</f>
        <v>5.6000000000000001E-2</v>
      </c>
      <c r="E68" s="212"/>
      <c r="F68" s="2492"/>
      <c r="G68" s="2492"/>
      <c r="H68" s="2500"/>
      <c r="I68" s="138"/>
      <c r="J68" s="3208"/>
      <c r="K68" s="2502" t="s">
        <v>2259</v>
      </c>
      <c r="L68" s="1752">
        <f ca="1">IF(M49&gt;10000,M49*0.5%,IF(AND(M49&gt;5000,M49&lt;=10000),M49*1%,IF(AND(M49&gt;1000,M49&lt;=5000),M49*2%,IF(AND(M49&gt;200,M49&lt;=1000),M49*3%,M49*5%))))</f>
        <v>228.685</v>
      </c>
      <c r="M68" s="24">
        <f ca="1">ROUND(L68,1)</f>
        <v>228.7</v>
      </c>
      <c r="Z68" s="2426"/>
      <c r="AI68" s="2427"/>
    </row>
    <row r="69" spans="1:35" s="2449" customFormat="1" ht="16.5" customHeight="1">
      <c r="A69" s="2503"/>
      <c r="B69" s="2504"/>
      <c r="C69" s="2505"/>
      <c r="D69" s="2506"/>
      <c r="E69" s="2507"/>
      <c r="F69" s="2169"/>
      <c r="G69" s="2169"/>
      <c r="H69" s="2168"/>
      <c r="I69" s="2421"/>
      <c r="J69" s="3208"/>
      <c r="K69" s="2502" t="s">
        <v>2260</v>
      </c>
      <c r="L69" s="2508"/>
      <c r="M69" s="24">
        <f ca="1">ROUND(SUM(M63:M68),0)</f>
        <v>743</v>
      </c>
      <c r="N69" s="1753">
        <f ca="1">M69/M49</f>
        <v>1.6245053239171785E-2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67" t="s">
        <v>2261</v>
      </c>
      <c r="B70" s="3168"/>
      <c r="C70" s="3168"/>
      <c r="D70" s="3168"/>
      <c r="E70" s="3168"/>
      <c r="F70" s="3168"/>
      <c r="G70" s="3168"/>
      <c r="H70" s="316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46" t="s">
        <v>2242</v>
      </c>
      <c r="B71" s="3147"/>
      <c r="C71" s="1804"/>
      <c r="D71" s="1804"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43559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261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141" t="s">
        <v>2270</v>
      </c>
      <c r="F76" s="3118"/>
      <c r="G76" s="3118"/>
      <c r="H76" s="316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261</v>
      </c>
      <c r="D78" s="226">
        <f>'数据-取费表'!B43</f>
        <v>6.000000000000001E-3</v>
      </c>
      <c r="E78" s="3127" t="s">
        <v>2275</v>
      </c>
      <c r="F78" s="3128"/>
      <c r="G78" s="3128"/>
      <c r="H78" s="313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43298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165.89272030651341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25887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67" t="s">
        <v>2279</v>
      </c>
      <c r="B83" s="3168"/>
      <c r="C83" s="3168"/>
      <c r="D83" s="3168"/>
      <c r="E83" s="3168"/>
      <c r="F83" s="3168"/>
      <c r="G83" s="3168"/>
      <c r="H83" s="316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46" t="s">
        <v>2242</v>
      </c>
      <c r="B84" s="3147"/>
      <c r="C84" s="1804"/>
      <c r="D84" s="1804"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43559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261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800"/>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127" t="s">
        <v>2288</v>
      </c>
      <c r="F91" s="3128"/>
      <c r="G91" s="3128"/>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127" t="s">
        <v>2292</v>
      </c>
      <c r="F92" s="3128"/>
      <c r="G92" s="3128"/>
      <c r="H92" s="313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261</v>
      </c>
      <c r="D93" s="226">
        <f>'数据-取费表'!B43</f>
        <v>6.000000000000001E-3</v>
      </c>
      <c r="E93" s="3127" t="s">
        <v>2275</v>
      </c>
      <c r="F93" s="3128"/>
      <c r="G93" s="3128"/>
      <c r="H93" s="313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138" t="s">
        <v>2296</v>
      </c>
      <c r="F94" s="3139"/>
      <c r="G94" s="3139"/>
      <c r="H94" s="314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43298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165.89272030651341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25887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112" t="s">
        <v>2298</v>
      </c>
      <c r="B100" s="3113"/>
      <c r="C100" s="3113"/>
      <c r="D100" s="3129"/>
      <c r="E100" s="3113" t="s">
        <v>2299</v>
      </c>
      <c r="F100" s="3113"/>
      <c r="G100" s="3113"/>
      <c r="H100" s="3129"/>
      <c r="I100" s="138"/>
    </row>
    <row r="101" spans="1:35" ht="18.75" customHeight="1">
      <c r="A101" s="3191" t="s">
        <v>2300</v>
      </c>
      <c r="B101" s="3192"/>
      <c r="C101" s="736" t="str">
        <f>C4</f>
        <v>成本法</v>
      </c>
      <c r="D101" s="737" t="str">
        <f>D4</f>
        <v>收益法（汇总）</v>
      </c>
      <c r="E101" s="3205" t="s">
        <v>2301</v>
      </c>
      <c r="F101" s="3159"/>
      <c r="G101" s="2523" t="s">
        <v>2302</v>
      </c>
      <c r="H101" s="1048">
        <f ca="1">H118</f>
        <v>45737</v>
      </c>
      <c r="I101" s="138"/>
    </row>
    <row r="102" spans="1:35" ht="18.75" customHeight="1">
      <c r="A102" s="3161" t="s">
        <v>2303</v>
      </c>
      <c r="B102" s="2523" t="s">
        <v>2302</v>
      </c>
      <c r="C102" s="736">
        <f ca="1">C19</f>
        <v>53835</v>
      </c>
      <c r="D102" s="737">
        <f ca="1">D19</f>
        <v>33590</v>
      </c>
      <c r="E102" s="3205"/>
      <c r="F102" s="3159"/>
      <c r="G102" s="2523" t="s">
        <v>2304</v>
      </c>
      <c r="H102" s="371">
        <f ca="1">I118</f>
        <v>6303</v>
      </c>
      <c r="I102" s="138"/>
    </row>
    <row r="103" spans="1:35" ht="42.75" customHeight="1">
      <c r="A103" s="3161"/>
      <c r="B103" s="2523" t="s">
        <v>2304</v>
      </c>
      <c r="C103" s="738">
        <f ca="1">C20</f>
        <v>7419</v>
      </c>
      <c r="D103" s="739">
        <f ca="1">D20</f>
        <v>4629</v>
      </c>
      <c r="E103" s="3200" t="s">
        <v>2305</v>
      </c>
      <c r="F103" s="3201"/>
      <c r="G103" s="2524" t="s">
        <v>2306</v>
      </c>
      <c r="H103" s="1048">
        <f>IF(D36="正常操作",H104+H105+H106,H105+H106)</f>
        <v>0</v>
      </c>
      <c r="I103" s="138"/>
    </row>
    <row r="104" spans="1:35" ht="18.75" customHeight="1">
      <c r="A104" s="3161" t="s">
        <v>2307</v>
      </c>
      <c r="B104" s="2525" t="s">
        <v>2302</v>
      </c>
      <c r="C104" s="740">
        <f ca="1">H118</f>
        <v>45737</v>
      </c>
      <c r="D104" s="741"/>
      <c r="E104" s="2269" t="s">
        <v>2308</v>
      </c>
      <c r="F104" s="2260"/>
      <c r="G104" s="2524" t="s">
        <v>2306</v>
      </c>
      <c r="H104" s="1049">
        <f>IF(D36="同一抵押权人同一抵押物续贷",C36&amp;"（未扣减，详见特别提示）",C36)</f>
        <v>0</v>
      </c>
      <c r="I104" s="138"/>
    </row>
    <row r="105" spans="1:35" ht="18.75" customHeight="1" thickBot="1">
      <c r="A105" s="3162"/>
      <c r="B105" s="2526" t="s">
        <v>2304</v>
      </c>
      <c r="C105" s="742">
        <f ca="1">I118</f>
        <v>6303</v>
      </c>
      <c r="D105" s="743"/>
      <c r="E105" s="2269" t="s">
        <v>2309</v>
      </c>
      <c r="F105" s="2260"/>
      <c r="G105" s="2524" t="s">
        <v>2306</v>
      </c>
      <c r="H105" s="1049">
        <f>C37</f>
        <v>0</v>
      </c>
      <c r="I105" s="138"/>
    </row>
    <row r="106" spans="1:35" ht="18.75" customHeight="1">
      <c r="A106" s="2421" t="s">
        <v>2310</v>
      </c>
      <c r="B106" s="2421"/>
      <c r="C106" s="2421"/>
      <c r="D106" s="2421"/>
      <c r="E106" s="2527" t="s">
        <v>2311</v>
      </c>
      <c r="F106" s="2260"/>
      <c r="G106" s="2524" t="s">
        <v>2306</v>
      </c>
      <c r="H106" s="1049">
        <f>C38</f>
        <v>0</v>
      </c>
      <c r="I106" s="138"/>
    </row>
    <row r="107" spans="1:35" ht="18.75" customHeight="1">
      <c r="A107" s="138"/>
      <c r="B107" s="138"/>
      <c r="C107" s="138"/>
      <c r="D107" s="138"/>
      <c r="E107" s="3158" t="str">
        <f>IF(项目基本情况!E8="已注销","——","3.房地产抵押价值")</f>
        <v>3.房地产抵押价值</v>
      </c>
      <c r="F107" s="3159"/>
      <c r="G107" s="2523" t="s">
        <v>2302</v>
      </c>
      <c r="H107" s="1048">
        <f ca="1">IF(E107="——","——",H101-H103)</f>
        <v>45737</v>
      </c>
      <c r="I107" s="138"/>
    </row>
    <row r="108" spans="1:35" ht="18.75" customHeight="1">
      <c r="A108" s="138"/>
      <c r="B108" s="138"/>
      <c r="C108" s="138"/>
      <c r="D108" s="138"/>
      <c r="E108" s="3158"/>
      <c r="F108" s="3159"/>
      <c r="G108" s="2523" t="s">
        <v>2304</v>
      </c>
      <c r="H108" s="371">
        <f ca="1">ROUND(H107*10000/'数据-汇总表'!E3,0)</f>
        <v>6303</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59"/>
      <c r="G109" s="2523" t="s">
        <v>2302</v>
      </c>
      <c r="H109" s="348" t="str">
        <f>IF(E109="——","——",H101-H105-H106)</f>
        <v>——</v>
      </c>
      <c r="I109" s="138"/>
    </row>
    <row r="110" spans="1:35" ht="18.75" customHeight="1">
      <c r="A110" s="138"/>
      <c r="B110" s="138"/>
      <c r="C110" s="138"/>
      <c r="D110" s="138"/>
      <c r="E110" s="3158"/>
      <c r="F110" s="3159"/>
      <c r="G110" s="2523" t="s">
        <v>2304</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23" t="s">
        <v>2302</v>
      </c>
      <c r="H111" s="1048" t="str">
        <f>IF(E111="——","——",N59)</f>
        <v>——</v>
      </c>
      <c r="I111" s="138"/>
    </row>
    <row r="112" spans="1:35" ht="18.75" customHeight="1" thickBot="1">
      <c r="A112" s="138"/>
      <c r="B112" s="138"/>
      <c r="C112" s="138"/>
      <c r="D112" s="138"/>
      <c r="E112" s="3195"/>
      <c r="F112" s="3196"/>
      <c r="G112" s="2528" t="s">
        <v>2304</v>
      </c>
      <c r="H112" s="790" t="str">
        <f>IF(E111="——","——",N61)</f>
        <v>——</v>
      </c>
      <c r="I112" s="138"/>
    </row>
    <row r="113" spans="1:11" ht="18.75" customHeight="1">
      <c r="A113" s="138"/>
      <c r="B113" s="138"/>
      <c r="C113" s="138"/>
      <c r="D113" s="138"/>
      <c r="E113" s="3163" t="s">
        <v>2310</v>
      </c>
      <c r="F113" s="3163"/>
      <c r="G113" s="3163"/>
      <c r="H113" s="3163"/>
      <c r="I113" s="138"/>
    </row>
    <row r="114" spans="1:11" ht="3.75" customHeight="1">
      <c r="A114" s="2421"/>
      <c r="B114" s="2421"/>
      <c r="C114" s="2421"/>
      <c r="D114" s="2421"/>
      <c r="E114" s="2499"/>
      <c r="F114" s="2499"/>
      <c r="G114" s="2499"/>
      <c r="H114" s="2499"/>
      <c r="I114" s="2421"/>
    </row>
    <row r="115" spans="1:11" ht="18.75" customHeight="1">
      <c r="A115" s="3176" t="s">
        <v>2312</v>
      </c>
      <c r="B115" s="3177"/>
      <c r="C115" s="3177"/>
      <c r="D115" s="3177"/>
      <c r="E115" s="3177"/>
      <c r="F115" s="3177"/>
      <c r="G115" s="3177"/>
      <c r="H115" s="3177"/>
      <c r="I115" s="3178"/>
    </row>
    <row r="116" spans="1:11" ht="27" customHeight="1">
      <c r="A116" s="3066" t="s">
        <v>2313</v>
      </c>
      <c r="B116" s="3164" t="s">
        <v>2314</v>
      </c>
      <c r="C116" s="3164" t="s">
        <v>2315</v>
      </c>
      <c r="D116" s="3180" t="s">
        <v>2316</v>
      </c>
      <c r="E116" s="3181"/>
      <c r="F116" s="3172" t="s">
        <v>2317</v>
      </c>
      <c r="G116" s="3172"/>
      <c r="H116" s="3066" t="s">
        <v>2318</v>
      </c>
      <c r="I116" s="3066"/>
    </row>
    <row r="117" spans="1:11" ht="18.75" customHeight="1">
      <c r="A117" s="3066"/>
      <c r="B117" s="3165"/>
      <c r="C117" s="3165"/>
      <c r="D117" s="1798" t="s">
        <v>2319</v>
      </c>
      <c r="E117" s="1798" t="s">
        <v>2320</v>
      </c>
      <c r="F117" s="1798" t="s">
        <v>2319</v>
      </c>
      <c r="G117" s="1798" t="s">
        <v>2321</v>
      </c>
      <c r="H117" s="1798" t="s">
        <v>2319</v>
      </c>
      <c r="I117" s="1798" t="s">
        <v>2321</v>
      </c>
    </row>
    <row r="118" spans="1:11" ht="24.75" customHeight="1">
      <c r="A118" s="2529" t="str">
        <f>项目基本情况!S2</f>
        <v>北京市房地产</v>
      </c>
      <c r="B118" s="1798">
        <f>M18</f>
        <v>72564.650000000038</v>
      </c>
      <c r="C118" s="1798">
        <f>M19</f>
        <v>10471.89</v>
      </c>
      <c r="D118" s="1798">
        <f ca="1">ROUND(IF(D32="总价",C34,E118*B118/10000),0)</f>
        <v>19804</v>
      </c>
      <c r="E118" s="1798">
        <f ca="1">ROUND(IF(C33="自定义",IF(D32="楼面单价",C34,D118*10000/B118),I118-G118),0)</f>
        <v>2729</v>
      </c>
      <c r="F118" s="1798">
        <f ca="1">ROUND(IF(D32="总价",C35,G118*B118/10000),0)</f>
        <v>25933</v>
      </c>
      <c r="G118" s="1798">
        <f ca="1">ROUND(IF(D32="楼面单价",C35,F118*10000/B118),0)</f>
        <v>3574</v>
      </c>
      <c r="H118" s="1798">
        <f ca="1">ROUND(IF(D32="总价",C32,I118*B118/10000),0)</f>
        <v>45737</v>
      </c>
      <c r="I118" s="1798">
        <f ca="1">ROUND(IF(D32="楼面单价",C32,H118*10000/B118),0)</f>
        <v>6303</v>
      </c>
    </row>
    <row r="119" spans="1:11" ht="18.75" customHeight="1">
      <c r="A119" s="3066" t="s">
        <v>2322</v>
      </c>
      <c r="B119" s="3066"/>
      <c r="C119" s="3066"/>
      <c r="D119" s="3169" t="str">
        <f ca="1">NUMBERSTRING(INT(D118*10000),2)&amp;"元整"</f>
        <v>壹亿玖仟捌佰零肆万元整</v>
      </c>
      <c r="E119" s="3171"/>
      <c r="F119" s="3169" t="str">
        <f ca="1">NUMBERSTRING(INT(F118*10000),2)&amp;"元整"</f>
        <v>贰亿伍仟玖佰叁拾叁万元整</v>
      </c>
      <c r="G119" s="3171"/>
      <c r="H119" s="3169" t="str">
        <f ca="1">NUMBERSTRING(INT(H118*10000),2)&amp;"元整"</f>
        <v>肆亿伍仟柒佰叁拾柒万元整</v>
      </c>
      <c r="I119" s="3171"/>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426" t="str">
        <f>IF(D120=0,"故，本次评估不存在"&amp;A120,"故，本次评估"&amp;A120&amp;"为人民币"&amp;D120&amp;"万元整。")</f>
        <v>故，本次评估不存在估价师知悉的法定优先受偿款</v>
      </c>
    </row>
    <row r="121" spans="1:11" ht="18.75" customHeight="1">
      <c r="A121" s="3173" t="s">
        <v>2322</v>
      </c>
      <c r="B121" s="3174"/>
      <c r="C121" s="3175"/>
      <c r="D121" s="3169" t="str">
        <f>IF(D120=0,"零元整",NUMBERSTRING(INT(D120*10000),2)&amp;"元整")</f>
        <v>零元整</v>
      </c>
      <c r="E121" s="3170"/>
      <c r="F121" s="3170"/>
      <c r="G121" s="3170"/>
      <c r="H121" s="3170"/>
      <c r="I121" s="3171"/>
    </row>
    <row r="122" spans="1:11" ht="18.75" customHeight="1">
      <c r="A122" s="3160" t="str">
        <f>IF(项目基本情况!B9="房地产市场价值","",MID(E107,3,LEN(E107)-2))</f>
        <v>房地产抵押价值</v>
      </c>
      <c r="B122" s="3160"/>
      <c r="C122" s="3160"/>
      <c r="D122" s="3197">
        <f ca="1">H107</f>
        <v>45737</v>
      </c>
      <c r="E122" s="3198"/>
      <c r="F122" s="3198"/>
      <c r="G122" s="3198"/>
      <c r="H122" s="3198"/>
      <c r="I122" s="3199"/>
    </row>
    <row r="123" spans="1:11" ht="18.75" customHeight="1">
      <c r="A123" s="3066" t="s">
        <v>2322</v>
      </c>
      <c r="B123" s="3066"/>
      <c r="C123" s="3066"/>
      <c r="D123" s="3169" t="str">
        <f ca="1">NUMBERSTRING(INT(D122*10000),2)&amp;"元整"</f>
        <v>肆亿伍仟柒佰叁拾柒万元整</v>
      </c>
      <c r="E123" s="3170"/>
      <c r="F123" s="3170"/>
      <c r="G123" s="3170"/>
      <c r="H123" s="3170"/>
      <c r="I123" s="3171"/>
    </row>
    <row r="124" spans="1:11" ht="18.75" customHeight="1">
      <c r="A124" s="3160" t="str">
        <f>IF(项目基本情况!B9="房地产市场价值","",MID(E109,3,LEN(E109)-2))</f>
        <v/>
      </c>
      <c r="B124" s="3160"/>
      <c r="C124" s="3160"/>
      <c r="D124" s="3197" t="str">
        <f>H109</f>
        <v>——</v>
      </c>
      <c r="E124" s="3198"/>
      <c r="F124" s="3198"/>
      <c r="G124" s="3198"/>
      <c r="H124" s="3198"/>
      <c r="I124" s="3199"/>
    </row>
    <row r="125" spans="1:11" ht="18.75" customHeight="1">
      <c r="A125" s="3066" t="s">
        <v>2322</v>
      </c>
      <c r="B125" s="3066"/>
      <c r="C125" s="3066"/>
      <c r="D125" s="3169" t="e">
        <f>NUMBERSTRING(INT(D124*10000),2)&amp;"元整"</f>
        <v>#VALUE!</v>
      </c>
      <c r="E125" s="3170"/>
      <c r="F125" s="3170"/>
      <c r="G125" s="3170"/>
      <c r="H125" s="3170"/>
      <c r="I125" s="3171"/>
    </row>
    <row r="126" spans="1:11" ht="18.75" customHeight="1">
      <c r="A126" s="3160" t="str">
        <f>IF(项目基本情况!B9="房地产市场价值","",MID(E111,3,LEN(E111)-2))</f>
        <v/>
      </c>
      <c r="B126" s="3160"/>
      <c r="C126" s="3160"/>
      <c r="D126" s="3197" t="str">
        <f>H111</f>
        <v>——</v>
      </c>
      <c r="E126" s="3198"/>
      <c r="F126" s="3198"/>
      <c r="G126" s="3198"/>
      <c r="H126" s="3198"/>
      <c r="I126" s="3199"/>
    </row>
    <row r="127" spans="1:11" ht="18.75" customHeight="1">
      <c r="A127" s="3066" t="s">
        <v>2322</v>
      </c>
      <c r="B127" s="3066"/>
      <c r="C127" s="3066"/>
      <c r="D127" s="3169" t="e">
        <f>NUMBERSTRING(INT(D126*10000),2)&amp;"元整"</f>
        <v>#VALUE!</v>
      </c>
      <c r="E127" s="3170"/>
      <c r="F127" s="3170"/>
      <c r="G127" s="3170"/>
      <c r="H127" s="3170"/>
      <c r="I127" s="3171"/>
    </row>
    <row r="128" spans="1:11" ht="21.75" customHeight="1">
      <c r="A128" s="3179" t="s">
        <v>2323</v>
      </c>
      <c r="B128" s="3179"/>
      <c r="C128" s="3179"/>
      <c r="D128" s="3179"/>
      <c r="E128" s="3179"/>
      <c r="F128" s="3179"/>
      <c r="G128" s="3179"/>
      <c r="H128" s="3179"/>
      <c r="I128" s="3179"/>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2326</v>
      </c>
      <c r="G135" s="2547"/>
      <c r="H135" s="2547"/>
      <c r="I135" s="2548" t="s">
        <v>2327</v>
      </c>
    </row>
    <row r="136" spans="1:35" ht="21.75" customHeight="1">
      <c r="A136" s="795"/>
      <c r="B136" s="2549"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2329</v>
      </c>
    </row>
    <row r="139" spans="1:35" ht="21.75" customHeight="1">
      <c r="A139" s="795"/>
      <c r="B139" s="2549" t="s">
        <v>2330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2329</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2" t="str">
        <f>项目基本情况!B1</f>
        <v>北京市房地产抵押价值预评估</v>
      </c>
      <c r="C37" s="3022"/>
      <c r="D37" s="3022"/>
      <c r="E37" s="3022"/>
      <c r="F37" s="3022"/>
      <c r="G37" s="3022"/>
      <c r="H37" s="3022"/>
      <c r="I37" s="302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8" sqref="C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53835</v>
      </c>
      <c r="C2" s="243" t="s">
        <v>2333</v>
      </c>
      <c r="D2" s="2552" t="s">
        <v>70</v>
      </c>
      <c r="E2" s="1443">
        <f ca="1">SUMIF(INDIRECT("'"&amp;G2&amp;"'"&amp;"!A:A"),"承租人权益价值",INDIRECT("'"&amp;G2&amp;"'"&amp;"!c:c"))</f>
        <v>0</v>
      </c>
      <c r="F2" s="2553" t="s">
        <v>2333</v>
      </c>
      <c r="G2" s="2554" t="s">
        <v>3461</v>
      </c>
    </row>
    <row r="3" spans="1:9" s="244" customFormat="1" ht="18" customHeight="1" thickBot="1">
      <c r="A3" s="247" t="s">
        <v>2334</v>
      </c>
      <c r="B3" s="248">
        <f ca="1">ROUND(B2*10000/(IF(B1="",'数据-汇总表'!E3,INDIRECT("'数据-取费表'!k"&amp;$G$1))),0)</f>
        <v>7419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17566</v>
      </c>
      <c r="D5" s="255" t="s">
        <v>2339</v>
      </c>
      <c r="E5" s="256" t="s">
        <v>2340</v>
      </c>
      <c r="F5" s="256" t="s">
        <v>2341</v>
      </c>
      <c r="G5" s="257"/>
    </row>
    <row r="6" spans="1:9" s="258" customFormat="1" ht="13.5" customHeight="1">
      <c r="A6" s="952" t="s">
        <v>2342</v>
      </c>
      <c r="B6" s="259" t="s">
        <v>2343</v>
      </c>
      <c r="C6" s="260">
        <f>'土地比较法-住宅、综合'!F66</f>
        <v>16307</v>
      </c>
      <c r="D6" s="261"/>
      <c r="E6" s="262"/>
      <c r="F6" s="262"/>
      <c r="G6" s="263"/>
    </row>
    <row r="7" spans="1:9" s="258" customFormat="1" ht="13.5" customHeight="1">
      <c r="A7" s="952" t="s">
        <v>2344</v>
      </c>
      <c r="B7" s="259" t="s">
        <v>2345</v>
      </c>
      <c r="C7" s="264">
        <f>ROUND(C6*F7,0)</f>
        <v>497</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762</v>
      </c>
      <c r="D8" s="266"/>
      <c r="E8" s="264"/>
      <c r="F8" s="265"/>
      <c r="G8" s="2555" t="s">
        <v>3458</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105</v>
      </c>
      <c r="F9" s="265"/>
      <c r="G9" s="2556" t="s">
        <v>3459</v>
      </c>
      <c r="H9" s="1393">
        <v>0</v>
      </c>
      <c r="I9" s="2557" t="s">
        <v>2349</v>
      </c>
    </row>
    <row r="10" spans="1:9" s="258" customFormat="1" ht="13.5" customHeight="1">
      <c r="A10" s="953" t="s">
        <v>801</v>
      </c>
      <c r="B10" s="268" t="s">
        <v>2350</v>
      </c>
      <c r="C10" s="269">
        <f ca="1">ROUND(D10*E10/10000,0)</f>
        <v>762</v>
      </c>
      <c r="D10" s="1035">
        <f ca="1">IF(B1="",'数据-汇总表'!E6,IF(INDIRECT("'数据-取费表'!c"&amp;$G$1)="住宅",INDIRECT("'数据-取费表'!s"&amp;$G$1),INDIRECT("'数据-取费表'!k"&amp;$G$1)+INDIRECT("'数据-取费表'!s"&amp;$G$1)))</f>
        <v>72564.650000000038</v>
      </c>
      <c r="E10" s="269">
        <f>'数据-取费表'!B28</f>
        <v>105</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72564.650000000038</v>
      </c>
      <c r="E19" s="255">
        <f>'数据-取费表'!B31</f>
        <v>200</v>
      </c>
      <c r="F19" s="275"/>
      <c r="G19" s="2555" t="s">
        <v>3460</v>
      </c>
    </row>
    <row r="20" spans="1:7" s="258" customFormat="1" ht="13.5" customHeight="1">
      <c r="A20" s="299" t="s">
        <v>2363</v>
      </c>
      <c r="B20" s="254" t="s">
        <v>2364</v>
      </c>
      <c r="C20" s="276">
        <f ca="1">ROUND((C5+C19)*F20,0)</f>
        <v>351</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1725</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1708</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17</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1613</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ROUND((C5+C19+C20)*F27*'数据-取费表'!B21/'数据-取费表'!B20,0)</f>
        <v>1613</v>
      </c>
      <c r="D28" s="279"/>
      <c r="E28" s="280"/>
      <c r="F28" s="290"/>
      <c r="G28" s="291"/>
    </row>
    <row r="29" spans="1:7" s="258" customFormat="1" ht="13.5" customHeight="1">
      <c r="A29" s="954" t="s">
        <v>792</v>
      </c>
      <c r="B29" s="292" t="s">
        <v>2387</v>
      </c>
      <c r="C29" s="282">
        <f ca="1">ROUND(C21*F27*'数据-取费表'!B21/'数据-取费表'!B20,4)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23291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26400</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23875</v>
      </c>
      <c r="D34" s="261"/>
      <c r="E34" s="264"/>
      <c r="F34" s="301">
        <f ca="1">IF('数据-取费表'!B24=0,1,IF(B1="",'数据-取费表'!N16,INDIRECT("'数据-取费表'!n"&amp;$G$1)))</f>
        <v>1</v>
      </c>
      <c r="G34" s="263" t="s">
        <v>2396</v>
      </c>
    </row>
    <row r="35" spans="1:7" ht="13.5" customHeight="1">
      <c r="A35" s="954" t="s">
        <v>796</v>
      </c>
      <c r="B35" s="259" t="s">
        <v>2397</v>
      </c>
      <c r="C35" s="264">
        <f ca="1">ROUND(C34*F35,0)</f>
        <v>716</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1451</v>
      </c>
      <c r="D37" s="261">
        <f ca="1">D19</f>
        <v>72564.650000000038</v>
      </c>
      <c r="E37" s="293">
        <f>'数据-取费表'!B35</f>
        <v>200</v>
      </c>
      <c r="F37" s="303"/>
      <c r="G37" s="305" t="s">
        <v>2402</v>
      </c>
    </row>
    <row r="38" spans="1:7" ht="13.5" customHeight="1">
      <c r="A38" s="954" t="s">
        <v>799</v>
      </c>
      <c r="B38" s="259" t="s">
        <v>2403</v>
      </c>
      <c r="C38" s="264">
        <f ca="1">ROUND(C34*F38,0)</f>
        <v>358</v>
      </c>
      <c r="D38" s="264"/>
      <c r="E38" s="264"/>
      <c r="F38" s="303">
        <f>'数据-取费表'!B36</f>
        <v>1.4999999999999999E-2</v>
      </c>
      <c r="G38" s="263" t="s">
        <v>2398</v>
      </c>
    </row>
    <row r="39" spans="1:7" s="258" customFormat="1" ht="13.5" customHeight="1">
      <c r="A39" s="299" t="s">
        <v>2404</v>
      </c>
      <c r="B39" s="254" t="s">
        <v>2405</v>
      </c>
      <c r="C39" s="276">
        <f ca="1">ROUND(C33*F20,0)</f>
        <v>528</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1279</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1254</v>
      </c>
      <c r="D42" s="282"/>
      <c r="E42" s="282"/>
      <c r="F42" s="283"/>
      <c r="G42" s="3211" t="s">
        <v>2414</v>
      </c>
    </row>
    <row r="43" spans="1:7" ht="13.5" customHeight="1">
      <c r="A43" s="954" t="s">
        <v>792</v>
      </c>
      <c r="B43" s="259" t="s">
        <v>2415</v>
      </c>
      <c r="C43" s="282">
        <f ca="1">ROUND(IF('数据-取费表'!B22&lt;=1,C39*F22*'数据-取费表'!B21/2,C39*(POWER((1+F22),'数据-取费表'!B21/2)-1)),0)</f>
        <v>25</v>
      </c>
      <c r="D43" s="282"/>
      <c r="E43" s="282"/>
      <c r="F43" s="283"/>
      <c r="G43" s="3212"/>
    </row>
    <row r="44" spans="1:7" ht="13.5" customHeight="1">
      <c r="A44" s="954" t="s">
        <v>793</v>
      </c>
      <c r="B44" s="259" t="s">
        <v>2416</v>
      </c>
      <c r="C44" s="282">
        <f ca="1">ROUND(IF('数据-取费表'!B22&lt;=1,C40*F22*'数据-取费表'!B21/2,C40*(POWER((1+F22),'数据-取费表'!B21/2)-1)),4)</f>
        <v>1.4E-3</v>
      </c>
      <c r="D44" s="282"/>
      <c r="E44" s="282"/>
      <c r="F44" s="283"/>
      <c r="G44" s="3213"/>
    </row>
    <row r="45" spans="1:7" s="258" customFormat="1" ht="13.5" customHeight="1">
      <c r="A45" s="299" t="s">
        <v>2417</v>
      </c>
      <c r="B45" s="288" t="s">
        <v>2383</v>
      </c>
      <c r="C45" s="289">
        <f ca="1">C46</f>
        <v>2424</v>
      </c>
      <c r="D45" s="279">
        <f ca="1">C47</f>
        <v>2.7000000000000001E-3</v>
      </c>
      <c r="E45" s="280" t="s">
        <v>2409</v>
      </c>
      <c r="F45" s="290"/>
      <c r="G45" s="291" t="s">
        <v>2418</v>
      </c>
    </row>
    <row r="46" spans="1:7" s="258" customFormat="1" ht="13.5" customHeight="1">
      <c r="A46" s="954" t="s">
        <v>791</v>
      </c>
      <c r="B46" s="292" t="s">
        <v>2419</v>
      </c>
      <c r="C46" s="293">
        <f ca="1">ROUND((C33+C39)*F27,0)</f>
        <v>2424</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33565</v>
      </c>
      <c r="D49" s="276"/>
      <c r="E49" s="276"/>
      <c r="F49" s="308"/>
      <c r="G49" s="278" t="s">
        <v>2424</v>
      </c>
    </row>
    <row r="50" spans="1:7" s="302" customFormat="1" ht="24">
      <c r="A50" s="299" t="s">
        <v>2425</v>
      </c>
      <c r="B50" s="254" t="s">
        <v>2426</v>
      </c>
      <c r="C50" s="276"/>
      <c r="D50" s="276"/>
      <c r="E50" s="276"/>
      <c r="F50" s="308">
        <f>IF('数据-取费表'!B24=0,'数据-取费表'!N16,1)</f>
        <v>0.91</v>
      </c>
      <c r="G50" s="291" t="s">
        <v>2427</v>
      </c>
    </row>
    <row r="51" spans="1:7" ht="16.5" customHeight="1">
      <c r="A51" s="299" t="s">
        <v>2428</v>
      </c>
      <c r="B51" s="254" t="s">
        <v>2429</v>
      </c>
      <c r="C51" s="276">
        <f ca="1">ROUND(C49*F50,0)</f>
        <v>30544</v>
      </c>
      <c r="D51" s="276"/>
      <c r="E51" s="276"/>
      <c r="F51" s="308"/>
      <c r="G51" s="278" t="s">
        <v>2430</v>
      </c>
    </row>
    <row r="52" spans="1:7" s="252" customFormat="1" ht="16.5" thickBot="1">
      <c r="A52" s="309" t="s">
        <v>2431</v>
      </c>
      <c r="B52" s="310"/>
      <c r="C52" s="311">
        <f ca="1">C31+C51</f>
        <v>53835</v>
      </c>
      <c r="D52" s="310"/>
      <c r="E52" s="310"/>
      <c r="F52" s="310"/>
      <c r="G52" s="312"/>
    </row>
    <row r="55" spans="1:7" ht="15">
      <c r="B55" s="314" t="s">
        <v>2432</v>
      </c>
      <c r="C55" s="315"/>
    </row>
    <row r="56" spans="1:7">
      <c r="B56" s="317" t="s">
        <v>1513</v>
      </c>
      <c r="C56" s="319">
        <f ca="1">1-C57</f>
        <v>0.43300000000000005</v>
      </c>
    </row>
    <row r="57" spans="1:7">
      <c r="B57" s="317" t="s">
        <v>1514</v>
      </c>
      <c r="C57" s="318">
        <f ca="1">ROUND(C51/C52,3)</f>
        <v>0.56699999999999995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8"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33479</v>
      </c>
      <c r="C2" s="243" t="s">
        <v>2333</v>
      </c>
      <c r="D2" s="2552" t="s">
        <v>70</v>
      </c>
      <c r="E2" s="1443" t="e">
        <f ca="1">SUMIF(INDIRECT("'"&amp;G2&amp;"'"&amp;"!A:A"),"承租人权益价值",INDIRECT("'"&amp;G2&amp;"'"&amp;"!c:c"))</f>
        <v>#REF!</v>
      </c>
      <c r="F2" s="2553" t="s">
        <v>2333</v>
      </c>
      <c r="G2" s="2554"/>
    </row>
    <row r="3" spans="1:8" s="244" customFormat="1" ht="18" customHeight="1" thickBot="1">
      <c r="A3" s="247" t="s">
        <v>2334</v>
      </c>
      <c r="B3" s="248">
        <f ca="1">ROUND(B2*10000/(IF(B1="",'数据-汇总表'!E3,INDIRECT("'数据-取费表'!k"&amp;$G$1))),0)</f>
        <v>4614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7619288</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7619288</v>
      </c>
      <c r="D8" s="266"/>
      <c r="E8" s="264"/>
      <c r="F8" s="265"/>
      <c r="G8" s="2555"/>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105</v>
      </c>
      <c r="F9" s="265"/>
      <c r="G9" s="270"/>
    </row>
    <row r="10" spans="1:8" s="258" customFormat="1" ht="13.5" customHeight="1">
      <c r="A10" s="953" t="s">
        <v>801</v>
      </c>
      <c r="B10" s="268" t="s">
        <v>2350</v>
      </c>
      <c r="C10" s="269">
        <f ca="1">ROUND(D10*E10,0)</f>
        <v>7619288</v>
      </c>
      <c r="D10" s="1035">
        <f ca="1">IF(B1="",'数据-汇总表'!E6,IF(INDIRECT("'数据-取费表'!c"&amp;$G$1)="住宅",INDIRECT("'数据-取费表'!s"&amp;$G$1),INDIRECT("'数据-取费表'!k"&amp;$G$1)+INDIRECT("'数据-取费表'!s"&amp;$G$1)))</f>
        <v>72564.650000000038</v>
      </c>
      <c r="E10" s="269">
        <f>'数据-取费表'!B28</f>
        <v>105</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14512930</v>
      </c>
      <c r="D19" s="1039">
        <f ca="1">D9+D10</f>
        <v>72564.650000000038</v>
      </c>
      <c r="E19" s="255">
        <f>'数据-取费表'!B31</f>
        <v>200</v>
      </c>
      <c r="F19" s="275"/>
      <c r="G19" s="2555"/>
    </row>
    <row r="20" spans="1:7" s="258" customFormat="1" ht="13.5" customHeight="1">
      <c r="A20" s="299" t="s">
        <v>2444</v>
      </c>
      <c r="B20" s="254" t="s">
        <v>2445</v>
      </c>
      <c r="C20" s="276">
        <f ca="1">ROUND((C5+C19)*F20,0)</f>
        <v>442644</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2173522</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741023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1411473</v>
      </c>
      <c r="D24" s="282"/>
      <c r="E24" s="282"/>
      <c r="F24" s="283"/>
      <c r="G24" s="284" t="s">
        <v>2456</v>
      </c>
    </row>
    <row r="25" spans="1:7" s="258" customFormat="1" ht="24">
      <c r="A25" s="954" t="s">
        <v>2346</v>
      </c>
      <c r="B25" s="259" t="s">
        <v>2457</v>
      </c>
      <c r="C25" s="1384">
        <f ca="1">ROUND(IF('数据-取费表'!B22&lt;=1,C20*F22*'数据-取费表'!B22/2,C20*(POWER((1+F22),'数据-取费表'!B22/2)-1)),0)</f>
        <v>21026</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2031738</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ROUND((C5+C19+C20)*F27,0)</f>
        <v>2031738</v>
      </c>
      <c r="D28" s="279"/>
      <c r="E28" s="280"/>
      <c r="F28" s="290"/>
      <c r="G28" s="291"/>
    </row>
    <row r="29" spans="1:7" s="258" customFormat="1" ht="13.5" customHeight="1">
      <c r="A29" s="954" t="s">
        <v>792</v>
      </c>
      <c r="B29" s="292" t="s">
        <v>2387</v>
      </c>
      <c r="C29" s="282">
        <f ca="1">ROUND(C21*F27,4)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29344863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264007793</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238751065</v>
      </c>
      <c r="D34" s="261"/>
      <c r="E34" s="264"/>
      <c r="F34" s="301"/>
      <c r="G34" s="263"/>
    </row>
    <row r="35" spans="1:7" ht="13.5" customHeight="1">
      <c r="A35" s="954" t="s">
        <v>796</v>
      </c>
      <c r="B35" s="259" t="s">
        <v>2397</v>
      </c>
      <c r="C35" s="264">
        <f ca="1">ROUND(C34*F35,0)</f>
        <v>7162532</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14512930</v>
      </c>
      <c r="D37" s="261">
        <f ca="1">D19</f>
        <v>72564.650000000038</v>
      </c>
      <c r="E37" s="293">
        <f>'数据-取费表'!B35</f>
        <v>200</v>
      </c>
      <c r="F37" s="303"/>
      <c r="G37" s="305"/>
    </row>
    <row r="38" spans="1:7" ht="13.5" customHeight="1">
      <c r="A38" s="954" t="s">
        <v>799</v>
      </c>
      <c r="B38" s="259" t="s">
        <v>2403</v>
      </c>
      <c r="C38" s="264">
        <f ca="1">ROUND(C34*F38,0)</f>
        <v>3581266</v>
      </c>
      <c r="D38" s="264"/>
      <c r="E38" s="264"/>
      <c r="F38" s="303">
        <f>'数据-取费表'!B36</f>
        <v>1.4999999999999999E-2</v>
      </c>
      <c r="G38" s="263" t="s">
        <v>2398</v>
      </c>
    </row>
    <row r="39" spans="1:7" s="258" customFormat="1" ht="13.5" customHeight="1">
      <c r="A39" s="299" t="s">
        <v>2404</v>
      </c>
      <c r="B39" s="254" t="s">
        <v>2405</v>
      </c>
      <c r="C39" s="276">
        <f ca="1">ROUND(C33*F20,0)</f>
        <v>5280156</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12791177</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12540370</v>
      </c>
      <c r="D42" s="282"/>
      <c r="E42" s="282"/>
      <c r="F42" s="283"/>
      <c r="G42" s="3211" t="s">
        <v>2461</v>
      </c>
    </row>
    <row r="43" spans="1:7" ht="13.5" customHeight="1">
      <c r="A43" s="954" t="s">
        <v>792</v>
      </c>
      <c r="B43" s="259" t="s">
        <v>2415</v>
      </c>
      <c r="C43" s="282">
        <f ca="1">ROUND(IF('数据-取费表'!B22&lt;=1,C39*F22*'数据-取费表'!B20/2,C39*(POWER((1+F22),'数据-取费表'!B20/2)-1)),0)</f>
        <v>250807</v>
      </c>
      <c r="D43" s="282"/>
      <c r="E43" s="282"/>
      <c r="F43" s="283"/>
      <c r="G43" s="3212"/>
    </row>
    <row r="44" spans="1:7" ht="13.5" customHeight="1">
      <c r="A44" s="954" t="s">
        <v>793</v>
      </c>
      <c r="B44" s="259" t="s">
        <v>2416</v>
      </c>
      <c r="C44" s="282">
        <f ca="1">ROUND(IF('数据-取费表'!B22&lt;=1,C40*F22*'数据-取费表'!B20/2,C40*(POWER((1+F22),'数据-取费表'!B20/2)-1)),4)</f>
        <v>1.4E-3</v>
      </c>
      <c r="D44" s="282"/>
      <c r="E44" s="282"/>
      <c r="F44" s="283"/>
      <c r="G44" s="3213"/>
    </row>
    <row r="45" spans="1:7" s="258" customFormat="1" ht="13.5" customHeight="1">
      <c r="A45" s="299" t="s">
        <v>2417</v>
      </c>
      <c r="B45" s="288" t="s">
        <v>2383</v>
      </c>
      <c r="C45" s="289">
        <f ca="1">C46</f>
        <v>24235915</v>
      </c>
      <c r="D45" s="279">
        <f ca="1">C47</f>
        <v>2.7000000000000001E-3</v>
      </c>
      <c r="E45" s="280" t="s">
        <v>2409</v>
      </c>
      <c r="F45" s="290"/>
      <c r="G45" s="291" t="s">
        <v>2418</v>
      </c>
    </row>
    <row r="46" spans="1:7" s="258" customFormat="1" ht="13.5" customHeight="1">
      <c r="A46" s="954" t="s">
        <v>791</v>
      </c>
      <c r="B46" s="292" t="s">
        <v>2419</v>
      </c>
      <c r="C46" s="293">
        <f ca="1">ROUND((C33+C39)*F27,0)</f>
        <v>24235915</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335650933</v>
      </c>
      <c r="D49" s="276"/>
      <c r="E49" s="276"/>
      <c r="F49" s="308"/>
      <c r="G49" s="278" t="s">
        <v>2424</v>
      </c>
    </row>
    <row r="50" spans="1:7" s="302" customFormat="1">
      <c r="A50" s="299" t="s">
        <v>2425</v>
      </c>
      <c r="B50" s="254" t="s">
        <v>2426</v>
      </c>
      <c r="C50" s="276"/>
      <c r="D50" s="276"/>
      <c r="E50" s="276"/>
      <c r="F50" s="308">
        <f>IF('数据-取费表'!B24=0,'数据-取费表'!N16,1)</f>
        <v>0.91</v>
      </c>
      <c r="G50" s="291"/>
    </row>
    <row r="51" spans="1:7" ht="16.5" customHeight="1">
      <c r="A51" s="299" t="s">
        <v>2428</v>
      </c>
      <c r="B51" s="254" t="s">
        <v>2463</v>
      </c>
      <c r="C51" s="276">
        <f ca="1">ROUND(C49*F50,0)</f>
        <v>305442349</v>
      </c>
      <c r="D51" s="276"/>
      <c r="E51" s="276"/>
      <c r="F51" s="308"/>
      <c r="G51" s="278" t="s">
        <v>2430</v>
      </c>
    </row>
    <row r="52" spans="1:7" s="252" customFormat="1" ht="16.5" thickBot="1">
      <c r="A52" s="309" t="s">
        <v>2431</v>
      </c>
      <c r="B52" s="310"/>
      <c r="C52" s="311">
        <f ca="1">C31+C51</f>
        <v>334787212</v>
      </c>
      <c r="D52" s="310"/>
      <c r="E52" s="310"/>
      <c r="F52" s="310"/>
      <c r="G52" s="312"/>
    </row>
    <row r="55" spans="1:7" ht="15">
      <c r="B55" s="314" t="s">
        <v>2432</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9" t="s">
        <v>2470</v>
      </c>
      <c r="D5" s="2559" t="s">
        <v>2471</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15225.21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72564.650000000038</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72564.650000000038</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1"/>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105</v>
      </c>
      <c r="F19" s="979"/>
      <c r="G19" s="15"/>
      <c r="H19" s="1582"/>
      <c r="I19" s="984"/>
      <c r="J19" s="984"/>
      <c r="K19" s="985"/>
    </row>
    <row r="20" spans="1:33" s="978" customFormat="1" ht="13.5" customHeight="1">
      <c r="A20" s="974" t="s">
        <v>806</v>
      </c>
      <c r="B20" s="975" t="s">
        <v>2500</v>
      </c>
      <c r="C20" s="24">
        <f ca="1">ROUND(D20*E20/10000,0)</f>
        <v>762</v>
      </c>
      <c r="D20" s="1036">
        <f ca="1">IF(C1="",'数据-汇总表'!E6,IF(INDIRECT("'数据-取费表'!c"&amp;$K$1)="住宅",INDIRECT("'数据-取费表'!s"&amp;$K$1),INDIRECT("'数据-取费表'!k"&amp;$K$1)+INDIRECT("'数据-取费表'!s"&amp;$K$1)))</f>
        <v>72564.650000000038</v>
      </c>
      <c r="E20" s="24">
        <f>'数据-取费表'!B28</f>
        <v>105</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0</v>
      </c>
      <c r="D28" s="324">
        <f ca="1">C29</f>
        <v>0</v>
      </c>
      <c r="E28" s="326" t="s">
        <v>15</v>
      </c>
      <c r="F28" s="332">
        <f ca="1">IF(C1="",'数据-取费表'!Q16,INDIRECT("'数据-取费表'!q"&amp;$K$1))</f>
        <v>0.09</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5"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4" t="s">
        <v>1403</v>
      </c>
      <c r="C6" s="1299">
        <f ca="1">ROUND(F6*F8*F7*(1-F9),0)</f>
        <v>0</v>
      </c>
      <c r="D6" s="164" t="s">
        <v>3034</v>
      </c>
      <c r="E6" s="347" t="s">
        <v>1405</v>
      </c>
      <c r="F6" s="348">
        <f ca="1">INDIRECT("'数据-取费表'!u"&amp;$G$1)</f>
        <v>0</v>
      </c>
      <c r="G6" s="1854"/>
      <c r="H6" s="1294" t="s">
        <v>1035</v>
      </c>
      <c r="I6" s="3214" t="s">
        <v>1403</v>
      </c>
      <c r="J6" s="346">
        <f ca="1">ROUND(M6*M8*M7*(1-M9),0)</f>
        <v>0</v>
      </c>
      <c r="K6" s="1837" t="s">
        <v>3035</v>
      </c>
      <c r="L6" s="347" t="s">
        <v>1405</v>
      </c>
      <c r="M6" s="348">
        <f ca="1">INDIRECT("'数据-取费表'!z"&amp;$G$1)</f>
        <v>0</v>
      </c>
    </row>
    <row r="7" spans="1:37" ht="18" customHeight="1">
      <c r="A7" s="1298"/>
      <c r="B7" s="3215"/>
      <c r="C7" s="1300"/>
      <c r="D7" s="352"/>
      <c r="E7" s="1301" t="s">
        <v>1406</v>
      </c>
      <c r="F7" s="348">
        <f ca="1">IF(INDIRECT("'数据-取费表'!ah"&amp;$G$1)="",INDIRECT("'数据-取费表'!k"&amp;$G$1),INDIRECT("'数据-取费表'!ah"&amp;$G$1))</f>
        <v>0</v>
      </c>
      <c r="G7" s="1854"/>
      <c r="H7" s="349"/>
      <c r="I7" s="3215"/>
      <c r="J7" s="351"/>
      <c r="K7" s="352"/>
      <c r="L7" s="347" t="s">
        <v>1406</v>
      </c>
      <c r="M7" s="348">
        <f ca="1">F7</f>
        <v>0</v>
      </c>
    </row>
    <row r="8" spans="1:37" ht="18" customHeight="1">
      <c r="A8" s="349"/>
      <c r="B8" s="3215"/>
      <c r="C8" s="351"/>
      <c r="D8" s="352"/>
      <c r="E8" s="347" t="s">
        <v>1407</v>
      </c>
      <c r="F8" s="348">
        <f ca="1">INDIRECT("'数据-取费表'!ai"&amp;$G$1)</f>
        <v>0</v>
      </c>
      <c r="G8" s="1854"/>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7" t="s">
        <v>1548</v>
      </c>
      <c r="L53" s="321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19" t="s">
        <v>1129</v>
      </c>
      <c r="B33" s="3220"/>
      <c r="C33" s="3220"/>
      <c r="D33" s="3221"/>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72564.650000000038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258" t="s">
        <v>2541</v>
      </c>
      <c r="D4" s="3259"/>
      <c r="E4" s="3260" t="s">
        <v>2542</v>
      </c>
      <c r="F4" s="3261"/>
      <c r="G4" s="3258" t="s">
        <v>2543</v>
      </c>
      <c r="H4" s="3259"/>
      <c r="I4" s="3258" t="s">
        <v>2544</v>
      </c>
      <c r="J4" s="3259"/>
      <c r="K4" s="2601" t="s">
        <v>2545</v>
      </c>
      <c r="L4" s="1133"/>
      <c r="M4" s="1134"/>
      <c r="N4" s="1134"/>
      <c r="O4" s="1134"/>
      <c r="P4" s="3262" t="s">
        <v>2546</v>
      </c>
      <c r="Q4" s="3263"/>
      <c r="R4" s="3268" t="s">
        <v>2542</v>
      </c>
      <c r="S4" s="3269"/>
      <c r="T4" s="3268" t="s">
        <v>2543</v>
      </c>
      <c r="U4" s="3269"/>
      <c r="V4" s="3274" t="s">
        <v>2544</v>
      </c>
      <c r="W4" s="3274"/>
      <c r="X4" s="1816"/>
      <c r="Y4" s="3268" t="s">
        <v>2546</v>
      </c>
      <c r="Z4" s="3269"/>
      <c r="AA4" s="3255" t="s">
        <v>2542</v>
      </c>
      <c r="AB4" s="3255" t="s">
        <v>2543</v>
      </c>
      <c r="AC4" s="3255" t="s">
        <v>2544</v>
      </c>
    </row>
    <row r="5" spans="1:29" ht="15">
      <c r="A5" s="404"/>
      <c r="B5" s="405"/>
      <c r="C5" s="3277" t="s">
        <v>2547</v>
      </c>
      <c r="D5" s="3278"/>
      <c r="E5" s="3284" t="s">
        <v>2548</v>
      </c>
      <c r="F5" s="3285"/>
      <c r="G5" s="3277" t="s">
        <v>2549</v>
      </c>
      <c r="H5" s="3278"/>
      <c r="I5" s="3277" t="s">
        <v>2550</v>
      </c>
      <c r="J5" s="3278"/>
      <c r="K5" s="2602"/>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2602"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79" t="s">
        <v>2554</v>
      </c>
      <c r="Q7" s="3281"/>
      <c r="R7" s="770" t="s">
        <v>23</v>
      </c>
      <c r="S7" s="771">
        <f t="shared" ref="S7:S15" si="0">F7</f>
        <v>0</v>
      </c>
      <c r="T7" s="770" t="s">
        <v>23</v>
      </c>
      <c r="U7" s="771">
        <f t="shared" ref="U7:U15" si="1">H7</f>
        <v>0</v>
      </c>
      <c r="V7" s="770" t="s">
        <v>23</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79" t="s">
        <v>2557</v>
      </c>
      <c r="Q8" s="3280"/>
      <c r="R8" s="770" t="s">
        <v>23</v>
      </c>
      <c r="S8" s="771">
        <f t="shared" si="0"/>
        <v>0</v>
      </c>
      <c r="T8" s="770" t="s">
        <v>23</v>
      </c>
      <c r="U8" s="771">
        <f t="shared" si="1"/>
        <v>0</v>
      </c>
      <c r="V8" s="770" t="s">
        <v>23</v>
      </c>
      <c r="W8" s="771">
        <f t="shared" si="2"/>
        <v>0</v>
      </c>
      <c r="X8" s="772"/>
      <c r="Y8" s="3279" t="s">
        <v>2557</v>
      </c>
      <c r="Z8" s="3280"/>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54"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4"/>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4"/>
      <c r="Q11" s="1798" t="str">
        <f t="shared" si="6"/>
        <v>容积率</v>
      </c>
      <c r="R11" s="770" t="s">
        <v>21</v>
      </c>
      <c r="S11" s="771" t="e">
        <f t="shared" si="0"/>
        <v>#N/A</v>
      </c>
      <c r="T11" s="770" t="s">
        <v>21</v>
      </c>
      <c r="U11" s="771" t="e">
        <f t="shared" si="1"/>
        <v>#N/A</v>
      </c>
      <c r="V11" s="770" t="s">
        <v>21</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54"/>
      <c r="Q12" s="1798">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54"/>
      <c r="Q13" s="1798">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54"/>
      <c r="Q14" s="1798">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99.75">
      <c r="A15" s="440" t="s">
        <v>2564</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2565</v>
      </c>
      <c r="Q15" s="1813" t="str">
        <f t="shared" si="6"/>
        <v>居住社区成熟度</v>
      </c>
      <c r="R15" s="774" t="s">
        <v>21</v>
      </c>
      <c r="S15" s="775">
        <f t="shared" si="0"/>
        <v>100</v>
      </c>
      <c r="T15" s="774" t="s">
        <v>21</v>
      </c>
      <c r="U15" s="775">
        <f t="shared" si="1"/>
        <v>100</v>
      </c>
      <c r="V15" s="774" t="s">
        <v>21</v>
      </c>
      <c r="W15" s="775">
        <f t="shared" si="2"/>
        <v>100</v>
      </c>
      <c r="X15" s="1816"/>
      <c r="Y15" s="3245"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53"/>
      <c r="Q16" s="1813"/>
      <c r="R16" s="774"/>
      <c r="S16" s="775"/>
      <c r="T16" s="774"/>
      <c r="U16" s="775"/>
      <c r="V16" s="774"/>
      <c r="W16" s="775"/>
      <c r="X16" s="1816"/>
      <c r="Y16" s="3246"/>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3" t="str">
        <f>B17</f>
        <v>交通便捷度</v>
      </c>
      <c r="R17" s="774" t="s">
        <v>21</v>
      </c>
      <c r="S17" s="775">
        <f>F17</f>
        <v>100</v>
      </c>
      <c r="T17" s="774" t="s">
        <v>21</v>
      </c>
      <c r="U17" s="775">
        <f>H17</f>
        <v>100</v>
      </c>
      <c r="V17" s="774" t="s">
        <v>21</v>
      </c>
      <c r="W17" s="775">
        <f>J17</f>
        <v>100</v>
      </c>
      <c r="X17" s="1816"/>
      <c r="Y17" s="3246"/>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53"/>
      <c r="Q18" s="1813"/>
      <c r="R18" s="774"/>
      <c r="S18" s="775"/>
      <c r="T18" s="774"/>
      <c r="U18" s="775"/>
      <c r="V18" s="774"/>
      <c r="W18" s="775"/>
      <c r="X18" s="1816"/>
      <c r="Y18" s="3246"/>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3" t="str">
        <f>B19</f>
        <v>公共配套设施</v>
      </c>
      <c r="R19" s="774" t="s">
        <v>21</v>
      </c>
      <c r="S19" s="775">
        <f>F19</f>
        <v>100</v>
      </c>
      <c r="T19" s="774" t="s">
        <v>21</v>
      </c>
      <c r="U19" s="775">
        <f>H19</f>
        <v>100</v>
      </c>
      <c r="V19" s="774" t="s">
        <v>21</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53"/>
      <c r="Q20" s="1813"/>
      <c r="R20" s="774"/>
      <c r="S20" s="775"/>
      <c r="T20" s="774"/>
      <c r="U20" s="775"/>
      <c r="V20" s="774"/>
      <c r="W20" s="775"/>
      <c r="X20" s="1816"/>
      <c r="Y20" s="3246"/>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53"/>
      <c r="Q22" s="1813"/>
      <c r="R22" s="774"/>
      <c r="S22" s="775"/>
      <c r="T22" s="774"/>
      <c r="U22" s="775"/>
      <c r="V22" s="774"/>
      <c r="W22" s="775"/>
      <c r="X22" s="1816"/>
      <c r="Y22" s="3246"/>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246"/>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53"/>
      <c r="Q24" s="1813"/>
      <c r="R24" s="774"/>
      <c r="S24" s="775"/>
      <c r="T24" s="774"/>
      <c r="U24" s="775"/>
      <c r="V24" s="774"/>
      <c r="W24" s="775"/>
      <c r="X24" s="1816"/>
      <c r="Y24" s="3246"/>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6"/>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24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24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24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24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24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246"/>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7" t="s">
        <v>2570</v>
      </c>
      <c r="Q32" s="1813" t="str">
        <f t="shared" si="11"/>
        <v>建筑类型</v>
      </c>
      <c r="R32" s="774" t="s">
        <v>21</v>
      </c>
      <c r="S32" s="775">
        <f t="shared" si="12"/>
        <v>100</v>
      </c>
      <c r="T32" s="774" t="s">
        <v>21</v>
      </c>
      <c r="U32" s="775">
        <f t="shared" si="13"/>
        <v>100</v>
      </c>
      <c r="V32" s="774" t="s">
        <v>21</v>
      </c>
      <c r="W32" s="775">
        <f t="shared" si="14"/>
        <v>100</v>
      </c>
      <c r="X32" s="1816"/>
      <c r="Y32" s="3250"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8"/>
      <c r="Q33" s="776" t="str">
        <f t="shared" si="11"/>
        <v>项目建筑规模</v>
      </c>
      <c r="R33" s="777" t="s">
        <v>21</v>
      </c>
      <c r="S33" s="778" t="e">
        <f t="shared" si="12"/>
        <v>#N/A</v>
      </c>
      <c r="T33" s="777" t="s">
        <v>21</v>
      </c>
      <c r="U33" s="778" t="e">
        <f t="shared" si="13"/>
        <v>#N/A</v>
      </c>
      <c r="V33" s="777" t="s">
        <v>21</v>
      </c>
      <c r="W33" s="778" t="e">
        <f t="shared" si="14"/>
        <v>#N/A</v>
      </c>
      <c r="X33" s="779"/>
      <c r="Y33" s="3250"/>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8"/>
      <c r="Q34" s="1813" t="str">
        <f t="shared" si="11"/>
        <v>建筑结构</v>
      </c>
      <c r="R34" s="774" t="s">
        <v>21</v>
      </c>
      <c r="S34" s="775">
        <f t="shared" si="12"/>
        <v>100</v>
      </c>
      <c r="T34" s="774" t="s">
        <v>21</v>
      </c>
      <c r="U34" s="775">
        <f t="shared" si="13"/>
        <v>100</v>
      </c>
      <c r="V34" s="774" t="s">
        <v>21</v>
      </c>
      <c r="W34" s="775">
        <f t="shared" si="14"/>
        <v>100</v>
      </c>
      <c r="X34" s="1816"/>
      <c r="Y34" s="3250"/>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8"/>
      <c r="Q35" s="1813" t="str">
        <f t="shared" si="11"/>
        <v>建筑品质</v>
      </c>
      <c r="R35" s="774" t="s">
        <v>21</v>
      </c>
      <c r="S35" s="775">
        <f t="shared" si="12"/>
        <v>100</v>
      </c>
      <c r="T35" s="774" t="s">
        <v>21</v>
      </c>
      <c r="U35" s="775">
        <f t="shared" si="13"/>
        <v>100</v>
      </c>
      <c r="V35" s="774" t="s">
        <v>21</v>
      </c>
      <c r="W35" s="775">
        <f t="shared" si="14"/>
        <v>100</v>
      </c>
      <c r="X35" s="1816"/>
      <c r="Y35" s="3250"/>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8"/>
      <c r="Q36" s="1813" t="str">
        <f t="shared" si="11"/>
        <v>公共部分装修</v>
      </c>
      <c r="R36" s="774" t="s">
        <v>21</v>
      </c>
      <c r="S36" s="775">
        <f t="shared" si="12"/>
        <v>100</v>
      </c>
      <c r="T36" s="774" t="s">
        <v>21</v>
      </c>
      <c r="U36" s="775">
        <f t="shared" si="13"/>
        <v>100</v>
      </c>
      <c r="V36" s="774" t="s">
        <v>21</v>
      </c>
      <c r="W36" s="775">
        <f t="shared" si="14"/>
        <v>100</v>
      </c>
      <c r="X36" s="1816"/>
      <c r="Y36" s="3250"/>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8"/>
      <c r="Q37" s="1798" t="str">
        <f t="shared" si="11"/>
        <v>成新度</v>
      </c>
      <c r="R37" s="770" t="s">
        <v>21</v>
      </c>
      <c r="S37" s="771" t="e">
        <f t="shared" si="12"/>
        <v>#N/A</v>
      </c>
      <c r="T37" s="770" t="s">
        <v>21</v>
      </c>
      <c r="U37" s="771" t="e">
        <f t="shared" si="13"/>
        <v>#N/A</v>
      </c>
      <c r="V37" s="770" t="s">
        <v>21</v>
      </c>
      <c r="W37" s="771" t="e">
        <f t="shared" si="14"/>
        <v>#N/A</v>
      </c>
      <c r="X37" s="772"/>
      <c r="Y37" s="3250"/>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8" t="s">
        <v>2570</v>
      </c>
      <c r="Q38" s="1813" t="str">
        <f t="shared" si="11"/>
        <v>物业管理</v>
      </c>
      <c r="R38" s="774" t="s">
        <v>21</v>
      </c>
      <c r="S38" s="775">
        <f t="shared" si="12"/>
        <v>100</v>
      </c>
      <c r="T38" s="774" t="s">
        <v>21</v>
      </c>
      <c r="U38" s="775">
        <f t="shared" si="13"/>
        <v>100</v>
      </c>
      <c r="V38" s="774" t="s">
        <v>21</v>
      </c>
      <c r="W38" s="775">
        <f t="shared" si="14"/>
        <v>100</v>
      </c>
      <c r="X38" s="1816"/>
      <c r="Y38" s="3250"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8"/>
      <c r="Q39" s="1813" t="str">
        <f t="shared" si="11"/>
        <v>市政基础设施</v>
      </c>
      <c r="R39" s="774" t="s">
        <v>21</v>
      </c>
      <c r="S39" s="775">
        <f t="shared" si="12"/>
        <v>100</v>
      </c>
      <c r="T39" s="774" t="s">
        <v>21</v>
      </c>
      <c r="U39" s="775">
        <f t="shared" si="13"/>
        <v>100</v>
      </c>
      <c r="V39" s="774" t="s">
        <v>21</v>
      </c>
      <c r="W39" s="775">
        <f t="shared" si="14"/>
        <v>100</v>
      </c>
      <c r="X39" s="1816"/>
      <c r="Y39" s="3250"/>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8"/>
      <c r="Q40" s="1813" t="str">
        <f t="shared" si="11"/>
        <v>房型</v>
      </c>
      <c r="R40" s="774" t="s">
        <v>21</v>
      </c>
      <c r="S40" s="775">
        <f t="shared" si="12"/>
        <v>100</v>
      </c>
      <c r="T40" s="774" t="s">
        <v>21</v>
      </c>
      <c r="U40" s="775">
        <f t="shared" si="13"/>
        <v>100</v>
      </c>
      <c r="V40" s="774" t="s">
        <v>21</v>
      </c>
      <c r="W40" s="775">
        <f t="shared" si="14"/>
        <v>100</v>
      </c>
      <c r="X40" s="1816"/>
      <c r="Y40" s="3250"/>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8"/>
      <c r="Q42" s="1813" t="str">
        <f t="shared" si="11"/>
        <v>内部装修</v>
      </c>
      <c r="R42" s="774" t="s">
        <v>21</v>
      </c>
      <c r="S42" s="775">
        <f t="shared" si="12"/>
        <v>100</v>
      </c>
      <c r="T42" s="774" t="s">
        <v>21</v>
      </c>
      <c r="U42" s="775">
        <f t="shared" si="13"/>
        <v>100</v>
      </c>
      <c r="V42" s="774" t="s">
        <v>21</v>
      </c>
      <c r="W42" s="775">
        <f t="shared" si="14"/>
        <v>100</v>
      </c>
      <c r="X42" s="1816"/>
      <c r="Y42" s="3250"/>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8"/>
      <c r="Q43" s="1813" t="str">
        <f t="shared" si="11"/>
        <v>内部装修维护情况</v>
      </c>
      <c r="R43" s="774" t="s">
        <v>21</v>
      </c>
      <c r="S43" s="775">
        <f t="shared" si="12"/>
        <v>100</v>
      </c>
      <c r="T43" s="774" t="s">
        <v>21</v>
      </c>
      <c r="U43" s="775">
        <f t="shared" si="13"/>
        <v>100</v>
      </c>
      <c r="V43" s="774" t="s">
        <v>21</v>
      </c>
      <c r="W43" s="775">
        <f t="shared" si="14"/>
        <v>100</v>
      </c>
      <c r="X43" s="1816"/>
      <c r="Y43" s="325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8"/>
      <c r="Q44" s="1798">
        <f t="shared" si="11"/>
        <v>111</v>
      </c>
      <c r="R44" s="770" t="s">
        <v>21</v>
      </c>
      <c r="S44" s="771">
        <f t="shared" si="12"/>
        <v>100</v>
      </c>
      <c r="T44" s="770" t="s">
        <v>21</v>
      </c>
      <c r="U44" s="771">
        <f t="shared" si="13"/>
        <v>100</v>
      </c>
      <c r="V44" s="770" t="s">
        <v>21</v>
      </c>
      <c r="W44" s="771">
        <f t="shared" si="14"/>
        <v>100</v>
      </c>
      <c r="X44" s="772"/>
      <c r="Y44" s="325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8"/>
      <c r="Q45" s="1813">
        <f t="shared" si="11"/>
        <v>111</v>
      </c>
      <c r="R45" s="774" t="s">
        <v>21</v>
      </c>
      <c r="S45" s="775">
        <f t="shared" si="12"/>
        <v>100</v>
      </c>
      <c r="T45" s="774" t="s">
        <v>21</v>
      </c>
      <c r="U45" s="775">
        <f t="shared" si="13"/>
        <v>100</v>
      </c>
      <c r="V45" s="774" t="s">
        <v>21</v>
      </c>
      <c r="W45" s="775">
        <f t="shared" si="14"/>
        <v>100</v>
      </c>
      <c r="X45" s="1816"/>
      <c r="Y45" s="3250"/>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9"/>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72564.650000000038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74"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74"/>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74"/>
      <c r="AC6" s="3257"/>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7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4"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4"/>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4"/>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4"/>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4"/>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4"/>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2565</v>
      </c>
      <c r="Q15" s="1813" t="str">
        <f t="shared" si="6"/>
        <v>商业繁华度</v>
      </c>
      <c r="R15" s="774" t="s">
        <v>17</v>
      </c>
      <c r="S15" s="775">
        <f t="shared" si="0"/>
        <v>100</v>
      </c>
      <c r="T15" s="774" t="s">
        <v>17</v>
      </c>
      <c r="U15" s="775">
        <f t="shared" si="1"/>
        <v>100</v>
      </c>
      <c r="V15" s="774" t="s">
        <v>17</v>
      </c>
      <c r="W15" s="775">
        <f t="shared" si="2"/>
        <v>100</v>
      </c>
      <c r="X15" s="1816"/>
      <c r="Y15" s="3245"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53"/>
      <c r="Q18" s="1813"/>
      <c r="R18" s="774"/>
      <c r="S18" s="775"/>
      <c r="T18" s="774"/>
      <c r="U18" s="775"/>
      <c r="V18" s="774"/>
      <c r="W18" s="775"/>
      <c r="X18" s="1816"/>
      <c r="Y18" s="3246"/>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53"/>
      <c r="Q20" s="1813"/>
      <c r="R20" s="774"/>
      <c r="S20" s="775"/>
      <c r="T20" s="774"/>
      <c r="U20" s="775"/>
      <c r="V20" s="774"/>
      <c r="W20" s="775"/>
      <c r="X20" s="1816"/>
      <c r="Y20" s="3246"/>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53"/>
      <c r="Q22" s="1813"/>
      <c r="R22" s="774"/>
      <c r="S22" s="775"/>
      <c r="T22" s="774"/>
      <c r="U22" s="775"/>
      <c r="V22" s="774"/>
      <c r="W22" s="775"/>
      <c r="X22" s="1816"/>
      <c r="Y22" s="3246"/>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246"/>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53"/>
      <c r="Q24" s="1813"/>
      <c r="R24" s="774"/>
      <c r="S24" s="775"/>
      <c r="T24" s="774"/>
      <c r="U24" s="775"/>
      <c r="V24" s="774"/>
      <c r="W24" s="775"/>
      <c r="X24" s="1816"/>
      <c r="Y24" s="3246"/>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246"/>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246"/>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246"/>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24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7" t="s">
        <v>2570</v>
      </c>
      <c r="Q32" s="1813" t="str">
        <f t="shared" si="11"/>
        <v>商业类型</v>
      </c>
      <c r="R32" s="774" t="s">
        <v>17</v>
      </c>
      <c r="S32" s="775">
        <f t="shared" si="12"/>
        <v>100</v>
      </c>
      <c r="T32" s="774" t="s">
        <v>17</v>
      </c>
      <c r="U32" s="775">
        <f t="shared" si="13"/>
        <v>100</v>
      </c>
      <c r="V32" s="774" t="s">
        <v>17</v>
      </c>
      <c r="W32" s="775">
        <f t="shared" si="14"/>
        <v>100</v>
      </c>
      <c r="X32" s="1816"/>
      <c r="Y32" s="3250"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8"/>
      <c r="Q34" s="1813" t="str">
        <f t="shared" si="11"/>
        <v>建筑结构</v>
      </c>
      <c r="R34" s="774" t="s">
        <v>17</v>
      </c>
      <c r="S34" s="775">
        <f t="shared" si="12"/>
        <v>100</v>
      </c>
      <c r="T34" s="774" t="s">
        <v>17</v>
      </c>
      <c r="U34" s="775">
        <f t="shared" si="13"/>
        <v>100</v>
      </c>
      <c r="V34" s="774" t="s">
        <v>17</v>
      </c>
      <c r="W34" s="775">
        <f t="shared" si="14"/>
        <v>100</v>
      </c>
      <c r="X34" s="1816"/>
      <c r="Y34" s="3250"/>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8"/>
      <c r="Q35" s="1813" t="str">
        <f t="shared" si="11"/>
        <v>公共部分装修</v>
      </c>
      <c r="R35" s="774" t="s">
        <v>17</v>
      </c>
      <c r="S35" s="775">
        <f t="shared" si="12"/>
        <v>100</v>
      </c>
      <c r="T35" s="774" t="s">
        <v>17</v>
      </c>
      <c r="U35" s="775">
        <f t="shared" si="13"/>
        <v>100</v>
      </c>
      <c r="V35" s="774" t="s">
        <v>17</v>
      </c>
      <c r="W35" s="775">
        <f t="shared" si="14"/>
        <v>100</v>
      </c>
      <c r="X35" s="1816"/>
      <c r="Y35" s="3250"/>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3" t="str">
        <f t="shared" si="11"/>
        <v>成新度</v>
      </c>
      <c r="R36" s="774" t="s">
        <v>17</v>
      </c>
      <c r="S36" s="775" t="e">
        <f t="shared" si="12"/>
        <v>#N/A</v>
      </c>
      <c r="T36" s="774" t="s">
        <v>17</v>
      </c>
      <c r="U36" s="775" t="e">
        <f t="shared" si="13"/>
        <v>#N/A</v>
      </c>
      <c r="V36" s="774" t="s">
        <v>17</v>
      </c>
      <c r="W36" s="775" t="e">
        <f t="shared" si="14"/>
        <v>#N/A</v>
      </c>
      <c r="X36" s="1816"/>
      <c r="Y36" s="3250"/>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8"/>
      <c r="Q37" s="1798"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8" t="s">
        <v>2570</v>
      </c>
      <c r="Q38" s="1813" t="str">
        <f t="shared" si="11"/>
        <v>业态</v>
      </c>
      <c r="R38" s="774" t="s">
        <v>17</v>
      </c>
      <c r="S38" s="775">
        <f t="shared" si="12"/>
        <v>100</v>
      </c>
      <c r="T38" s="774" t="s">
        <v>17</v>
      </c>
      <c r="U38" s="775">
        <f t="shared" si="13"/>
        <v>100</v>
      </c>
      <c r="V38" s="774" t="s">
        <v>17</v>
      </c>
      <c r="W38" s="775">
        <f t="shared" si="14"/>
        <v>100</v>
      </c>
      <c r="X38" s="1816"/>
      <c r="Y38" s="3250"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8"/>
      <c r="Q39" s="1813" t="str">
        <f t="shared" si="11"/>
        <v>层高</v>
      </c>
      <c r="R39" s="774" t="s">
        <v>17</v>
      </c>
      <c r="S39" s="775">
        <f t="shared" si="12"/>
        <v>100</v>
      </c>
      <c r="T39" s="774" t="s">
        <v>17</v>
      </c>
      <c r="U39" s="775">
        <f t="shared" si="13"/>
        <v>100</v>
      </c>
      <c r="V39" s="774" t="s">
        <v>17</v>
      </c>
      <c r="W39" s="775">
        <f t="shared" si="14"/>
        <v>100</v>
      </c>
      <c r="X39" s="1816"/>
      <c r="Y39" s="3250"/>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3" t="str">
        <f t="shared" si="11"/>
        <v>单套建筑面积</v>
      </c>
      <c r="R40" s="774" t="s">
        <v>17</v>
      </c>
      <c r="S40" s="775">
        <f t="shared" si="12"/>
        <v>100</v>
      </c>
      <c r="T40" s="774" t="s">
        <v>17</v>
      </c>
      <c r="U40" s="775">
        <f t="shared" si="13"/>
        <v>100</v>
      </c>
      <c r="V40" s="774" t="s">
        <v>17</v>
      </c>
      <c r="W40" s="775">
        <f t="shared" si="14"/>
        <v>100</v>
      </c>
      <c r="X40" s="1816"/>
      <c r="Y40" s="3250"/>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8"/>
      <c r="Q42" s="1813" t="str">
        <f t="shared" si="11"/>
        <v>内部装修</v>
      </c>
      <c r="R42" s="774" t="s">
        <v>17</v>
      </c>
      <c r="S42" s="775">
        <f t="shared" si="12"/>
        <v>100</v>
      </c>
      <c r="T42" s="774" t="s">
        <v>17</v>
      </c>
      <c r="U42" s="775">
        <f t="shared" si="13"/>
        <v>100</v>
      </c>
      <c r="V42" s="774" t="s">
        <v>17</v>
      </c>
      <c r="W42" s="775">
        <f t="shared" si="14"/>
        <v>100</v>
      </c>
      <c r="X42" s="1816"/>
      <c r="Y42" s="3250"/>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8"/>
      <c r="Q43" s="1813" t="str">
        <f t="shared" si="11"/>
        <v>内部装修维护情况</v>
      </c>
      <c r="R43" s="774" t="s">
        <v>17</v>
      </c>
      <c r="S43" s="775">
        <f t="shared" si="12"/>
        <v>100</v>
      </c>
      <c r="T43" s="774" t="s">
        <v>17</v>
      </c>
      <c r="U43" s="775">
        <f t="shared" si="13"/>
        <v>100</v>
      </c>
      <c r="V43" s="774" t="s">
        <v>17</v>
      </c>
      <c r="W43" s="775">
        <f t="shared" si="14"/>
        <v>100</v>
      </c>
      <c r="X43" s="1816"/>
      <c r="Y43" s="325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8">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3">
        <f t="shared" si="11"/>
        <v>111</v>
      </c>
      <c r="R45" s="774" t="s">
        <v>17</v>
      </c>
      <c r="S45" s="775">
        <f t="shared" si="12"/>
        <v>100</v>
      </c>
      <c r="T45" s="774" t="s">
        <v>17</v>
      </c>
      <c r="U45" s="775">
        <f t="shared" si="13"/>
        <v>100</v>
      </c>
      <c r="V45" s="774" t="s">
        <v>17</v>
      </c>
      <c r="W45" s="775">
        <f t="shared" si="14"/>
        <v>100</v>
      </c>
      <c r="X45" s="1816"/>
      <c r="Y45" s="3250"/>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43" t="str">
        <f>A47</f>
        <v>成交单价（元/平方米）</v>
      </c>
      <c r="Q47" s="3243"/>
      <c r="R47" s="3274">
        <f>E47</f>
        <v>0</v>
      </c>
      <c r="S47" s="3274"/>
      <c r="T47" s="3274">
        <f>G47</f>
        <v>0</v>
      </c>
      <c r="U47" s="3274"/>
      <c r="V47" s="3274">
        <f>I47</f>
        <v>0</v>
      </c>
      <c r="W47" s="3274"/>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72564.650000000038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92" t="s">
        <v>2656</v>
      </c>
      <c r="Q4" s="3293"/>
      <c r="R4" s="3296" t="s">
        <v>2652</v>
      </c>
      <c r="S4" s="3297"/>
      <c r="T4" s="3296" t="s">
        <v>2653</v>
      </c>
      <c r="U4" s="3297"/>
      <c r="V4" s="3298" t="s">
        <v>2654</v>
      </c>
      <c r="W4" s="3298"/>
      <c r="X4" s="2675"/>
      <c r="Y4" s="3296" t="s">
        <v>2656</v>
      </c>
      <c r="Z4" s="3297"/>
      <c r="AA4" s="3300" t="s">
        <v>2652</v>
      </c>
      <c r="AB4" s="3300" t="s">
        <v>2653</v>
      </c>
      <c r="AC4" s="3289" t="s">
        <v>2654</v>
      </c>
    </row>
    <row r="5" spans="1:29" ht="15">
      <c r="A5" s="404"/>
      <c r="B5" s="405"/>
      <c r="C5" s="3277" t="s">
        <v>2547</v>
      </c>
      <c r="D5" s="3278"/>
      <c r="E5" s="3284" t="s">
        <v>2548</v>
      </c>
      <c r="F5" s="3285"/>
      <c r="G5" s="3277" t="s">
        <v>2549</v>
      </c>
      <c r="H5" s="3278"/>
      <c r="I5" s="3277" t="s">
        <v>2550</v>
      </c>
      <c r="J5" s="3278"/>
      <c r="K5" s="610"/>
      <c r="L5" s="1133"/>
      <c r="M5" s="1134"/>
      <c r="N5" s="1134"/>
      <c r="O5" s="1134"/>
      <c r="P5" s="3294"/>
      <c r="Q5" s="3265"/>
      <c r="R5" s="3270"/>
      <c r="S5" s="3271"/>
      <c r="T5" s="3270"/>
      <c r="U5" s="3271"/>
      <c r="V5" s="3274"/>
      <c r="W5" s="3274"/>
      <c r="X5" s="1816"/>
      <c r="Y5" s="3270"/>
      <c r="Z5" s="3271"/>
      <c r="AA5" s="3256"/>
      <c r="AB5" s="3256"/>
      <c r="AC5" s="3290"/>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95"/>
      <c r="Q6" s="3267"/>
      <c r="R6" s="3270"/>
      <c r="S6" s="3271"/>
      <c r="T6" s="3272"/>
      <c r="U6" s="3273"/>
      <c r="V6" s="3274"/>
      <c r="W6" s="3274"/>
      <c r="X6" s="1816"/>
      <c r="Y6" s="3272"/>
      <c r="Z6" s="3273"/>
      <c r="AA6" s="3257"/>
      <c r="AB6" s="3257"/>
      <c r="AC6" s="3291"/>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9" t="s">
        <v>2557</v>
      </c>
      <c r="Q8" s="3280"/>
      <c r="R8" s="770" t="s">
        <v>17</v>
      </c>
      <c r="S8" s="771">
        <f t="shared" si="0"/>
        <v>0</v>
      </c>
      <c r="T8" s="770" t="s">
        <v>17</v>
      </c>
      <c r="U8" s="771">
        <f t="shared" si="1"/>
        <v>0</v>
      </c>
      <c r="V8" s="770" t="s">
        <v>17</v>
      </c>
      <c r="W8" s="771">
        <f t="shared" si="2"/>
        <v>0</v>
      </c>
      <c r="X8" s="772"/>
      <c r="Y8" s="3279" t="s">
        <v>2557</v>
      </c>
      <c r="Z8" s="3280"/>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4"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4"/>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4"/>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54"/>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54"/>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54"/>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2565</v>
      </c>
      <c r="Q15" s="1813" t="str">
        <f t="shared" si="6"/>
        <v>办公集聚程度</v>
      </c>
      <c r="R15" s="774" t="s">
        <v>17</v>
      </c>
      <c r="S15" s="775">
        <f t="shared" si="0"/>
        <v>100</v>
      </c>
      <c r="T15" s="774" t="s">
        <v>17</v>
      </c>
      <c r="U15" s="775">
        <f t="shared" si="1"/>
        <v>100</v>
      </c>
      <c r="V15" s="774" t="s">
        <v>17</v>
      </c>
      <c r="W15" s="775">
        <f t="shared" si="2"/>
        <v>100</v>
      </c>
      <c r="X15" s="1816"/>
      <c r="Y15" s="3245" t="s">
        <v>2565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53"/>
      <c r="Q18" s="1813"/>
      <c r="R18" s="774"/>
      <c r="S18" s="775"/>
      <c r="T18" s="774"/>
      <c r="U18" s="775"/>
      <c r="V18" s="774"/>
      <c r="W18" s="775"/>
      <c r="X18" s="1816"/>
      <c r="Y18" s="3246"/>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53"/>
      <c r="Q20" s="1813"/>
      <c r="R20" s="774"/>
      <c r="S20" s="775"/>
      <c r="T20" s="774"/>
      <c r="U20" s="775"/>
      <c r="V20" s="774"/>
      <c r="W20" s="775"/>
      <c r="X20" s="1816"/>
      <c r="Y20" s="3246"/>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53"/>
      <c r="Q22" s="1813"/>
      <c r="R22" s="774"/>
      <c r="S22" s="775"/>
      <c r="T22" s="774"/>
      <c r="U22" s="775"/>
      <c r="V22" s="774"/>
      <c r="W22" s="775"/>
      <c r="X22" s="1816"/>
      <c r="Y22" s="3246"/>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53"/>
      <c r="Q24" s="1813"/>
      <c r="R24" s="774"/>
      <c r="S24" s="775"/>
      <c r="T24" s="774"/>
      <c r="U24" s="775"/>
      <c r="V24" s="774"/>
      <c r="W24" s="775"/>
      <c r="X24" s="1816"/>
      <c r="Y24" s="3246"/>
      <c r="Z24" s="1817"/>
      <c r="AA24" s="1814">
        <v>1</v>
      </c>
      <c r="AB24" s="1814">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246"/>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246"/>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246"/>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246"/>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246"/>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246"/>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7" t="s">
        <v>2570</v>
      </c>
      <c r="Q33" s="1813" t="str">
        <f t="shared" si="11"/>
        <v>建筑类型</v>
      </c>
      <c r="R33" s="774" t="s">
        <v>17</v>
      </c>
      <c r="S33" s="775">
        <f t="shared" si="12"/>
        <v>100</v>
      </c>
      <c r="T33" s="774" t="s">
        <v>17</v>
      </c>
      <c r="U33" s="775">
        <f t="shared" si="13"/>
        <v>100</v>
      </c>
      <c r="V33" s="774" t="s">
        <v>17</v>
      </c>
      <c r="W33" s="775">
        <f t="shared" si="14"/>
        <v>100</v>
      </c>
      <c r="X33" s="1816"/>
      <c r="Y33" s="3250"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250"/>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3" t="str">
        <f t="shared" si="11"/>
        <v>建筑结构</v>
      </c>
      <c r="R35" s="774" t="s">
        <v>17</v>
      </c>
      <c r="S35" s="775">
        <f t="shared" si="12"/>
        <v>100</v>
      </c>
      <c r="T35" s="774" t="s">
        <v>17</v>
      </c>
      <c r="U35" s="775">
        <f t="shared" si="13"/>
        <v>100</v>
      </c>
      <c r="V35" s="774" t="s">
        <v>17</v>
      </c>
      <c r="W35" s="775">
        <f t="shared" si="14"/>
        <v>100</v>
      </c>
      <c r="X35" s="1816"/>
      <c r="Y35" s="3250"/>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3" t="str">
        <f t="shared" si="11"/>
        <v>公共部分装修</v>
      </c>
      <c r="R36" s="774" t="s">
        <v>17</v>
      </c>
      <c r="S36" s="775">
        <f t="shared" si="12"/>
        <v>100</v>
      </c>
      <c r="T36" s="774" t="s">
        <v>17</v>
      </c>
      <c r="U36" s="775">
        <f t="shared" si="13"/>
        <v>100</v>
      </c>
      <c r="V36" s="774" t="s">
        <v>17</v>
      </c>
      <c r="W36" s="775">
        <f t="shared" si="14"/>
        <v>100</v>
      </c>
      <c r="X36" s="1816"/>
      <c r="Y36" s="3250"/>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3" t="str">
        <f t="shared" si="11"/>
        <v>成新度</v>
      </c>
      <c r="R37" s="774" t="s">
        <v>17</v>
      </c>
      <c r="S37" s="775" t="e">
        <f t="shared" si="12"/>
        <v>#N/A</v>
      </c>
      <c r="T37" s="774" t="s">
        <v>17</v>
      </c>
      <c r="U37" s="775" t="e">
        <f t="shared" si="13"/>
        <v>#N/A</v>
      </c>
      <c r="V37" s="774" t="s">
        <v>17</v>
      </c>
      <c r="W37" s="775" t="e">
        <f t="shared" si="14"/>
        <v>#N/A</v>
      </c>
      <c r="X37" s="1816"/>
      <c r="Y37" s="3250"/>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8"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2570</v>
      </c>
      <c r="Q39" s="1813" t="str">
        <f t="shared" si="11"/>
        <v>物业管理</v>
      </c>
      <c r="R39" s="774" t="s">
        <v>17</v>
      </c>
      <c r="S39" s="775">
        <f t="shared" si="12"/>
        <v>100</v>
      </c>
      <c r="T39" s="774" t="s">
        <v>17</v>
      </c>
      <c r="U39" s="775">
        <f t="shared" si="13"/>
        <v>100</v>
      </c>
      <c r="V39" s="774" t="s">
        <v>17</v>
      </c>
      <c r="W39" s="775">
        <f t="shared" si="14"/>
        <v>100</v>
      </c>
      <c r="X39" s="1816"/>
      <c r="Y39" s="3250"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3" t="str">
        <f t="shared" si="11"/>
        <v>市政基础设施</v>
      </c>
      <c r="R40" s="774" t="s">
        <v>17</v>
      </c>
      <c r="S40" s="775">
        <f t="shared" si="12"/>
        <v>100</v>
      </c>
      <c r="T40" s="774" t="s">
        <v>17</v>
      </c>
      <c r="U40" s="775">
        <f t="shared" si="13"/>
        <v>100</v>
      </c>
      <c r="V40" s="774" t="s">
        <v>17</v>
      </c>
      <c r="W40" s="775">
        <f t="shared" si="14"/>
        <v>100</v>
      </c>
      <c r="X40" s="1816"/>
      <c r="Y40" s="3250"/>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3" t="str">
        <f t="shared" si="11"/>
        <v>层高</v>
      </c>
      <c r="R41" s="774" t="s">
        <v>17</v>
      </c>
      <c r="S41" s="775">
        <f t="shared" si="12"/>
        <v>100</v>
      </c>
      <c r="T41" s="774" t="s">
        <v>17</v>
      </c>
      <c r="U41" s="775">
        <f t="shared" si="13"/>
        <v>100</v>
      </c>
      <c r="V41" s="774" t="s">
        <v>17</v>
      </c>
      <c r="W41" s="775">
        <f t="shared" si="14"/>
        <v>100</v>
      </c>
      <c r="X41" s="1816"/>
      <c r="Y41" s="3250"/>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3" t="str">
        <f t="shared" si="11"/>
        <v>内部装修</v>
      </c>
      <c r="R43" s="774" t="s">
        <v>17</v>
      </c>
      <c r="S43" s="775">
        <f t="shared" si="12"/>
        <v>100</v>
      </c>
      <c r="T43" s="774" t="s">
        <v>17</v>
      </c>
      <c r="U43" s="775">
        <f t="shared" si="13"/>
        <v>100</v>
      </c>
      <c r="V43" s="774" t="s">
        <v>17</v>
      </c>
      <c r="W43" s="775">
        <f t="shared" si="14"/>
        <v>100</v>
      </c>
      <c r="X43" s="1816"/>
      <c r="Y43" s="3250"/>
      <c r="Z43" s="1817" t="str">
        <f t="shared" si="15"/>
        <v>内部装修</v>
      </c>
      <c r="AA43" s="1814">
        <f t="shared" si="3"/>
        <v>1</v>
      </c>
      <c r="AB43" s="1814">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8"/>
      <c r="Q44" s="1813" t="str">
        <f t="shared" si="11"/>
        <v>内部装修维护情况</v>
      </c>
      <c r="R44" s="774" t="s">
        <v>17</v>
      </c>
      <c r="S44" s="775">
        <f t="shared" si="12"/>
        <v>100</v>
      </c>
      <c r="T44" s="774" t="s">
        <v>17</v>
      </c>
      <c r="U44" s="775">
        <f t="shared" si="13"/>
        <v>100</v>
      </c>
      <c r="V44" s="774" t="s">
        <v>17</v>
      </c>
      <c r="W44" s="775">
        <f t="shared" si="14"/>
        <v>100</v>
      </c>
      <c r="X44" s="1816"/>
      <c r="Y44" s="3250"/>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8">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254" t="str">
        <f>A48</f>
        <v>成交单价（元/平方米）</v>
      </c>
      <c r="Q48" s="3243"/>
      <c r="R48" s="3244">
        <f>E48</f>
        <v>0</v>
      </c>
      <c r="S48" s="3244"/>
      <c r="T48" s="3244">
        <f>G48</f>
        <v>0</v>
      </c>
      <c r="U48" s="3244"/>
      <c r="V48" s="3244">
        <f>I48</f>
        <v>0</v>
      </c>
      <c r="W48" s="3244"/>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54"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86" t="str">
        <f>A50</f>
        <v>估价对象XX用房的比较价值（楼面单价，元/平方米）</v>
      </c>
      <c r="Q50" s="3287"/>
      <c r="R50" s="3288" t="e">
        <f>IF(F1="售价",ROUND(AVERAGE(R49:V49),0),ROUND(AVERAGE(R49:V49),1))</f>
        <v>#DIV/0!</v>
      </c>
      <c r="S50" s="3288"/>
      <c r="T50" s="3288"/>
      <c r="U50" s="3288"/>
      <c r="V50" s="3288"/>
      <c r="W50" s="328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1"/>
      <c r="D2" s="1127"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72564.650000000038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5" t="s">
        <v>2565</v>
      </c>
      <c r="Q15" s="1813" t="str">
        <f t="shared" si="6"/>
        <v>产业集聚程度</v>
      </c>
      <c r="R15" s="774" t="s">
        <v>17</v>
      </c>
      <c r="S15" s="775">
        <f t="shared" si="0"/>
        <v>100</v>
      </c>
      <c r="T15" s="774" t="s">
        <v>17</v>
      </c>
      <c r="U15" s="775">
        <f t="shared" si="1"/>
        <v>100</v>
      </c>
      <c r="V15" s="774" t="s">
        <v>17</v>
      </c>
      <c r="W15" s="775">
        <f t="shared" si="2"/>
        <v>100</v>
      </c>
      <c r="X15" s="1816"/>
      <c r="Y15" s="3245"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6"/>
      <c r="Q16" s="1813"/>
      <c r="R16" s="774"/>
      <c r="S16" s="775"/>
      <c r="T16" s="774"/>
      <c r="U16" s="775"/>
      <c r="V16" s="774"/>
      <c r="W16" s="775"/>
      <c r="X16" s="1816"/>
      <c r="Y16" s="3246"/>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46"/>
      <c r="Q18" s="1813"/>
      <c r="R18" s="774"/>
      <c r="S18" s="775"/>
      <c r="T18" s="774"/>
      <c r="U18" s="775"/>
      <c r="V18" s="774"/>
      <c r="W18" s="775"/>
      <c r="X18" s="1816"/>
      <c r="Y18" s="3246"/>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6"/>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46"/>
      <c r="Q20" s="1813"/>
      <c r="R20" s="774"/>
      <c r="S20" s="775"/>
      <c r="T20" s="774"/>
      <c r="U20" s="775"/>
      <c r="V20" s="774"/>
      <c r="W20" s="775"/>
      <c r="X20" s="1816"/>
      <c r="Y20" s="3246"/>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6"/>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46"/>
      <c r="Q22" s="1813"/>
      <c r="R22" s="774"/>
      <c r="S22" s="775"/>
      <c r="T22" s="774"/>
      <c r="U22" s="775"/>
      <c r="V22" s="774"/>
      <c r="W22" s="775"/>
      <c r="X22" s="1816"/>
      <c r="Y22" s="3246"/>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6"/>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46"/>
      <c r="Q24" s="1813"/>
      <c r="R24" s="774"/>
      <c r="S24" s="775"/>
      <c r="T24" s="774"/>
      <c r="U24" s="775"/>
      <c r="V24" s="774"/>
      <c r="W24" s="775"/>
      <c r="X24" s="1816"/>
      <c r="Y24" s="324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6"/>
      <c r="Q25" s="1813">
        <f>B25</f>
        <v>111</v>
      </c>
      <c r="R25" s="774" t="s">
        <v>17</v>
      </c>
      <c r="S25" s="775">
        <f>F25</f>
        <v>100</v>
      </c>
      <c r="T25" s="774" t="s">
        <v>17</v>
      </c>
      <c r="U25" s="775">
        <f>H25</f>
        <v>100</v>
      </c>
      <c r="V25" s="774" t="s">
        <v>17</v>
      </c>
      <c r="W25" s="775">
        <f>J25</f>
        <v>100</v>
      </c>
      <c r="X25" s="1816"/>
      <c r="Y25" s="324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6"/>
      <c r="Q26" s="1813">
        <f t="shared" ref="Q26:Q40" si="11">B26</f>
        <v>111</v>
      </c>
      <c r="R26" s="774" t="s">
        <v>17</v>
      </c>
      <c r="S26" s="775">
        <f>F26</f>
        <v>100</v>
      </c>
      <c r="T26" s="774" t="s">
        <v>17</v>
      </c>
      <c r="U26" s="775">
        <f>H26</f>
        <v>100</v>
      </c>
      <c r="V26" s="774" t="s">
        <v>17</v>
      </c>
      <c r="W26" s="775">
        <f>J26</f>
        <v>100</v>
      </c>
      <c r="X26" s="1816"/>
      <c r="Y26" s="324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6"/>
      <c r="Q27" s="1798">
        <f t="shared" si="11"/>
        <v>111</v>
      </c>
      <c r="R27" s="770" t="s">
        <v>17</v>
      </c>
      <c r="S27" s="771">
        <f>F27</f>
        <v>100</v>
      </c>
      <c r="T27" s="770" t="s">
        <v>17</v>
      </c>
      <c r="U27" s="771">
        <f>H27</f>
        <v>100</v>
      </c>
      <c r="V27" s="770" t="s">
        <v>17</v>
      </c>
      <c r="W27" s="771">
        <f>J27</f>
        <v>100</v>
      </c>
      <c r="X27" s="772"/>
      <c r="Y27" s="324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6"/>
      <c r="Q28" s="1813">
        <f t="shared" si="11"/>
        <v>111</v>
      </c>
      <c r="R28" s="774" t="s">
        <v>17</v>
      </c>
      <c r="S28" s="775">
        <f t="shared" ref="S28:S40" si="12">F28</f>
        <v>100</v>
      </c>
      <c r="T28" s="774" t="s">
        <v>17</v>
      </c>
      <c r="U28" s="775">
        <f t="shared" ref="U28:U40" si="13">H28</f>
        <v>100</v>
      </c>
      <c r="V28" s="774" t="s">
        <v>17</v>
      </c>
      <c r="W28" s="775">
        <f t="shared" ref="W28:W40" si="14">J28</f>
        <v>100</v>
      </c>
      <c r="X28" s="1816"/>
      <c r="Y28" s="3246"/>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1" t="s">
        <v>2570</v>
      </c>
      <c r="Q29" s="1813" t="str">
        <f t="shared" si="11"/>
        <v>建筑类型</v>
      </c>
      <c r="R29" s="774" t="s">
        <v>17</v>
      </c>
      <c r="S29" s="775">
        <f t="shared" si="12"/>
        <v>100</v>
      </c>
      <c r="T29" s="774" t="s">
        <v>17</v>
      </c>
      <c r="U29" s="775">
        <f t="shared" si="13"/>
        <v>100</v>
      </c>
      <c r="V29" s="774" t="s">
        <v>17</v>
      </c>
      <c r="W29" s="775">
        <f t="shared" si="14"/>
        <v>100</v>
      </c>
      <c r="X29" s="1816"/>
      <c r="Y29" s="3250"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0"/>
      <c r="Q31" s="1813" t="str">
        <f t="shared" si="11"/>
        <v>建筑结构</v>
      </c>
      <c r="R31" s="774" t="s">
        <v>17</v>
      </c>
      <c r="S31" s="775">
        <f t="shared" si="12"/>
        <v>100</v>
      </c>
      <c r="T31" s="774" t="s">
        <v>17</v>
      </c>
      <c r="U31" s="775">
        <f t="shared" si="13"/>
        <v>100</v>
      </c>
      <c r="V31" s="774" t="s">
        <v>17</v>
      </c>
      <c r="W31" s="775">
        <f t="shared" si="14"/>
        <v>100</v>
      </c>
      <c r="X31" s="1816"/>
      <c r="Y31" s="3250"/>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0"/>
      <c r="Q32" s="1813" t="str">
        <f t="shared" si="11"/>
        <v>公共部分装修</v>
      </c>
      <c r="R32" s="774" t="s">
        <v>17</v>
      </c>
      <c r="S32" s="775">
        <f t="shared" si="12"/>
        <v>100</v>
      </c>
      <c r="T32" s="774" t="s">
        <v>17</v>
      </c>
      <c r="U32" s="775">
        <f t="shared" si="13"/>
        <v>100</v>
      </c>
      <c r="V32" s="774" t="s">
        <v>17</v>
      </c>
      <c r="W32" s="775">
        <f t="shared" si="14"/>
        <v>100</v>
      </c>
      <c r="X32" s="1816"/>
      <c r="Y32" s="3250"/>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0"/>
      <c r="Q33" s="1813" t="str">
        <f t="shared" si="11"/>
        <v>成新度</v>
      </c>
      <c r="R33" s="774" t="s">
        <v>17</v>
      </c>
      <c r="S33" s="775" t="e">
        <f t="shared" si="12"/>
        <v>#N/A</v>
      </c>
      <c r="T33" s="774" t="s">
        <v>17</v>
      </c>
      <c r="U33" s="775" t="e">
        <f t="shared" si="13"/>
        <v>#N/A</v>
      </c>
      <c r="V33" s="774" t="s">
        <v>17</v>
      </c>
      <c r="W33" s="775" t="e">
        <f t="shared" si="14"/>
        <v>#N/A</v>
      </c>
      <c r="X33" s="1816"/>
      <c r="Y33" s="3250"/>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0"/>
      <c r="Q34" s="1798"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0" t="s">
        <v>2570</v>
      </c>
      <c r="Q35" s="1813" t="str">
        <f t="shared" si="11"/>
        <v>市政基础设施</v>
      </c>
      <c r="R35" s="774" t="s">
        <v>17</v>
      </c>
      <c r="S35" s="775">
        <f t="shared" si="12"/>
        <v>100</v>
      </c>
      <c r="T35" s="774" t="s">
        <v>17</v>
      </c>
      <c r="U35" s="775">
        <f t="shared" si="13"/>
        <v>100</v>
      </c>
      <c r="V35" s="774" t="s">
        <v>17</v>
      </c>
      <c r="W35" s="775">
        <f t="shared" si="14"/>
        <v>100</v>
      </c>
      <c r="X35" s="1816"/>
      <c r="Y35" s="3250"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0"/>
      <c r="Q36" s="1813" t="str">
        <f t="shared" si="11"/>
        <v>内部装修</v>
      </c>
      <c r="R36" s="774" t="s">
        <v>17</v>
      </c>
      <c r="S36" s="775">
        <f t="shared" si="12"/>
        <v>100</v>
      </c>
      <c r="T36" s="774" t="s">
        <v>17</v>
      </c>
      <c r="U36" s="775">
        <f t="shared" si="13"/>
        <v>100</v>
      </c>
      <c r="V36" s="774" t="s">
        <v>17</v>
      </c>
      <c r="W36" s="775">
        <f t="shared" si="14"/>
        <v>100</v>
      </c>
      <c r="X36" s="1816"/>
      <c r="Y36" s="3250"/>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0"/>
      <c r="Q37" s="1813" t="str">
        <f t="shared" si="11"/>
        <v>内部装修状况</v>
      </c>
      <c r="R37" s="774" t="s">
        <v>17</v>
      </c>
      <c r="S37" s="775">
        <f t="shared" si="12"/>
        <v>100</v>
      </c>
      <c r="T37" s="774" t="s">
        <v>17</v>
      </c>
      <c r="U37" s="775">
        <f t="shared" si="13"/>
        <v>100</v>
      </c>
      <c r="V37" s="774" t="s">
        <v>17</v>
      </c>
      <c r="W37" s="775">
        <f t="shared" si="14"/>
        <v>100</v>
      </c>
      <c r="X37" s="1816"/>
      <c r="Y37" s="325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0"/>
      <c r="Q39" s="1813">
        <f t="shared" si="11"/>
        <v>111</v>
      </c>
      <c r="R39" s="774" t="s">
        <v>17</v>
      </c>
      <c r="S39" s="775">
        <f t="shared" si="12"/>
        <v>100</v>
      </c>
      <c r="T39" s="774" t="s">
        <v>17</v>
      </c>
      <c r="U39" s="775">
        <f t="shared" si="13"/>
        <v>100</v>
      </c>
      <c r="V39" s="774" t="s">
        <v>17</v>
      </c>
      <c r="W39" s="775">
        <f t="shared" si="14"/>
        <v>100</v>
      </c>
      <c r="X39" s="1816"/>
      <c r="Y39" s="3250"/>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9" t="s">
        <v>2554</v>
      </c>
      <c r="Q7" s="3281"/>
      <c r="R7" s="770" t="s">
        <v>17</v>
      </c>
      <c r="S7" s="771">
        <f t="shared" ref="S7:S14" si="0">F7</f>
        <v>0</v>
      </c>
      <c r="T7" s="770" t="s">
        <v>17</v>
      </c>
      <c r="U7" s="771">
        <f t="shared" ref="U7:U14" si="1">H7</f>
        <v>0</v>
      </c>
      <c r="V7" s="770" t="s">
        <v>17</v>
      </c>
      <c r="W7" s="771">
        <f t="shared" ref="W7:W14" si="2">J7</f>
        <v>0</v>
      </c>
      <c r="X7" s="772"/>
      <c r="Y7" s="3279" t="s">
        <v>2554</v>
      </c>
      <c r="Z7" s="3280"/>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2560</v>
      </c>
      <c r="Q9" s="1798" t="str">
        <f t="shared" ref="Q9:Q14" si="6">B9</f>
        <v>用途</v>
      </c>
      <c r="R9" s="770" t="s">
        <v>17</v>
      </c>
      <c r="S9" s="771">
        <f t="shared" si="0"/>
        <v>100</v>
      </c>
      <c r="T9" s="770" t="s">
        <v>17</v>
      </c>
      <c r="U9" s="771">
        <f t="shared" si="1"/>
        <v>100</v>
      </c>
      <c r="V9" s="770" t="s">
        <v>17</v>
      </c>
      <c r="W9" s="771">
        <f t="shared" si="2"/>
        <v>100</v>
      </c>
      <c r="X9" s="772"/>
      <c r="Y9" s="306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5" t="s">
        <v>2565</v>
      </c>
      <c r="Q14" s="1813" t="str">
        <f t="shared" si="6"/>
        <v>交通便捷度</v>
      </c>
      <c r="R14" s="774" t="s">
        <v>17</v>
      </c>
      <c r="S14" s="775">
        <f t="shared" si="0"/>
        <v>100</v>
      </c>
      <c r="T14" s="774" t="s">
        <v>17</v>
      </c>
      <c r="U14" s="775">
        <f t="shared" si="1"/>
        <v>100</v>
      </c>
      <c r="V14" s="774" t="s">
        <v>17</v>
      </c>
      <c r="W14" s="775">
        <f t="shared" si="2"/>
        <v>100</v>
      </c>
      <c r="X14" s="1816"/>
      <c r="Y14" s="3245"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6"/>
      <c r="Q15" s="1813"/>
      <c r="R15" s="774"/>
      <c r="S15" s="775"/>
      <c r="T15" s="774"/>
      <c r="U15" s="775"/>
      <c r="V15" s="774"/>
      <c r="W15" s="775"/>
      <c r="X15" s="1816"/>
      <c r="Y15" s="3246"/>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46"/>
      <c r="Q17" s="1813"/>
      <c r="R17" s="774"/>
      <c r="S17" s="775"/>
      <c r="T17" s="774"/>
      <c r="U17" s="775"/>
      <c r="V17" s="774"/>
      <c r="W17" s="775"/>
      <c r="X17" s="1816"/>
      <c r="Y17" s="3246"/>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46"/>
      <c r="Q19" s="1813"/>
      <c r="R19" s="774"/>
      <c r="S19" s="775"/>
      <c r="T19" s="774"/>
      <c r="U19" s="775"/>
      <c r="V19" s="774"/>
      <c r="W19" s="775"/>
      <c r="X19" s="1816"/>
      <c r="Y19" s="3246"/>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6"/>
      <c r="Q21" s="1813"/>
      <c r="R21" s="774"/>
      <c r="S21" s="775"/>
      <c r="T21" s="774"/>
      <c r="U21" s="775"/>
      <c r="V21" s="774"/>
      <c r="W21" s="775"/>
      <c r="X21" s="1816"/>
      <c r="Y21" s="3246"/>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6"/>
      <c r="Q24" s="1813">
        <f t="shared" ref="Q24:Q36"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1"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0"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0"/>
      <c r="Q28" s="1813" t="str">
        <f t="shared" si="11"/>
        <v>公共部分装修</v>
      </c>
      <c r="R28" s="774" t="s">
        <v>17</v>
      </c>
      <c r="S28" s="775">
        <f t="shared" si="12"/>
        <v>100</v>
      </c>
      <c r="T28" s="774" t="s">
        <v>17</v>
      </c>
      <c r="U28" s="775">
        <f t="shared" si="13"/>
        <v>100</v>
      </c>
      <c r="V28" s="774" t="s">
        <v>17</v>
      </c>
      <c r="W28" s="775">
        <f t="shared" si="14"/>
        <v>100</v>
      </c>
      <c r="X28" s="1816"/>
      <c r="Y28" s="3250"/>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0"/>
      <c r="Q29" s="1813" t="str">
        <f t="shared" si="11"/>
        <v>成新率</v>
      </c>
      <c r="R29" s="774" t="s">
        <v>17</v>
      </c>
      <c r="S29" s="775" t="e">
        <f t="shared" si="12"/>
        <v>#N/A</v>
      </c>
      <c r="T29" s="774" t="s">
        <v>17</v>
      </c>
      <c r="U29" s="775" t="e">
        <f t="shared" si="13"/>
        <v>#N/A</v>
      </c>
      <c r="V29" s="774" t="s">
        <v>17</v>
      </c>
      <c r="W29" s="775" t="e">
        <f t="shared" si="14"/>
        <v>#N/A</v>
      </c>
      <c r="X29" s="1816"/>
      <c r="Y29" s="3250"/>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0"/>
      <c r="Q30" s="1813" t="str">
        <f t="shared" si="11"/>
        <v>物业等级</v>
      </c>
      <c r="R30" s="774" t="s">
        <v>17</v>
      </c>
      <c r="S30" s="775">
        <f t="shared" si="12"/>
        <v>100</v>
      </c>
      <c r="T30" s="774" t="s">
        <v>17</v>
      </c>
      <c r="U30" s="775">
        <f t="shared" si="13"/>
        <v>100</v>
      </c>
      <c r="V30" s="774" t="s">
        <v>17</v>
      </c>
      <c r="W30" s="775">
        <f t="shared" si="14"/>
        <v>100</v>
      </c>
      <c r="X30" s="1816"/>
      <c r="Y30" s="3250"/>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0"/>
      <c r="Q31" s="1798"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0" t="s">
        <v>2570</v>
      </c>
      <c r="Q32" s="1813" t="str">
        <f t="shared" si="11"/>
        <v>车位类型</v>
      </c>
      <c r="R32" s="774" t="s">
        <v>17</v>
      </c>
      <c r="S32" s="775">
        <f t="shared" si="12"/>
        <v>100</v>
      </c>
      <c r="T32" s="774" t="s">
        <v>17</v>
      </c>
      <c r="U32" s="775">
        <f t="shared" si="13"/>
        <v>100</v>
      </c>
      <c r="V32" s="774" t="s">
        <v>17</v>
      </c>
      <c r="W32" s="775">
        <f t="shared" si="14"/>
        <v>100</v>
      </c>
      <c r="X32" s="1816"/>
      <c r="Y32" s="3250"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0"/>
      <c r="Q33" s="1813" t="str">
        <f t="shared" si="11"/>
        <v>是否直接入户</v>
      </c>
      <c r="R33" s="774" t="s">
        <v>17</v>
      </c>
      <c r="S33" s="775">
        <f t="shared" si="12"/>
        <v>100</v>
      </c>
      <c r="T33" s="774" t="s">
        <v>17</v>
      </c>
      <c r="U33" s="775">
        <f t="shared" si="13"/>
        <v>100</v>
      </c>
      <c r="V33" s="774" t="s">
        <v>17</v>
      </c>
      <c r="W33" s="775">
        <f t="shared" si="14"/>
        <v>100</v>
      </c>
      <c r="X33" s="1816"/>
      <c r="Y33" s="325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0"/>
      <c r="Q36" s="1813">
        <f t="shared" si="11"/>
        <v>111</v>
      </c>
      <c r="R36" s="774" t="s">
        <v>17</v>
      </c>
      <c r="S36" s="775">
        <f t="shared" si="12"/>
        <v>100</v>
      </c>
      <c r="T36" s="774" t="s">
        <v>17</v>
      </c>
      <c r="U36" s="775">
        <f t="shared" si="13"/>
        <v>100</v>
      </c>
      <c r="V36" s="774" t="s">
        <v>17</v>
      </c>
      <c r="W36" s="775">
        <f t="shared" si="14"/>
        <v>100</v>
      </c>
      <c r="X36" s="1816"/>
      <c r="Y36" s="3250"/>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估价对象为北京市房地产，为所有。根据《国有土地使用证》[]，估价对象（分摊）出让国有建设用地使用权面积为10471.89平方米，建筑面积为72564.65平方米。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估价对象为北京市房地产,属开发建设的办公项目，该项目尚在开发建设中。根据《国有土地使用证》[]，估价对象（分摊）出让国有建设用地使用权面积为10471.89平方米，规划建筑面积为72564.65平方米。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79" t="s">
        <v>2554</v>
      </c>
      <c r="Q7" s="3281"/>
      <c r="R7" s="770" t="s">
        <v>17</v>
      </c>
      <c r="S7" s="771">
        <f t="shared" ref="S7:S14" si="0">F7</f>
        <v>0</v>
      </c>
      <c r="T7" s="770" t="s">
        <v>17</v>
      </c>
      <c r="U7" s="771">
        <f t="shared" ref="U7:U14" si="1">H7</f>
        <v>0</v>
      </c>
      <c r="V7" s="770" t="s">
        <v>17</v>
      </c>
      <c r="W7" s="771">
        <f t="shared" ref="W7:W14" si="2">J7</f>
        <v>0</v>
      </c>
      <c r="X7" s="772"/>
      <c r="Y7" s="3279" t="s">
        <v>2554</v>
      </c>
      <c r="Z7" s="3280"/>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2560</v>
      </c>
      <c r="Q9" s="1798" t="str">
        <f t="shared" ref="Q9:Q14" si="6">B9</f>
        <v>用途</v>
      </c>
      <c r="R9" s="770" t="s">
        <v>17</v>
      </c>
      <c r="S9" s="771">
        <f t="shared" si="0"/>
        <v>100</v>
      </c>
      <c r="T9" s="770" t="s">
        <v>17</v>
      </c>
      <c r="U9" s="771">
        <f t="shared" si="1"/>
        <v>100</v>
      </c>
      <c r="V9" s="770" t="s">
        <v>17</v>
      </c>
      <c r="W9" s="771">
        <f t="shared" si="2"/>
        <v>100</v>
      </c>
      <c r="X9" s="772"/>
      <c r="Y9" s="306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5" t="s">
        <v>2565</v>
      </c>
      <c r="Q14" s="1813" t="str">
        <f t="shared" si="6"/>
        <v>交通便捷度</v>
      </c>
      <c r="R14" s="774" t="s">
        <v>17</v>
      </c>
      <c r="S14" s="775">
        <f t="shared" si="0"/>
        <v>100</v>
      </c>
      <c r="T14" s="774" t="s">
        <v>17</v>
      </c>
      <c r="U14" s="775">
        <f t="shared" si="1"/>
        <v>100</v>
      </c>
      <c r="V14" s="774" t="s">
        <v>17</v>
      </c>
      <c r="W14" s="775">
        <f t="shared" si="2"/>
        <v>100</v>
      </c>
      <c r="X14" s="1816"/>
      <c r="Y14" s="3245"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6"/>
      <c r="Q15" s="1813"/>
      <c r="R15" s="774"/>
      <c r="S15" s="775"/>
      <c r="T15" s="774"/>
      <c r="U15" s="775"/>
      <c r="V15" s="774"/>
      <c r="W15" s="775"/>
      <c r="X15" s="1816"/>
      <c r="Y15" s="3246"/>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46"/>
      <c r="Q17" s="1813"/>
      <c r="R17" s="774"/>
      <c r="S17" s="775"/>
      <c r="T17" s="774"/>
      <c r="U17" s="775"/>
      <c r="V17" s="774"/>
      <c r="W17" s="775"/>
      <c r="X17" s="1816"/>
      <c r="Y17" s="3246"/>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46"/>
      <c r="Q19" s="1813"/>
      <c r="R19" s="774"/>
      <c r="S19" s="775"/>
      <c r="T19" s="774"/>
      <c r="U19" s="775"/>
      <c r="V19" s="774"/>
      <c r="W19" s="775"/>
      <c r="X19" s="1816"/>
      <c r="Y19" s="3246"/>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6"/>
      <c r="Q21" s="1813"/>
      <c r="R21" s="774"/>
      <c r="S21" s="775"/>
      <c r="T21" s="774"/>
      <c r="U21" s="775"/>
      <c r="V21" s="774"/>
      <c r="W21" s="775"/>
      <c r="X21" s="1816"/>
      <c r="Y21" s="3246"/>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6"/>
      <c r="Q24" s="1813">
        <f t="shared" ref="Q24:Q34"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1"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0"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0"/>
      <c r="Q28" s="1813" t="str">
        <f t="shared" si="11"/>
        <v>物业等级</v>
      </c>
      <c r="R28" s="774" t="s">
        <v>17</v>
      </c>
      <c r="S28" s="775">
        <f t="shared" si="12"/>
        <v>100</v>
      </c>
      <c r="T28" s="774" t="s">
        <v>17</v>
      </c>
      <c r="U28" s="775">
        <f t="shared" si="13"/>
        <v>100</v>
      </c>
      <c r="V28" s="774" t="s">
        <v>17</v>
      </c>
      <c r="W28" s="775">
        <f t="shared" si="14"/>
        <v>100</v>
      </c>
      <c r="X28" s="1816"/>
      <c r="Y28" s="3250"/>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0"/>
      <c r="Q29" s="1813" t="str">
        <f t="shared" si="11"/>
        <v>有无电梯</v>
      </c>
      <c r="R29" s="774" t="s">
        <v>17</v>
      </c>
      <c r="S29" s="775">
        <f t="shared" si="12"/>
        <v>100</v>
      </c>
      <c r="T29" s="774" t="s">
        <v>17</v>
      </c>
      <c r="U29" s="775">
        <f t="shared" si="13"/>
        <v>100</v>
      </c>
      <c r="V29" s="774" t="s">
        <v>17</v>
      </c>
      <c r="W29" s="775">
        <f t="shared" si="14"/>
        <v>100</v>
      </c>
      <c r="X29" s="1816"/>
      <c r="Y29" s="3250"/>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0"/>
      <c r="Q30" s="1813" t="str">
        <f t="shared" si="11"/>
        <v>建筑面积</v>
      </c>
      <c r="R30" s="774" t="s">
        <v>17</v>
      </c>
      <c r="S30" s="775" t="e">
        <f t="shared" si="12"/>
        <v>#N/A</v>
      </c>
      <c r="T30" s="774" t="s">
        <v>17</v>
      </c>
      <c r="U30" s="775" t="e">
        <f t="shared" si="13"/>
        <v>#N/A</v>
      </c>
      <c r="V30" s="774" t="s">
        <v>17</v>
      </c>
      <c r="W30" s="775" t="e">
        <f t="shared" si="14"/>
        <v>#N/A</v>
      </c>
      <c r="X30" s="1816"/>
      <c r="Y30" s="3250"/>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0"/>
      <c r="Q31" s="1798"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0" t="s">
        <v>2570</v>
      </c>
      <c r="Q32" s="1813">
        <f t="shared" si="11"/>
        <v>111</v>
      </c>
      <c r="R32" s="774" t="s">
        <v>17</v>
      </c>
      <c r="S32" s="775">
        <f t="shared" si="12"/>
        <v>100</v>
      </c>
      <c r="T32" s="774" t="s">
        <v>17</v>
      </c>
      <c r="U32" s="775">
        <f t="shared" si="13"/>
        <v>100</v>
      </c>
      <c r="V32" s="774" t="s">
        <v>17</v>
      </c>
      <c r="W32" s="775">
        <f t="shared" si="14"/>
        <v>100</v>
      </c>
      <c r="X32" s="1816"/>
      <c r="Y32" s="3250"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0"/>
      <c r="Q33" s="1813">
        <f t="shared" si="11"/>
        <v>111</v>
      </c>
      <c r="R33" s="774" t="s">
        <v>17</v>
      </c>
      <c r="S33" s="775">
        <f t="shared" si="12"/>
        <v>100</v>
      </c>
      <c r="T33" s="774" t="s">
        <v>17</v>
      </c>
      <c r="U33" s="775">
        <f t="shared" si="13"/>
        <v>100</v>
      </c>
      <c r="V33" s="774" t="s">
        <v>17</v>
      </c>
      <c r="W33" s="775">
        <f t="shared" si="14"/>
        <v>100</v>
      </c>
      <c r="X33" s="1816"/>
      <c r="Y33" s="3250"/>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6" sqref="I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2332</v>
      </c>
      <c r="B2" s="2570">
        <f ca="1">SUMIF(B6:B13,"&lt;&gt;#ref!",B6:B13)</f>
        <v>33590</v>
      </c>
      <c r="C2" s="2571" t="s">
        <v>2524</v>
      </c>
      <c r="D2" s="2572" t="s">
        <v>2525</v>
      </c>
      <c r="E2" s="2573">
        <f>SUM(E6:E13)</f>
        <v>72564.650000000009</v>
      </c>
    </row>
    <row r="3" spans="1:6" ht="15.75">
      <c r="A3" s="2569" t="s">
        <v>1395</v>
      </c>
      <c r="B3" s="2570">
        <f ca="1">ROUND(B2*10000/E2,0)</f>
        <v>4629</v>
      </c>
      <c r="C3" s="2571" t="s">
        <v>2532</v>
      </c>
      <c r="D3" s="2574"/>
      <c r="E3" s="2575"/>
    </row>
    <row r="4" spans="1:6" ht="15.75">
      <c r="A4" s="2576"/>
      <c r="B4" s="2574"/>
      <c r="C4" s="2574"/>
      <c r="D4" s="2574"/>
      <c r="E4" s="2575"/>
    </row>
    <row r="5" spans="1:6" ht="15">
      <c r="A5" s="2577" t="s">
        <v>2526</v>
      </c>
      <c r="B5" s="3302" t="s">
        <v>2527</v>
      </c>
      <c r="C5" s="3302"/>
      <c r="D5" s="2578"/>
      <c r="E5" s="2579" t="s">
        <v>2528</v>
      </c>
      <c r="F5" s="2580" t="s">
        <v>2529</v>
      </c>
    </row>
    <row r="6" spans="1:6">
      <c r="A6" s="2581" t="str">
        <f>'数据-取费表'!AN6</f>
        <v>收益法</v>
      </c>
      <c r="B6" s="2580">
        <f ca="1">IF(F6="是",'数据-取费表'!AO6,0)</f>
        <v>30367</v>
      </c>
      <c r="C6" s="2571" t="s">
        <v>2524</v>
      </c>
      <c r="D6" s="2574"/>
      <c r="E6" s="2582">
        <f>IF(OR(A6=0,F6="否"),0,'数据-取费表'!K6+'数据-取费表'!S6)</f>
        <v>57339.44000000001</v>
      </c>
      <c r="F6" s="2583" t="s">
        <v>2530</v>
      </c>
    </row>
    <row r="7" spans="1:6">
      <c r="A7" s="2581" t="str">
        <f>'数据-取费表'!AN7</f>
        <v>收益法 (车库)</v>
      </c>
      <c r="B7" s="2580">
        <f ca="1">IF(F7="是",'数据-取费表'!AO7,0)</f>
        <v>3223</v>
      </c>
      <c r="C7" s="2571" t="s">
        <v>2524</v>
      </c>
      <c r="D7" s="2574"/>
      <c r="E7" s="2582">
        <f>IF(OR(A7=0,F7="否"),0,'数据-取费表'!K7+'数据-取费表'!S7)</f>
        <v>15225.21</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9" sqref="C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16307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2247</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30" ht="15">
      <c r="A5" s="404"/>
      <c r="B5" s="405"/>
      <c r="C5" s="3277" t="s">
        <v>2547</v>
      </c>
      <c r="D5" s="3278"/>
      <c r="E5" s="3284" t="str">
        <f>土地案例!A4</f>
        <v>铭东路以北,慈行路以西</v>
      </c>
      <c r="F5" s="3285"/>
      <c r="G5" s="3277" t="str">
        <f>土地案例!A7</f>
        <v>宜侯路以南、赵声路以西</v>
      </c>
      <c r="H5" s="3278"/>
      <c r="I5" s="3277" t="str">
        <f>土地案例!A8</f>
        <v>赵声路以东、平昌路以北</v>
      </c>
      <c r="J5" s="3278"/>
      <c r="K5" s="610"/>
      <c r="L5" s="1133"/>
      <c r="M5" s="1134"/>
      <c r="N5" s="1134"/>
      <c r="O5" s="1134"/>
      <c r="P5" s="3264"/>
      <c r="Q5" s="3265"/>
      <c r="R5" s="3270"/>
      <c r="S5" s="3271"/>
      <c r="T5" s="3270"/>
      <c r="U5" s="3271"/>
      <c r="V5" s="3274"/>
      <c r="W5" s="3274"/>
      <c r="X5" s="1816"/>
      <c r="Y5" s="3270"/>
      <c r="Z5" s="3271"/>
      <c r="AA5" s="3256"/>
      <c r="AB5" s="3256"/>
      <c r="AC5" s="3256"/>
    </row>
    <row r="6" spans="1:30"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30" s="117" customFormat="1" ht="15.75" thickBot="1">
      <c r="A7" s="408" t="s">
        <v>2553</v>
      </c>
      <c r="B7" s="409"/>
      <c r="C7" s="410">
        <f>'数据-取费表'!B2</f>
        <v>43296</v>
      </c>
      <c r="D7" s="411">
        <v>100</v>
      </c>
      <c r="E7" s="412" t="str">
        <f>土地案例!H4</f>
        <v>2018-02-12</v>
      </c>
      <c r="F7" s="413">
        <f>SUMIF(70:70,YEAR(E7)&amp;"-"&amp;INT((MONTH(E7)+2)/3),71:71)</f>
        <v>98</v>
      </c>
      <c r="G7" s="2701" t="str">
        <f>土地案例!H7</f>
        <v>2017-12-07</v>
      </c>
      <c r="H7" s="411">
        <f>SUMIF(70:70,YEAR(G7)&amp;"-"&amp;INT((MONTH(G7)+2)/3),71:71)</f>
        <v>97</v>
      </c>
      <c r="I7" s="2701" t="str">
        <f>土地案例!H8</f>
        <v>2017-12-07</v>
      </c>
      <c r="J7" s="411">
        <f>SUMIF(70:70,YEAR(I7)&amp;"-"&amp;INT((MONTH(I7)+2)/3),71:71)</f>
        <v>97</v>
      </c>
      <c r="K7" s="611"/>
      <c r="L7" s="1135"/>
      <c r="M7" s="1136"/>
      <c r="N7" s="1136"/>
      <c r="O7" s="1136"/>
      <c r="P7" s="3279" t="s">
        <v>2554</v>
      </c>
      <c r="Q7" s="3281"/>
      <c r="R7" s="770" t="s">
        <v>17</v>
      </c>
      <c r="S7" s="771">
        <f t="shared" ref="S7:S15" si="0">F7</f>
        <v>98</v>
      </c>
      <c r="T7" s="770" t="s">
        <v>17</v>
      </c>
      <c r="U7" s="771">
        <f t="shared" ref="U7:U15" si="1">H7</f>
        <v>97</v>
      </c>
      <c r="V7" s="770" t="s">
        <v>17</v>
      </c>
      <c r="W7" s="771">
        <f t="shared" ref="W7:W15" si="2">J7</f>
        <v>97</v>
      </c>
      <c r="X7" s="772"/>
      <c r="Y7" s="3279" t="s">
        <v>2554</v>
      </c>
      <c r="Z7" s="3280"/>
      <c r="AA7" s="773">
        <f>D7/F7</f>
        <v>1.0204081632653061</v>
      </c>
      <c r="AB7" s="773">
        <f>D7/H7</f>
        <v>1.0309278350515463</v>
      </c>
      <c r="AC7" s="773">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279" t="s">
        <v>2557</v>
      </c>
      <c r="Q8" s="3280"/>
      <c r="R8" s="770" t="s">
        <v>17</v>
      </c>
      <c r="S8" s="771">
        <f t="shared" si="0"/>
        <v>100</v>
      </c>
      <c r="T8" s="770" t="s">
        <v>17</v>
      </c>
      <c r="U8" s="771">
        <f t="shared" si="1"/>
        <v>100</v>
      </c>
      <c r="V8" s="770" t="s">
        <v>17</v>
      </c>
      <c r="W8" s="771">
        <f t="shared" si="2"/>
        <v>100</v>
      </c>
      <c r="X8" s="772"/>
      <c r="Y8" s="3279" t="s">
        <v>2557</v>
      </c>
      <c r="Z8" s="3280"/>
      <c r="AA8" s="773">
        <f t="shared" ref="AA8:AA45" si="3">D8/F8</f>
        <v>1</v>
      </c>
      <c r="AB8" s="773">
        <f t="shared" ref="AB8:AB45" si="4">D8/H8</f>
        <v>1</v>
      </c>
      <c r="AC8" s="773">
        <f t="shared" ref="AC8:AC45" si="5">D8/J8</f>
        <v>1</v>
      </c>
    </row>
    <row r="9" spans="1:30" s="117" customFormat="1">
      <c r="A9" s="415" t="s">
        <v>2558</v>
      </c>
      <c r="B9" s="71" t="s">
        <v>2559</v>
      </c>
      <c r="C9" s="2961" t="s">
        <v>3431</v>
      </c>
      <c r="D9" s="135">
        <v>100</v>
      </c>
      <c r="E9" s="2961" t="s">
        <v>3431</v>
      </c>
      <c r="F9" s="135">
        <f>SUMIF(75:75,E9,76:76)-SUMIF(75:75,C9,76:76)+100</f>
        <v>100</v>
      </c>
      <c r="G9" s="2961" t="s">
        <v>3431</v>
      </c>
      <c r="H9" s="135">
        <f>SUMIF(75:75,G9,76:76)-SUMIF(75:75,C9,76:76)+100</f>
        <v>100</v>
      </c>
      <c r="I9" s="2961" t="s">
        <v>3431</v>
      </c>
      <c r="J9" s="135">
        <f>SUMIF(75:75,I9,76:76)-SUMIF(75:75,C9,76:76)+100</f>
        <v>100</v>
      </c>
      <c r="K9" s="611"/>
      <c r="L9" s="1135"/>
      <c r="M9" s="1136"/>
      <c r="N9" s="1136"/>
      <c r="O9" s="1137"/>
      <c r="P9" s="3243"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43"/>
      <c r="Q10" s="1798" t="str">
        <f t="shared" si="6"/>
        <v>土地使用年限（年）</v>
      </c>
      <c r="R10" s="770" t="s">
        <v>17</v>
      </c>
      <c r="S10" s="771">
        <f t="shared" si="0"/>
        <v>108</v>
      </c>
      <c r="T10" s="770" t="s">
        <v>17</v>
      </c>
      <c r="U10" s="771">
        <f t="shared" si="1"/>
        <v>108</v>
      </c>
      <c r="V10" s="770" t="s">
        <v>17</v>
      </c>
      <c r="W10" s="771">
        <f t="shared" si="2"/>
        <v>108</v>
      </c>
      <c r="X10" s="772"/>
      <c r="Y10" s="3066"/>
      <c r="Z10" s="55" t="str">
        <f t="shared" si="7"/>
        <v>土地使用年限（年）</v>
      </c>
      <c r="AA10" s="773">
        <f t="shared" si="3"/>
        <v>0.92592592592592593</v>
      </c>
      <c r="AB10" s="773">
        <f t="shared" si="4"/>
        <v>0.92592592592592593</v>
      </c>
      <c r="AC10" s="773">
        <f t="shared" si="5"/>
        <v>0.92592592592592593</v>
      </c>
    </row>
    <row r="11" spans="1:30" ht="15">
      <c r="A11" s="428"/>
      <c r="B11" s="422" t="s">
        <v>2563</v>
      </c>
      <c r="C11" s="429">
        <v>5.3</v>
      </c>
      <c r="D11" s="136">
        <v>100</v>
      </c>
      <c r="E11" s="429">
        <v>0.65</v>
      </c>
      <c r="F11" s="136">
        <f>LOOKUP(E11,80:80,81:81)-LOOKUP(C11,80:80,81:81)+100</f>
        <v>102</v>
      </c>
      <c r="G11" s="430">
        <v>0.6</v>
      </c>
      <c r="H11" s="136">
        <f>LOOKUP(G11,80:80,81:81)-LOOKUP(C11,80:80,81:81)+100</f>
        <v>102</v>
      </c>
      <c r="I11" s="429">
        <v>0.8</v>
      </c>
      <c r="J11" s="136">
        <f>LOOKUP(I11,80:80,81:81)-LOOKUP(C11,80:80,81:81)+100</f>
        <v>102</v>
      </c>
      <c r="K11" s="673">
        <v>1</v>
      </c>
      <c r="L11" s="1141"/>
      <c r="M11" s="1134"/>
      <c r="N11" s="1134"/>
      <c r="O11" s="1142"/>
      <c r="P11" s="3243"/>
      <c r="Q11" s="1798" t="str">
        <f t="shared" si="6"/>
        <v>容积率</v>
      </c>
      <c r="R11" s="770" t="s">
        <v>17</v>
      </c>
      <c r="S11" s="771">
        <f t="shared" si="0"/>
        <v>102</v>
      </c>
      <c r="T11" s="770" t="s">
        <v>17</v>
      </c>
      <c r="U11" s="771">
        <f t="shared" si="1"/>
        <v>102</v>
      </c>
      <c r="V11" s="770" t="s">
        <v>17</v>
      </c>
      <c r="W11" s="771">
        <f t="shared" si="2"/>
        <v>102</v>
      </c>
      <c r="X11" s="772"/>
      <c r="Y11" s="3066"/>
      <c r="Z11" s="55" t="str">
        <f t="shared" si="7"/>
        <v>容积率</v>
      </c>
      <c r="AA11" s="773">
        <f t="shared" si="3"/>
        <v>0.98039215686274506</v>
      </c>
      <c r="AB11" s="773">
        <f t="shared" si="4"/>
        <v>0.98039215686274506</v>
      </c>
      <c r="AC11" s="773">
        <f t="shared" si="5"/>
        <v>0.98039215686274506</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06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66"/>
      <c r="Z14" s="55">
        <f t="shared" si="7"/>
        <v>111</v>
      </c>
      <c r="AA14" s="773">
        <f>D14/F14</f>
        <v>1</v>
      </c>
      <c r="AB14" s="773">
        <f>D14/H14</f>
        <v>1</v>
      </c>
      <c r="AC14" s="773">
        <f>D14/J14</f>
        <v>1</v>
      </c>
    </row>
    <row r="15" spans="1:30" ht="99.75" hidden="1">
      <c r="A15" s="440" t="s">
        <v>2564</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5" t="s">
        <v>2565</v>
      </c>
      <c r="Q15" s="1813" t="str">
        <f t="shared" si="6"/>
        <v>居住社区成熟度</v>
      </c>
      <c r="R15" s="774" t="s">
        <v>17</v>
      </c>
      <c r="S15" s="775">
        <f t="shared" si="0"/>
        <v>100</v>
      </c>
      <c r="T15" s="774" t="s">
        <v>17</v>
      </c>
      <c r="U15" s="775">
        <f t="shared" si="1"/>
        <v>100</v>
      </c>
      <c r="V15" s="774" t="s">
        <v>17</v>
      </c>
      <c r="W15" s="775">
        <f t="shared" si="2"/>
        <v>100</v>
      </c>
      <c r="X15" s="1816"/>
      <c r="Y15" s="3245" t="s">
        <v>2565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71.25" hidden="1">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46"/>
      <c r="Q17" s="1813" t="str">
        <f>B17</f>
        <v>商业繁华度</v>
      </c>
      <c r="R17" s="774" t="s">
        <v>17</v>
      </c>
      <c r="S17" s="775">
        <f>F17</f>
        <v>100</v>
      </c>
      <c r="T17" s="774" t="s">
        <v>17</v>
      </c>
      <c r="U17" s="775">
        <f>H17</f>
        <v>100</v>
      </c>
      <c r="V17" s="774" t="s">
        <v>17</v>
      </c>
      <c r="W17" s="775">
        <f>J17</f>
        <v>100</v>
      </c>
      <c r="X17" s="1816"/>
      <c r="Y17" s="3246"/>
      <c r="Z17" s="1817" t="str">
        <f>Q17</f>
        <v>商业繁华度</v>
      </c>
      <c r="AA17" s="1814">
        <f t="shared" si="3"/>
        <v>1</v>
      </c>
      <c r="AB17" s="1814">
        <f t="shared" si="4"/>
        <v>1</v>
      </c>
      <c r="AC17" s="1814">
        <f t="shared" si="5"/>
        <v>1</v>
      </c>
    </row>
    <row r="18" spans="1:29" ht="15" hidden="1">
      <c r="A18" s="428"/>
      <c r="B18" s="456"/>
      <c r="C18" s="2613" t="s">
        <v>3466</v>
      </c>
      <c r="D18" s="450"/>
      <c r="E18" s="2970" t="s">
        <v>3466</v>
      </c>
      <c r="F18" s="450"/>
      <c r="G18" s="2613" t="s">
        <v>3466</v>
      </c>
      <c r="H18" s="448"/>
      <c r="I18" s="2613" t="s">
        <v>3466</v>
      </c>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100</v>
      </c>
      <c r="I19" s="459"/>
      <c r="J19" s="450">
        <f>SUMIF(92:92,I20,93:93)-SUMIF(92:92,C20,93:93)+100</f>
        <v>100</v>
      </c>
      <c r="K19" s="673">
        <v>2</v>
      </c>
      <c r="L19" s="1143"/>
      <c r="M19" s="1134"/>
      <c r="N19" s="1134"/>
      <c r="O19" s="1142"/>
      <c r="P19" s="3246"/>
      <c r="Q19" s="1813" t="str">
        <f>B19</f>
        <v>办公集聚程度</v>
      </c>
      <c r="R19" s="774" t="s">
        <v>17</v>
      </c>
      <c r="S19" s="775">
        <f>F19</f>
        <v>102</v>
      </c>
      <c r="T19" s="774" t="s">
        <v>17</v>
      </c>
      <c r="U19" s="775">
        <f>H19</f>
        <v>100</v>
      </c>
      <c r="V19" s="774" t="s">
        <v>17</v>
      </c>
      <c r="W19" s="775">
        <f>J19</f>
        <v>100</v>
      </c>
      <c r="X19" s="1816"/>
      <c r="Y19" s="3246"/>
      <c r="Z19" s="1817" t="str">
        <f>Q19</f>
        <v>办公集聚程度</v>
      </c>
      <c r="AA19" s="1814">
        <f t="shared" si="3"/>
        <v>0.98039215686274506</v>
      </c>
      <c r="AB19" s="1814">
        <f t="shared" si="4"/>
        <v>1</v>
      </c>
      <c r="AC19" s="1814">
        <f t="shared" si="5"/>
        <v>1</v>
      </c>
    </row>
    <row r="20" spans="1:29" ht="15">
      <c r="A20" s="428"/>
      <c r="B20" s="456"/>
      <c r="C20" s="2613" t="s">
        <v>3466</v>
      </c>
      <c r="D20" s="448"/>
      <c r="E20" s="2970" t="s">
        <v>3452</v>
      </c>
      <c r="F20" s="448"/>
      <c r="G20" s="2613" t="s">
        <v>3466</v>
      </c>
      <c r="H20" s="448"/>
      <c r="I20" s="2613" t="s">
        <v>3466</v>
      </c>
      <c r="J20" s="448"/>
      <c r="K20" s="672"/>
      <c r="L20" s="1143"/>
      <c r="M20" s="1134"/>
      <c r="N20" s="1134"/>
      <c r="O20" s="1142"/>
      <c r="P20" s="3246"/>
      <c r="Q20" s="1813"/>
      <c r="R20" s="774"/>
      <c r="S20" s="775"/>
      <c r="T20" s="774"/>
      <c r="U20" s="775"/>
      <c r="V20" s="774"/>
      <c r="W20" s="775"/>
      <c r="X20" s="1816"/>
      <c r="Y20" s="3246"/>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100</v>
      </c>
      <c r="I21" s="454"/>
      <c r="J21" s="450">
        <f>SUMIF(94:94,I22,95:95)-SUMIF(94:94,C22,95:95)+100</f>
        <v>100</v>
      </c>
      <c r="K21" s="673">
        <v>2</v>
      </c>
      <c r="L21" s="1143"/>
      <c r="M21" s="1134"/>
      <c r="N21" s="1134"/>
      <c r="O21" s="1142"/>
      <c r="P21" s="3246"/>
      <c r="Q21" s="1813" t="str">
        <f>B21</f>
        <v>交通便捷度</v>
      </c>
      <c r="R21" s="774" t="s">
        <v>17</v>
      </c>
      <c r="S21" s="775">
        <f>F21</f>
        <v>102</v>
      </c>
      <c r="T21" s="774" t="s">
        <v>17</v>
      </c>
      <c r="U21" s="775">
        <f>H21</f>
        <v>100</v>
      </c>
      <c r="V21" s="774" t="s">
        <v>17</v>
      </c>
      <c r="W21" s="775">
        <f>J21</f>
        <v>100</v>
      </c>
      <c r="X21" s="1816"/>
      <c r="Y21" s="3246"/>
      <c r="Z21" s="1817" t="str">
        <f>Q21</f>
        <v>交通便捷度</v>
      </c>
      <c r="AA21" s="1814">
        <f t="shared" si="3"/>
        <v>0.98039215686274506</v>
      </c>
      <c r="AB21" s="1814">
        <f t="shared" si="4"/>
        <v>1</v>
      </c>
      <c r="AC21" s="1814">
        <f t="shared" si="5"/>
        <v>1</v>
      </c>
    </row>
    <row r="22" spans="1:29" ht="15">
      <c r="A22" s="428"/>
      <c r="B22" s="1387"/>
      <c r="C22" s="447" t="s">
        <v>3466</v>
      </c>
      <c r="D22" s="450"/>
      <c r="E22" s="2970" t="s">
        <v>3452</v>
      </c>
      <c r="F22" s="448"/>
      <c r="G22" s="2613" t="s">
        <v>3466</v>
      </c>
      <c r="H22" s="448"/>
      <c r="I22" s="2613" t="s">
        <v>3466</v>
      </c>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6"/>
      <c r="Q23" s="1813" t="str">
        <f t="shared" ref="Q23:Q37" si="8">B23</f>
        <v>区域土地利用方向</v>
      </c>
      <c r="R23" s="774" t="s">
        <v>17</v>
      </c>
      <c r="S23" s="775">
        <f>F23</f>
        <v>100</v>
      </c>
      <c r="T23" s="774" t="s">
        <v>17</v>
      </c>
      <c r="U23" s="775">
        <f>H23</f>
        <v>100</v>
      </c>
      <c r="V23" s="774" t="s">
        <v>17</v>
      </c>
      <c r="W23" s="775">
        <f>J23</f>
        <v>100</v>
      </c>
      <c r="X23" s="1816"/>
      <c r="Y23" s="3246"/>
      <c r="Z23" s="1817" t="str">
        <f>Q23</f>
        <v>区域土地利用方向</v>
      </c>
      <c r="AA23" s="1814">
        <f t="shared" si="3"/>
        <v>1</v>
      </c>
      <c r="AB23" s="1814">
        <f t="shared" si="4"/>
        <v>1</v>
      </c>
      <c r="AC23" s="1814">
        <f t="shared" si="5"/>
        <v>1</v>
      </c>
    </row>
    <row r="24" spans="1:29" ht="15">
      <c r="A24" s="404"/>
      <c r="B24" s="456"/>
      <c r="C24" s="616" t="s">
        <v>3451</v>
      </c>
      <c r="D24" s="448"/>
      <c r="E24" s="2610" t="s">
        <v>3451</v>
      </c>
      <c r="F24" s="448"/>
      <c r="G24" s="2609" t="s">
        <v>3451</v>
      </c>
      <c r="H24" s="448"/>
      <c r="I24" s="2609" t="s">
        <v>3451</v>
      </c>
      <c r="J24" s="448"/>
      <c r="K24" s="812"/>
      <c r="L24" s="1143"/>
      <c r="M24" s="1134"/>
      <c r="N24" s="1134"/>
      <c r="O24" s="1142"/>
      <c r="P24" s="3246"/>
      <c r="Q24" s="1813"/>
      <c r="R24" s="774"/>
      <c r="S24" s="775"/>
      <c r="T24" s="774"/>
      <c r="U24" s="775"/>
      <c r="V24" s="774"/>
      <c r="W24" s="775"/>
      <c r="X24" s="1816"/>
      <c r="Y24" s="3246"/>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102</v>
      </c>
      <c r="G25" s="452"/>
      <c r="H25" s="450">
        <f>SUMIF(98:98,G26,99:99)-SUMIF(98:98,C26,99:99)+100</f>
        <v>100</v>
      </c>
      <c r="I25" s="454"/>
      <c r="J25" s="450">
        <f>SUMIF(98:98,I26,99:99)-SUMIF(98:98,C26,99:99)+100</f>
        <v>100</v>
      </c>
      <c r="K25" s="673">
        <v>2</v>
      </c>
      <c r="L25" s="1143"/>
      <c r="M25" s="1134"/>
      <c r="N25" s="1134"/>
      <c r="O25" s="1142"/>
      <c r="P25" s="3246"/>
      <c r="Q25" s="1813" t="str">
        <f t="shared" si="8"/>
        <v>自然及人文环境状况</v>
      </c>
      <c r="R25" s="774" t="s">
        <v>17</v>
      </c>
      <c r="S25" s="775">
        <f>F25</f>
        <v>102</v>
      </c>
      <c r="T25" s="774" t="s">
        <v>17</v>
      </c>
      <c r="U25" s="775">
        <f>H25</f>
        <v>100</v>
      </c>
      <c r="V25" s="774" t="s">
        <v>17</v>
      </c>
      <c r="W25" s="775">
        <f>J25</f>
        <v>100</v>
      </c>
      <c r="X25" s="1816"/>
      <c r="Y25" s="3246"/>
      <c r="Z25" s="1817" t="str">
        <f>Q25</f>
        <v>自然及人文环境状况</v>
      </c>
      <c r="AA25" s="1814">
        <f t="shared" si="3"/>
        <v>0.98039215686274506</v>
      </c>
      <c r="AB25" s="1814">
        <f t="shared" si="4"/>
        <v>1</v>
      </c>
      <c r="AC25" s="1814">
        <f t="shared" si="5"/>
        <v>1</v>
      </c>
    </row>
    <row r="26" spans="1:29" ht="15">
      <c r="A26" s="404"/>
      <c r="B26" s="456"/>
      <c r="C26" s="447" t="s">
        <v>3466</v>
      </c>
      <c r="D26" s="448"/>
      <c r="E26" s="447" t="s">
        <v>3451</v>
      </c>
      <c r="F26" s="448"/>
      <c r="G26" s="447" t="s">
        <v>3466</v>
      </c>
      <c r="H26" s="448"/>
      <c r="I26" s="447" t="s">
        <v>3466</v>
      </c>
      <c r="J26" s="448"/>
      <c r="K26" s="672"/>
      <c r="L26" s="1143"/>
      <c r="M26" s="1134"/>
      <c r="N26" s="1134"/>
      <c r="O26" s="1142"/>
      <c r="P26" s="3246"/>
      <c r="Q26" s="1813"/>
      <c r="R26" s="774"/>
      <c r="S26" s="775"/>
      <c r="T26" s="774"/>
      <c r="U26" s="775"/>
      <c r="V26" s="774"/>
      <c r="W26" s="775"/>
      <c r="X26" s="1816"/>
      <c r="Y26" s="3246"/>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102</v>
      </c>
      <c r="G27" s="452"/>
      <c r="H27" s="450">
        <f>SUMIF(100:100,G28,101:101)-SUMIF(100:100,C28,101:101)+100</f>
        <v>100</v>
      </c>
      <c r="I27" s="454"/>
      <c r="J27" s="450">
        <f>SUMIF(100:100,I28,101:101)-SUMIF(100:100,C28,101:101)+100</f>
        <v>100</v>
      </c>
      <c r="K27" s="673">
        <v>2</v>
      </c>
      <c r="L27" s="1135"/>
      <c r="M27" s="1136"/>
      <c r="N27" s="1136"/>
      <c r="O27" s="1137"/>
      <c r="P27" s="3246"/>
      <c r="Q27" s="1798" t="str">
        <f t="shared" si="8"/>
        <v>公共配套设施</v>
      </c>
      <c r="R27" s="770" t="s">
        <v>17</v>
      </c>
      <c r="S27" s="771">
        <f>F27</f>
        <v>102</v>
      </c>
      <c r="T27" s="770" t="s">
        <v>17</v>
      </c>
      <c r="U27" s="771">
        <f>H27</f>
        <v>100</v>
      </c>
      <c r="V27" s="770" t="s">
        <v>17</v>
      </c>
      <c r="W27" s="771">
        <f>J27</f>
        <v>100</v>
      </c>
      <c r="X27" s="772"/>
      <c r="Y27" s="3246"/>
      <c r="Z27" s="55" t="str">
        <f>Q27</f>
        <v>公共配套设施</v>
      </c>
      <c r="AA27" s="1814">
        <f>D27/F27</f>
        <v>0.98039215686274506</v>
      </c>
      <c r="AB27" s="1814">
        <f>D27/H27</f>
        <v>1</v>
      </c>
      <c r="AC27" s="1814">
        <f>D27/J27</f>
        <v>1</v>
      </c>
    </row>
    <row r="28" spans="1:29" s="117" customFormat="1" ht="15">
      <c r="A28" s="649"/>
      <c r="B28" s="456"/>
      <c r="C28" s="447" t="s">
        <v>3466</v>
      </c>
      <c r="D28" s="448"/>
      <c r="E28" s="2616" t="s">
        <v>3451</v>
      </c>
      <c r="F28" s="448"/>
      <c r="G28" s="447" t="s">
        <v>3466</v>
      </c>
      <c r="H28" s="448"/>
      <c r="I28" s="447" t="s">
        <v>3466</v>
      </c>
      <c r="J28" s="448"/>
      <c r="K28" s="672"/>
      <c r="L28" s="1135"/>
      <c r="M28" s="1136"/>
      <c r="N28" s="1136"/>
      <c r="O28" s="1137"/>
      <c r="P28" s="3246"/>
      <c r="Q28" s="1798"/>
      <c r="R28" s="770"/>
      <c r="S28" s="771"/>
      <c r="T28" s="770"/>
      <c r="U28" s="771"/>
      <c r="V28" s="770"/>
      <c r="W28" s="771"/>
      <c r="X28" s="772"/>
      <c r="Y28" s="3246"/>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46"/>
      <c r="Q29" s="1798" t="str">
        <f t="shared" ref="Q29" si="9">B29</f>
        <v>基础设施水平</v>
      </c>
      <c r="R29" s="770" t="s">
        <v>17</v>
      </c>
      <c r="S29" s="771">
        <f>F29</f>
        <v>100</v>
      </c>
      <c r="T29" s="770" t="s">
        <v>17</v>
      </c>
      <c r="U29" s="771">
        <f>H29</f>
        <v>100</v>
      </c>
      <c r="V29" s="770" t="s">
        <v>17</v>
      </c>
      <c r="W29" s="771">
        <f>J29</f>
        <v>100</v>
      </c>
      <c r="X29" s="772"/>
      <c r="Y29" s="3246"/>
      <c r="Z29" s="55" t="str">
        <f>Q29</f>
        <v>基础设施水平</v>
      </c>
      <c r="AA29" s="1814">
        <f>D29/F29</f>
        <v>1</v>
      </c>
      <c r="AB29" s="1814">
        <f>D29/H29</f>
        <v>1</v>
      </c>
      <c r="AC29" s="1814">
        <f>D29/J29</f>
        <v>1</v>
      </c>
    </row>
    <row r="30" spans="1:29" s="117" customFormat="1" ht="15">
      <c r="A30" s="649"/>
      <c r="B30" s="456"/>
      <c r="C30" s="2705" t="s">
        <v>3445</v>
      </c>
      <c r="D30" s="448"/>
      <c r="E30" s="2705" t="s">
        <v>3445</v>
      </c>
      <c r="F30" s="448"/>
      <c r="G30" s="2705" t="s">
        <v>3445</v>
      </c>
      <c r="H30" s="448"/>
      <c r="I30" s="2705" t="s">
        <v>3445</v>
      </c>
      <c r="J30" s="448"/>
      <c r="K30" s="672"/>
      <c r="L30" s="1135"/>
      <c r="M30" s="1136"/>
      <c r="N30" s="1136"/>
      <c r="O30" s="1137"/>
      <c r="P30" s="3246"/>
      <c r="Q30" s="1798"/>
      <c r="R30" s="770"/>
      <c r="S30" s="771"/>
      <c r="T30" s="770"/>
      <c r="U30" s="771"/>
      <c r="V30" s="770"/>
      <c r="W30" s="771"/>
      <c r="X30" s="772"/>
      <c r="Y30" s="3246"/>
      <c r="Z30" s="55"/>
      <c r="AA30" s="1814">
        <v>1</v>
      </c>
      <c r="AB30" s="1814">
        <v>1</v>
      </c>
      <c r="AC30" s="1814">
        <v>1</v>
      </c>
    </row>
    <row r="31" spans="1:29" ht="15" hidden="1">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6"/>
      <c r="Z31" s="1817" t="str">
        <f t="shared" ref="Z31:Z45" si="13">Q31</f>
        <v>临街状况</v>
      </c>
      <c r="AA31" s="1814">
        <f t="shared" si="3"/>
        <v>1</v>
      </c>
      <c r="AB31" s="1814">
        <f t="shared" si="4"/>
        <v>1</v>
      </c>
      <c r="AC31" s="1814">
        <f t="shared" si="5"/>
        <v>1</v>
      </c>
    </row>
    <row r="32" spans="1:29" ht="27">
      <c r="A32" s="428"/>
      <c r="B32" s="1387" t="s">
        <v>2696</v>
      </c>
      <c r="C32" s="2964" t="s">
        <v>3437</v>
      </c>
      <c r="D32" s="450">
        <v>100</v>
      </c>
      <c r="E32" s="2969" t="s">
        <v>3465</v>
      </c>
      <c r="F32" s="450">
        <f>SUMIF(106:106,E33,107:107)-SUMIF(106:106,C33,107:107)+100</f>
        <v>100</v>
      </c>
      <c r="G32" s="2969" t="s">
        <v>3463</v>
      </c>
      <c r="H32" s="450">
        <f>SUMIF(106:106,G33,107:107)-SUMIF(106:106,C33,107:107)+100</f>
        <v>100</v>
      </c>
      <c r="I32" s="2964" t="s">
        <v>3464</v>
      </c>
      <c r="J32" s="450">
        <f>SUMIF(106:106,I33,107:107)-SUMIF(106:106,C33,107:107)+100</f>
        <v>100</v>
      </c>
      <c r="K32" s="673">
        <v>2</v>
      </c>
      <c r="L32" s="1143"/>
      <c r="M32" s="1134"/>
      <c r="N32" s="1134"/>
      <c r="O32" s="1142"/>
      <c r="P32" s="3246"/>
      <c r="Q32" s="1813" t="str">
        <f t="shared" si="8"/>
        <v>毗邻道路的类型与等级</v>
      </c>
      <c r="R32" s="774" t="s">
        <v>17</v>
      </c>
      <c r="S32" s="775">
        <f t="shared" si="10"/>
        <v>100</v>
      </c>
      <c r="T32" s="774" t="s">
        <v>17</v>
      </c>
      <c r="U32" s="775">
        <f t="shared" si="11"/>
        <v>100</v>
      </c>
      <c r="V32" s="774" t="s">
        <v>17</v>
      </c>
      <c r="W32" s="775">
        <f t="shared" si="12"/>
        <v>100</v>
      </c>
      <c r="X32" s="1816"/>
      <c r="Y32" s="3246"/>
      <c r="Z32" s="1817" t="str">
        <f t="shared" si="13"/>
        <v>毗邻道路的类型与等级</v>
      </c>
      <c r="AA32" s="1814">
        <f t="shared" si="3"/>
        <v>1</v>
      </c>
      <c r="AB32" s="1814">
        <f t="shared" si="4"/>
        <v>1</v>
      </c>
      <c r="AC32" s="1814">
        <f t="shared" si="5"/>
        <v>1</v>
      </c>
    </row>
    <row r="33" spans="1:29" ht="15.75" thickBot="1">
      <c r="A33" s="428"/>
      <c r="B33" s="456"/>
      <c r="C33" s="447" t="s">
        <v>3434</v>
      </c>
      <c r="D33" s="448"/>
      <c r="E33" s="447" t="s">
        <v>3434</v>
      </c>
      <c r="F33" s="448"/>
      <c r="G33" s="447" t="s">
        <v>3434</v>
      </c>
      <c r="H33" s="448"/>
      <c r="I33" s="447" t="s">
        <v>3434</v>
      </c>
      <c r="J33" s="448"/>
      <c r="K33" s="613"/>
      <c r="L33" s="1143"/>
      <c r="M33" s="1134"/>
      <c r="N33" s="1134"/>
      <c r="O33" s="1142"/>
      <c r="P33" s="3246"/>
      <c r="Q33" s="1813"/>
      <c r="R33" s="774"/>
      <c r="S33" s="775"/>
      <c r="T33" s="774"/>
      <c r="U33" s="775"/>
      <c r="V33" s="774"/>
      <c r="W33" s="775"/>
      <c r="X33" s="1816"/>
      <c r="Y33" s="3246"/>
      <c r="Z33" s="1817"/>
      <c r="AA33" s="1814">
        <v>1</v>
      </c>
      <c r="AB33" s="1814">
        <v>1</v>
      </c>
      <c r="AC33" s="1814">
        <v>1</v>
      </c>
    </row>
    <row r="34" spans="1:29" ht="15" hidden="1">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6"/>
      <c r="Q34" s="1813" t="str">
        <f t="shared" si="8"/>
        <v>土地级别</v>
      </c>
      <c r="R34" s="774" t="s">
        <v>17</v>
      </c>
      <c r="S34" s="775">
        <f t="shared" si="10"/>
        <v>100</v>
      </c>
      <c r="T34" s="774" t="s">
        <v>17</v>
      </c>
      <c r="U34" s="775">
        <f t="shared" si="11"/>
        <v>100</v>
      </c>
      <c r="V34" s="774" t="s">
        <v>17</v>
      </c>
      <c r="W34" s="775">
        <f t="shared" si="12"/>
        <v>100</v>
      </c>
      <c r="X34" s="1816"/>
      <c r="Y34" s="3246"/>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6"/>
      <c r="Q35" s="1813">
        <f t="shared" si="8"/>
        <v>111</v>
      </c>
      <c r="R35" s="774" t="s">
        <v>17</v>
      </c>
      <c r="S35" s="775">
        <f t="shared" si="10"/>
        <v>100</v>
      </c>
      <c r="T35" s="774" t="s">
        <v>17</v>
      </c>
      <c r="U35" s="775">
        <f t="shared" si="11"/>
        <v>100</v>
      </c>
      <c r="V35" s="774" t="s">
        <v>17</v>
      </c>
      <c r="W35" s="775">
        <f t="shared" si="12"/>
        <v>100</v>
      </c>
      <c r="X35" s="1816"/>
      <c r="Y35" s="3246"/>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1" t="s">
        <v>2570</v>
      </c>
      <c r="Q36" s="1813">
        <f t="shared" si="8"/>
        <v>111</v>
      </c>
      <c r="R36" s="774" t="s">
        <v>17</v>
      </c>
      <c r="S36" s="775">
        <f t="shared" si="10"/>
        <v>100</v>
      </c>
      <c r="T36" s="774" t="s">
        <v>17</v>
      </c>
      <c r="U36" s="775">
        <f t="shared" si="11"/>
        <v>100</v>
      </c>
      <c r="V36" s="774" t="s">
        <v>17</v>
      </c>
      <c r="W36" s="775">
        <f t="shared" si="12"/>
        <v>100</v>
      </c>
      <c r="X36" s="1816"/>
      <c r="Y36" s="3250" t="s">
        <v>2570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0"/>
      <c r="Q37" s="1813">
        <f t="shared" si="8"/>
        <v>111</v>
      </c>
      <c r="R37" s="777" t="s">
        <v>17</v>
      </c>
      <c r="S37" s="778">
        <f t="shared" si="10"/>
        <v>100</v>
      </c>
      <c r="T37" s="777" t="s">
        <v>17</v>
      </c>
      <c r="U37" s="778">
        <f t="shared" si="11"/>
        <v>100</v>
      </c>
      <c r="V37" s="777" t="s">
        <v>17</v>
      </c>
      <c r="W37" s="778">
        <f t="shared" si="12"/>
        <v>100</v>
      </c>
      <c r="X37" s="779"/>
      <c r="Y37" s="3250"/>
      <c r="Z37" s="780">
        <f t="shared" si="13"/>
        <v>111</v>
      </c>
      <c r="AA37" s="1814">
        <f t="shared" si="3"/>
        <v>1</v>
      </c>
      <c r="AB37" s="1814">
        <f t="shared" si="4"/>
        <v>1</v>
      </c>
      <c r="AC37" s="1814">
        <f t="shared" si="5"/>
        <v>1</v>
      </c>
    </row>
    <row r="38" spans="1:29" ht="15">
      <c r="A38" s="472" t="s">
        <v>2568</v>
      </c>
      <c r="B38" s="456" t="s">
        <v>2756</v>
      </c>
      <c r="C38" s="679">
        <f>'数据-基础表'!A3</f>
        <v>10609</v>
      </c>
      <c r="D38" s="467">
        <v>100</v>
      </c>
      <c r="E38" s="679">
        <f>土地案例!D4</f>
        <v>13203</v>
      </c>
      <c r="F38" s="467">
        <f>LOOKUP(E38,117:117,118:118)-LOOKUP(C38,117:117,118:118)+100</f>
        <v>100</v>
      </c>
      <c r="G38" s="679">
        <f>土地案例!D7</f>
        <v>49739</v>
      </c>
      <c r="H38" s="467">
        <f>LOOKUP(G38,117:117,118:118)-LOOKUP(C38,117:117,118:118)+100</f>
        <v>102</v>
      </c>
      <c r="I38" s="530">
        <f>土地案例!D8</f>
        <v>17980</v>
      </c>
      <c r="J38" s="467">
        <f>LOOKUP(I38,117:117,118:118)-LOOKUP(C38,117:117,118:118)+100</f>
        <v>100</v>
      </c>
      <c r="K38" s="613"/>
      <c r="L38" s="1143"/>
      <c r="M38" s="1134"/>
      <c r="N38" s="1134"/>
      <c r="O38" s="1142"/>
      <c r="P38" s="3250"/>
      <c r="Q38" s="1813" t="str">
        <f>B38</f>
        <v>宗地面积</v>
      </c>
      <c r="R38" s="774" t="s">
        <v>17</v>
      </c>
      <c r="S38" s="775">
        <f t="shared" si="10"/>
        <v>100</v>
      </c>
      <c r="T38" s="774" t="s">
        <v>17</v>
      </c>
      <c r="U38" s="775">
        <f t="shared" si="11"/>
        <v>102</v>
      </c>
      <c r="V38" s="774" t="s">
        <v>17</v>
      </c>
      <c r="W38" s="775">
        <f t="shared" si="12"/>
        <v>100</v>
      </c>
      <c r="X38" s="1816"/>
      <c r="Y38" s="3250"/>
      <c r="Z38" s="1817" t="str">
        <f t="shared" si="13"/>
        <v>宗地面积</v>
      </c>
      <c r="AA38" s="1814">
        <f t="shared" si="3"/>
        <v>1</v>
      </c>
      <c r="AB38" s="1814">
        <f t="shared" si="4"/>
        <v>0.98039215686274506</v>
      </c>
      <c r="AC38" s="1814">
        <f t="shared" si="5"/>
        <v>1</v>
      </c>
    </row>
    <row r="39" spans="1:29" ht="15">
      <c r="A39" s="472"/>
      <c r="B39" s="422" t="s">
        <v>2757</v>
      </c>
      <c r="C39" s="2618" t="s">
        <v>3439</v>
      </c>
      <c r="D39" s="435">
        <v>100</v>
      </c>
      <c r="E39" s="2618" t="s">
        <v>3439</v>
      </c>
      <c r="F39" s="435">
        <f>SUMIF(119:119,E39,120:120)-SUMIF(119:119,C39,120:120)+100</f>
        <v>100</v>
      </c>
      <c r="G39" s="2618" t="s">
        <v>3439</v>
      </c>
      <c r="H39" s="435">
        <f>SUMIF(119:119,G39,120:120)-SUMIF(119:119,C39,120:120)+100</f>
        <v>100</v>
      </c>
      <c r="I39" s="2618" t="s">
        <v>3439</v>
      </c>
      <c r="J39" s="435">
        <f>SUMIF(119:119,I39,120:120)-SUMIF(119:119,C39,120:120)+100</f>
        <v>100</v>
      </c>
      <c r="K39" s="612">
        <v>2</v>
      </c>
      <c r="L39" s="1143"/>
      <c r="M39" s="1134"/>
      <c r="N39" s="1134"/>
      <c r="O39" s="1142"/>
      <c r="P39" s="3250"/>
      <c r="Q39" s="1813" t="str">
        <f t="shared" ref="Q39:Q45" si="14">B39</f>
        <v>宗地形状</v>
      </c>
      <c r="R39" s="774" t="s">
        <v>17</v>
      </c>
      <c r="S39" s="775">
        <f t="shared" si="10"/>
        <v>100</v>
      </c>
      <c r="T39" s="774" t="s">
        <v>17</v>
      </c>
      <c r="U39" s="775">
        <f t="shared" si="11"/>
        <v>100</v>
      </c>
      <c r="V39" s="774" t="s">
        <v>17</v>
      </c>
      <c r="W39" s="775">
        <f t="shared" si="12"/>
        <v>100</v>
      </c>
      <c r="X39" s="1816"/>
      <c r="Y39" s="3250"/>
      <c r="Z39" s="1817" t="str">
        <f t="shared" si="13"/>
        <v>宗地形状</v>
      </c>
      <c r="AA39" s="1814">
        <f t="shared" si="3"/>
        <v>1</v>
      </c>
      <c r="AB39" s="1814">
        <f t="shared" si="4"/>
        <v>1</v>
      </c>
      <c r="AC39" s="1814">
        <f t="shared" si="5"/>
        <v>1</v>
      </c>
    </row>
    <row r="40" spans="1:29" ht="15">
      <c r="A40" s="472"/>
      <c r="B40" s="422" t="s">
        <v>2758</v>
      </c>
      <c r="C40" s="2618" t="s">
        <v>3442</v>
      </c>
      <c r="D40" s="435">
        <v>100</v>
      </c>
      <c r="E40" s="2618" t="s">
        <v>3442</v>
      </c>
      <c r="F40" s="435">
        <f>SUMIF(121:121,E40,122:122)-SUMIF(121:121,C40,122:122)+100</f>
        <v>100</v>
      </c>
      <c r="G40" s="2618" t="s">
        <v>3442</v>
      </c>
      <c r="H40" s="435">
        <f>SUMIF(121:121,G40,122:122)-SUMIF(121:121,C40,122:122)+100</f>
        <v>100</v>
      </c>
      <c r="I40" s="2618" t="s">
        <v>3442</v>
      </c>
      <c r="J40" s="435">
        <f>SUMIF(121:121,I40,122:122)-SUMIF(121:121,C40,122:122)+100</f>
        <v>100</v>
      </c>
      <c r="K40" s="612">
        <v>2</v>
      </c>
      <c r="L40" s="1143"/>
      <c r="M40" s="1134"/>
      <c r="N40" s="1134"/>
      <c r="O40" s="1142"/>
      <c r="P40" s="3250"/>
      <c r="Q40" s="1813" t="str">
        <f t="shared" si="14"/>
        <v>临街宽度及深度</v>
      </c>
      <c r="R40" s="774" t="s">
        <v>17</v>
      </c>
      <c r="S40" s="775">
        <f t="shared" si="10"/>
        <v>100</v>
      </c>
      <c r="T40" s="774" t="s">
        <v>17</v>
      </c>
      <c r="U40" s="775">
        <f t="shared" si="11"/>
        <v>100</v>
      </c>
      <c r="V40" s="774" t="s">
        <v>17</v>
      </c>
      <c r="W40" s="775">
        <f t="shared" si="12"/>
        <v>100</v>
      </c>
      <c r="X40" s="1816"/>
      <c r="Y40" s="3250"/>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v>2</v>
      </c>
      <c r="L41" s="1135"/>
      <c r="M41" s="1136"/>
      <c r="N41" s="1136"/>
      <c r="O41" s="1137"/>
      <c r="P41" s="3250"/>
      <c r="Q41" s="1813"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75" thickBot="1">
      <c r="A42" s="472"/>
      <c r="B42" s="422" t="s">
        <v>2760</v>
      </c>
      <c r="C42" s="2618" t="s">
        <v>3451</v>
      </c>
      <c r="D42" s="435">
        <v>100</v>
      </c>
      <c r="E42" s="2618" t="s">
        <v>3451</v>
      </c>
      <c r="F42" s="435">
        <f>SUMIF(125:125,E42,126:126)-SUMIF(125:125,C42,126:126)+100</f>
        <v>100</v>
      </c>
      <c r="G42" s="2618" t="s">
        <v>3451</v>
      </c>
      <c r="H42" s="435">
        <f>SUMIF(125:125,G42,126:126)-SUMIF(125:125,C42,126:126)+100</f>
        <v>100</v>
      </c>
      <c r="I42" s="2618" t="s">
        <v>3451</v>
      </c>
      <c r="J42" s="435">
        <f>SUMIF(125:125,I42,126:126)-SUMIF(125:125,C42,126:126)+100</f>
        <v>100</v>
      </c>
      <c r="K42" s="612">
        <v>2</v>
      </c>
      <c r="L42" s="1143"/>
      <c r="M42" s="1134"/>
      <c r="N42" s="1134"/>
      <c r="O42" s="1142"/>
      <c r="P42" s="3250" t="s">
        <v>2570</v>
      </c>
      <c r="Q42" s="1813" t="str">
        <f t="shared" si="14"/>
        <v>工程地质条件</v>
      </c>
      <c r="R42" s="774" t="s">
        <v>17</v>
      </c>
      <c r="S42" s="775">
        <f t="shared" si="10"/>
        <v>100</v>
      </c>
      <c r="T42" s="774" t="s">
        <v>17</v>
      </c>
      <c r="U42" s="775">
        <f t="shared" si="11"/>
        <v>100</v>
      </c>
      <c r="V42" s="774" t="s">
        <v>17</v>
      </c>
      <c r="W42" s="775">
        <f t="shared" si="12"/>
        <v>100</v>
      </c>
      <c r="X42" s="1816"/>
      <c r="Y42" s="3250" t="s">
        <v>2570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0"/>
      <c r="Q43" s="1813">
        <f t="shared" si="14"/>
        <v>111</v>
      </c>
      <c r="R43" s="774" t="s">
        <v>17</v>
      </c>
      <c r="S43" s="775">
        <f t="shared" si="10"/>
        <v>100</v>
      </c>
      <c r="T43" s="774" t="s">
        <v>17</v>
      </c>
      <c r="U43" s="775">
        <f t="shared" si="11"/>
        <v>100</v>
      </c>
      <c r="V43" s="774" t="s">
        <v>17</v>
      </c>
      <c r="W43" s="775">
        <f t="shared" si="12"/>
        <v>100</v>
      </c>
      <c r="X43" s="1816"/>
      <c r="Y43" s="3250"/>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0"/>
      <c r="Q44" s="1813">
        <f t="shared" si="14"/>
        <v>111</v>
      </c>
      <c r="R44" s="774" t="s">
        <v>17</v>
      </c>
      <c r="S44" s="775">
        <f t="shared" si="10"/>
        <v>100</v>
      </c>
      <c r="T44" s="774" t="s">
        <v>17</v>
      </c>
      <c r="U44" s="775">
        <f t="shared" si="11"/>
        <v>100</v>
      </c>
      <c r="V44" s="774" t="s">
        <v>17</v>
      </c>
      <c r="W44" s="775">
        <f t="shared" si="12"/>
        <v>100</v>
      </c>
      <c r="X44" s="1816"/>
      <c r="Y44" s="3250"/>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0"/>
      <c r="Q45" s="1813">
        <f t="shared" si="14"/>
        <v>111</v>
      </c>
      <c r="R45" s="777" t="s">
        <v>17</v>
      </c>
      <c r="S45" s="778">
        <f t="shared" si="10"/>
        <v>100</v>
      </c>
      <c r="T45" s="777" t="s">
        <v>17</v>
      </c>
      <c r="U45" s="778">
        <f t="shared" si="11"/>
        <v>100</v>
      </c>
      <c r="V45" s="777" t="s">
        <v>17</v>
      </c>
      <c r="W45" s="778">
        <f t="shared" si="12"/>
        <v>100</v>
      </c>
      <c r="X45" s="779"/>
      <c r="Y45" s="3250"/>
      <c r="Z45" s="780">
        <f t="shared" si="13"/>
        <v>111</v>
      </c>
      <c r="AA45" s="1814">
        <f t="shared" si="3"/>
        <v>1</v>
      </c>
      <c r="AB45" s="1814">
        <f t="shared" si="4"/>
        <v>1</v>
      </c>
      <c r="AC45" s="1814">
        <f t="shared" si="5"/>
        <v>1</v>
      </c>
    </row>
    <row r="46" spans="1:29" ht="15">
      <c r="A46" s="479" t="s">
        <v>2725</v>
      </c>
      <c r="B46" s="2709" t="s">
        <v>3432</v>
      </c>
      <c r="C46" s="682" t="s">
        <v>1</v>
      </c>
      <c r="D46" s="481"/>
      <c r="E46" s="482">
        <v>3379</v>
      </c>
      <c r="F46" s="483"/>
      <c r="G46" s="484">
        <v>3267</v>
      </c>
      <c r="H46" s="485"/>
      <c r="I46" s="482">
        <v>2823</v>
      </c>
      <c r="J46" s="485"/>
      <c r="K46" s="783"/>
      <c r="L46" s="1146"/>
      <c r="M46" s="1147"/>
      <c r="N46" s="1134"/>
      <c r="O46" s="1147"/>
      <c r="P46" s="3243" t="str">
        <f>A46</f>
        <v>成交单价</v>
      </c>
      <c r="Q46" s="3243"/>
      <c r="R46" s="3274">
        <f>E46</f>
        <v>3379</v>
      </c>
      <c r="S46" s="3274"/>
      <c r="T46" s="3274">
        <f>G46</f>
        <v>3267</v>
      </c>
      <c r="U46" s="3274"/>
      <c r="V46" s="3274">
        <f>I46</f>
        <v>2823</v>
      </c>
      <c r="W46" s="3274"/>
      <c r="X46" s="759"/>
      <c r="Y46" s="781"/>
      <c r="Z46" s="759"/>
      <c r="AA46" s="759"/>
      <c r="AB46" s="759"/>
      <c r="AC46" s="759"/>
    </row>
    <row r="47" spans="1:29" ht="15.75" thickBot="1">
      <c r="A47" s="486" t="s">
        <v>2674</v>
      </c>
      <c r="B47" s="683"/>
      <c r="C47" s="490">
        <f>R48</f>
        <v>2844</v>
      </c>
      <c r="D47" s="489"/>
      <c r="E47" s="490">
        <f>R47</f>
        <v>2892</v>
      </c>
      <c r="F47" s="491"/>
      <c r="G47" s="488">
        <f>T47</f>
        <v>2997</v>
      </c>
      <c r="H47" s="489"/>
      <c r="I47" s="490">
        <f>V47</f>
        <v>2642</v>
      </c>
      <c r="J47" s="489"/>
      <c r="K47" s="784"/>
      <c r="L47" s="1146"/>
      <c r="M47" s="1147"/>
      <c r="N47" s="1147"/>
      <c r="O47" s="1147"/>
      <c r="P47" s="3243" t="str">
        <f>A47</f>
        <v>比较价值（元/平方米）</v>
      </c>
      <c r="Q47" s="3243"/>
      <c r="R47" s="3303">
        <f>ROUND(PRODUCT(R46,AA7:AA45),0)</f>
        <v>2892</v>
      </c>
      <c r="S47" s="3303"/>
      <c r="T47" s="3303">
        <f>ROUND(PRODUCT(T46,AB7:AB45),0)</f>
        <v>2997</v>
      </c>
      <c r="U47" s="3303"/>
      <c r="V47" s="3303">
        <f>ROUND(PRODUCT(V46,AC7:AC45),0)</f>
        <v>2642</v>
      </c>
      <c r="W47" s="3303"/>
      <c r="X47" s="759"/>
      <c r="Y47" s="759"/>
      <c r="Z47" s="759"/>
      <c r="AA47" s="759"/>
      <c r="AB47" s="759"/>
      <c r="AC47" s="759"/>
    </row>
    <row r="48" spans="1:29" ht="15.75" thickBot="1">
      <c r="A48" s="492" t="s">
        <v>2761</v>
      </c>
      <c r="B48" s="493"/>
      <c r="C48" s="494">
        <f>R48</f>
        <v>2844</v>
      </c>
      <c r="D48" s="494"/>
      <c r="E48" s="494"/>
      <c r="F48" s="494"/>
      <c r="G48" s="494"/>
      <c r="H48" s="494"/>
      <c r="I48" s="494"/>
      <c r="J48" s="494"/>
      <c r="K48" s="785"/>
      <c r="L48" s="1146"/>
      <c r="M48" s="1147"/>
      <c r="N48" s="1147"/>
      <c r="O48" s="1147"/>
      <c r="P48" s="3240" t="str">
        <f>A48</f>
        <v>估价对象XX用房的比较价值（楼面单价，元/平方米）</v>
      </c>
      <c r="Q48" s="3241"/>
      <c r="R48" s="3304">
        <f>ROUND(AVERAGE(R47:V47),0)</f>
        <v>2844</v>
      </c>
      <c r="S48" s="3304"/>
      <c r="T48" s="3304"/>
      <c r="U48" s="3304"/>
      <c r="V48" s="3304"/>
      <c r="W48" s="33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0.16839557399723382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8"/>
      <c r="L51" s="1109"/>
      <c r="M51" s="1147"/>
      <c r="N51" s="1147"/>
      <c r="O51" s="1147"/>
    </row>
    <row r="52" spans="1:15" ht="13.5" customHeight="1">
      <c r="A52" s="1147"/>
      <c r="B52" s="1147"/>
      <c r="C52" s="497" t="s">
        <v>2677</v>
      </c>
      <c r="D52" s="501"/>
      <c r="E52" s="499">
        <f>IF(E47&lt;G47,G47/E47-1,E47/G47-1)</f>
        <v>3.6307053941908807E-2</v>
      </c>
      <c r="F52" s="500" t="str">
        <f>IF(OR(E52&gt;=0.2,E52&lt;=-0.2),"超过20%","")</f>
        <v/>
      </c>
      <c r="G52" s="499">
        <f>IF(G47&lt;I47,I47/G47-1,G47/I47-1)</f>
        <v>0.13436790310370927</v>
      </c>
      <c r="H52" s="500" t="str">
        <f>IF(OR(G52&gt;=0.2,G52&lt;=-0.2),"超过20%","")</f>
        <v/>
      </c>
      <c r="I52" s="499">
        <f>IF(I47&lt;E47,E47/I47-1,I47/E47-1)</f>
        <v>9.4625283875851673E-2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0" t="s">
        <v>3475</v>
      </c>
      <c r="D55" s="2711" t="s">
        <v>2765</v>
      </c>
      <c r="E55" s="686" t="s">
        <v>2766</v>
      </c>
      <c r="F55" s="1110" t="s">
        <v>2767</v>
      </c>
      <c r="G55" s="3258" t="s">
        <v>2768</v>
      </c>
      <c r="H55" s="3305"/>
      <c r="I55" s="144" t="s">
        <v>2769</v>
      </c>
      <c r="J55" s="2712">
        <f>项目基本情况!F35</f>
        <v>0</v>
      </c>
      <c r="K55" s="2713" t="s">
        <v>2770</v>
      </c>
      <c r="L55" s="1109"/>
      <c r="M55" s="1147"/>
      <c r="N55" s="1147"/>
      <c r="O55" s="1147"/>
    </row>
    <row r="56" spans="1:15" s="692" customFormat="1">
      <c r="A56" s="688" t="s">
        <v>2771</v>
      </c>
      <c r="B56" s="689">
        <f>C48</f>
        <v>2844</v>
      </c>
      <c r="C56" s="690">
        <v>1</v>
      </c>
      <c r="D56" s="1166">
        <v>1</v>
      </c>
      <c r="E56" s="690">
        <f>'数据-汇总表'!E8+'数据-汇总表'!E9</f>
        <v>57339.44000000001</v>
      </c>
      <c r="F56" s="1106">
        <f t="shared" ref="F56:F65" si="15">ROUND(B56*E56/10000,0)</f>
        <v>16307</v>
      </c>
      <c r="G56" s="3254"/>
      <c r="H56" s="3243"/>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306"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306"/>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306"/>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306"/>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4"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v>0</v>
      </c>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4"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15225.21</v>
      </c>
      <c r="F65" s="1106">
        <f t="shared" si="15"/>
        <v>0</v>
      </c>
      <c r="G65" s="2715"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72564.650000000009</v>
      </c>
      <c r="F66" s="697">
        <f>IF(B46="楼面地价",SUM(F56:F65),ROUND(C48*E66/10000,0))</f>
        <v>16307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2962" t="s">
        <v>3431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v>10</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2963" t="s">
        <v>3433</v>
      </c>
      <c r="D106" s="2963" t="s">
        <v>3435</v>
      </c>
      <c r="E106" s="2963" t="s">
        <v>3436</v>
      </c>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2795</v>
      </c>
      <c r="C119" s="2965" t="s">
        <v>3438</v>
      </c>
      <c r="D119" s="2965" t="s">
        <v>3440</v>
      </c>
      <c r="E119" s="2965" t="s">
        <v>3441</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2796</v>
      </c>
      <c r="C121" s="2963" t="s">
        <v>3443</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2797</v>
      </c>
      <c r="C123" s="2963" t="s">
        <v>3444</v>
      </c>
      <c r="D123" s="2963" t="s">
        <v>3446</v>
      </c>
      <c r="E123" s="2963" t="s">
        <v>3447</v>
      </c>
      <c r="F123" s="2963" t="s">
        <v>3448</v>
      </c>
      <c r="G123" s="2963" t="s">
        <v>3449</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2798</v>
      </c>
      <c r="C125" s="2963" t="s">
        <v>3450</v>
      </c>
      <c r="D125" s="2963" t="s">
        <v>3452</v>
      </c>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A16" sqref="A16"/>
    </sheetView>
  </sheetViews>
  <sheetFormatPr defaultRowHeight="12.75"/>
  <cols>
    <col min="1" max="1" width="25.25" style="2957" customWidth="1"/>
    <col min="2" max="2" width="6.25" style="2957" hidden="1" customWidth="1"/>
    <col min="3" max="3" width="11.75" style="2957" customWidth="1"/>
    <col min="4" max="4" width="8.625" style="2957" customWidth="1"/>
    <col min="5" max="5" width="8.75" style="2957" customWidth="1"/>
    <col min="6" max="6" width="13.625" style="2957" customWidth="1"/>
    <col min="7" max="7" width="7.875" style="2957" customWidth="1"/>
    <col min="8" max="8" width="9" style="2957" customWidth="1"/>
    <col min="9" max="9" width="10.625" style="2957" hidden="1" customWidth="1"/>
    <col min="10" max="10" width="7" style="2957" customWidth="1"/>
    <col min="11" max="11" width="9" style="2957" customWidth="1"/>
    <col min="12" max="12" width="6.5" style="2957" customWidth="1"/>
    <col min="13" max="13" width="6.25" style="2957" customWidth="1"/>
    <col min="14" max="14" width="36" style="2957" customWidth="1"/>
    <col min="15" max="256" width="9" style="2957"/>
    <col min="257" max="257" width="27.75" style="2957" customWidth="1"/>
    <col min="258" max="258" width="6.25" style="2957" customWidth="1"/>
    <col min="259" max="259" width="11.75" style="2957" customWidth="1"/>
    <col min="260" max="261" width="13.875" style="2957" customWidth="1"/>
    <col min="262" max="262" width="19.875" style="2957" customWidth="1"/>
    <col min="263" max="263" width="7.875" style="2957" customWidth="1"/>
    <col min="264" max="264" width="9" style="2957" customWidth="1"/>
    <col min="265" max="266" width="10.625" style="2957" customWidth="1"/>
    <col min="267" max="268" width="14.375" style="2957" customWidth="1"/>
    <col min="269" max="269" width="6.25" style="2957" customWidth="1"/>
    <col min="270" max="270" width="36" style="2957" customWidth="1"/>
    <col min="271" max="512" width="9" style="2957"/>
    <col min="513" max="513" width="27.75" style="2957" customWidth="1"/>
    <col min="514" max="514" width="6.25" style="2957" customWidth="1"/>
    <col min="515" max="515" width="11.75" style="2957" customWidth="1"/>
    <col min="516" max="517" width="13.875" style="2957" customWidth="1"/>
    <col min="518" max="518" width="19.875" style="2957" customWidth="1"/>
    <col min="519" max="519" width="7.875" style="2957" customWidth="1"/>
    <col min="520" max="520" width="9" style="2957" customWidth="1"/>
    <col min="521" max="522" width="10.625" style="2957" customWidth="1"/>
    <col min="523" max="524" width="14.375" style="2957" customWidth="1"/>
    <col min="525" max="525" width="6.25" style="2957" customWidth="1"/>
    <col min="526" max="526" width="36" style="2957" customWidth="1"/>
    <col min="527" max="768" width="9" style="2957"/>
    <col min="769" max="769" width="27.75" style="2957" customWidth="1"/>
    <col min="770" max="770" width="6.25" style="2957" customWidth="1"/>
    <col min="771" max="771" width="11.75" style="2957" customWidth="1"/>
    <col min="772" max="773" width="13.875" style="2957" customWidth="1"/>
    <col min="774" max="774" width="19.875" style="2957" customWidth="1"/>
    <col min="775" max="775" width="7.875" style="2957" customWidth="1"/>
    <col min="776" max="776" width="9" style="2957" customWidth="1"/>
    <col min="777" max="778" width="10.625" style="2957" customWidth="1"/>
    <col min="779" max="780" width="14.375" style="2957" customWidth="1"/>
    <col min="781" max="781" width="6.25" style="2957" customWidth="1"/>
    <col min="782" max="782" width="36" style="2957" customWidth="1"/>
    <col min="783" max="1024" width="9" style="2957"/>
    <col min="1025" max="1025" width="27.75" style="2957" customWidth="1"/>
    <col min="1026" max="1026" width="6.25" style="2957" customWidth="1"/>
    <col min="1027" max="1027" width="11.75" style="2957" customWidth="1"/>
    <col min="1028" max="1029" width="13.875" style="2957" customWidth="1"/>
    <col min="1030" max="1030" width="19.875" style="2957" customWidth="1"/>
    <col min="1031" max="1031" width="7.875" style="2957" customWidth="1"/>
    <col min="1032" max="1032" width="9" style="2957" customWidth="1"/>
    <col min="1033" max="1034" width="10.625" style="2957" customWidth="1"/>
    <col min="1035" max="1036" width="14.375" style="2957" customWidth="1"/>
    <col min="1037" max="1037" width="6.25" style="2957" customWidth="1"/>
    <col min="1038" max="1038" width="36" style="2957" customWidth="1"/>
    <col min="1039" max="1280" width="9" style="2957"/>
    <col min="1281" max="1281" width="27.75" style="2957" customWidth="1"/>
    <col min="1282" max="1282" width="6.25" style="2957" customWidth="1"/>
    <col min="1283" max="1283" width="11.75" style="2957" customWidth="1"/>
    <col min="1284" max="1285" width="13.875" style="2957" customWidth="1"/>
    <col min="1286" max="1286" width="19.875" style="2957" customWidth="1"/>
    <col min="1287" max="1287" width="7.875" style="2957" customWidth="1"/>
    <col min="1288" max="1288" width="9" style="2957" customWidth="1"/>
    <col min="1289" max="1290" width="10.625" style="2957" customWidth="1"/>
    <col min="1291" max="1292" width="14.375" style="2957" customWidth="1"/>
    <col min="1293" max="1293" width="6.25" style="2957" customWidth="1"/>
    <col min="1294" max="1294" width="36" style="2957" customWidth="1"/>
    <col min="1295" max="1536" width="9" style="2957"/>
    <col min="1537" max="1537" width="27.75" style="2957" customWidth="1"/>
    <col min="1538" max="1538" width="6.25" style="2957" customWidth="1"/>
    <col min="1539" max="1539" width="11.75" style="2957" customWidth="1"/>
    <col min="1540" max="1541" width="13.875" style="2957" customWidth="1"/>
    <col min="1542" max="1542" width="19.875" style="2957" customWidth="1"/>
    <col min="1543" max="1543" width="7.875" style="2957" customWidth="1"/>
    <col min="1544" max="1544" width="9" style="2957" customWidth="1"/>
    <col min="1545" max="1546" width="10.625" style="2957" customWidth="1"/>
    <col min="1547" max="1548" width="14.375" style="2957" customWidth="1"/>
    <col min="1549" max="1549" width="6.25" style="2957" customWidth="1"/>
    <col min="1550" max="1550" width="36" style="2957" customWidth="1"/>
    <col min="1551" max="1792" width="9" style="2957"/>
    <col min="1793" max="1793" width="27.75" style="2957" customWidth="1"/>
    <col min="1794" max="1794" width="6.25" style="2957" customWidth="1"/>
    <col min="1795" max="1795" width="11.75" style="2957" customWidth="1"/>
    <col min="1796" max="1797" width="13.875" style="2957" customWidth="1"/>
    <col min="1798" max="1798" width="19.875" style="2957" customWidth="1"/>
    <col min="1799" max="1799" width="7.875" style="2957" customWidth="1"/>
    <col min="1800" max="1800" width="9" style="2957" customWidth="1"/>
    <col min="1801" max="1802" width="10.625" style="2957" customWidth="1"/>
    <col min="1803" max="1804" width="14.375" style="2957" customWidth="1"/>
    <col min="1805" max="1805" width="6.25" style="2957" customWidth="1"/>
    <col min="1806" max="1806" width="36" style="2957" customWidth="1"/>
    <col min="1807" max="2048" width="9" style="2957"/>
    <col min="2049" max="2049" width="27.75" style="2957" customWidth="1"/>
    <col min="2050" max="2050" width="6.25" style="2957" customWidth="1"/>
    <col min="2051" max="2051" width="11.75" style="2957" customWidth="1"/>
    <col min="2052" max="2053" width="13.875" style="2957" customWidth="1"/>
    <col min="2054" max="2054" width="19.875" style="2957" customWidth="1"/>
    <col min="2055" max="2055" width="7.875" style="2957" customWidth="1"/>
    <col min="2056" max="2056" width="9" style="2957" customWidth="1"/>
    <col min="2057" max="2058" width="10.625" style="2957" customWidth="1"/>
    <col min="2059" max="2060" width="14.375" style="2957" customWidth="1"/>
    <col min="2061" max="2061" width="6.25" style="2957" customWidth="1"/>
    <col min="2062" max="2062" width="36" style="2957" customWidth="1"/>
    <col min="2063" max="2304" width="9" style="2957"/>
    <col min="2305" max="2305" width="27.75" style="2957" customWidth="1"/>
    <col min="2306" max="2306" width="6.25" style="2957" customWidth="1"/>
    <col min="2307" max="2307" width="11.75" style="2957" customWidth="1"/>
    <col min="2308" max="2309" width="13.875" style="2957" customWidth="1"/>
    <col min="2310" max="2310" width="19.875" style="2957" customWidth="1"/>
    <col min="2311" max="2311" width="7.875" style="2957" customWidth="1"/>
    <col min="2312" max="2312" width="9" style="2957" customWidth="1"/>
    <col min="2313" max="2314" width="10.625" style="2957" customWidth="1"/>
    <col min="2315" max="2316" width="14.375" style="2957" customWidth="1"/>
    <col min="2317" max="2317" width="6.25" style="2957" customWidth="1"/>
    <col min="2318" max="2318" width="36" style="2957" customWidth="1"/>
    <col min="2319" max="2560" width="9" style="2957"/>
    <col min="2561" max="2561" width="27.75" style="2957" customWidth="1"/>
    <col min="2562" max="2562" width="6.25" style="2957" customWidth="1"/>
    <col min="2563" max="2563" width="11.75" style="2957" customWidth="1"/>
    <col min="2564" max="2565" width="13.875" style="2957" customWidth="1"/>
    <col min="2566" max="2566" width="19.875" style="2957" customWidth="1"/>
    <col min="2567" max="2567" width="7.875" style="2957" customWidth="1"/>
    <col min="2568" max="2568" width="9" style="2957" customWidth="1"/>
    <col min="2569" max="2570" width="10.625" style="2957" customWidth="1"/>
    <col min="2571" max="2572" width="14.375" style="2957" customWidth="1"/>
    <col min="2573" max="2573" width="6.25" style="2957" customWidth="1"/>
    <col min="2574" max="2574" width="36" style="2957" customWidth="1"/>
    <col min="2575" max="2816" width="9" style="2957"/>
    <col min="2817" max="2817" width="27.75" style="2957" customWidth="1"/>
    <col min="2818" max="2818" width="6.25" style="2957" customWidth="1"/>
    <col min="2819" max="2819" width="11.75" style="2957" customWidth="1"/>
    <col min="2820" max="2821" width="13.875" style="2957" customWidth="1"/>
    <col min="2822" max="2822" width="19.875" style="2957" customWidth="1"/>
    <col min="2823" max="2823" width="7.875" style="2957" customWidth="1"/>
    <col min="2824" max="2824" width="9" style="2957" customWidth="1"/>
    <col min="2825" max="2826" width="10.625" style="2957" customWidth="1"/>
    <col min="2827" max="2828" width="14.375" style="2957" customWidth="1"/>
    <col min="2829" max="2829" width="6.25" style="2957" customWidth="1"/>
    <col min="2830" max="2830" width="36" style="2957" customWidth="1"/>
    <col min="2831" max="3072" width="9" style="2957"/>
    <col min="3073" max="3073" width="27.75" style="2957" customWidth="1"/>
    <col min="3074" max="3074" width="6.25" style="2957" customWidth="1"/>
    <col min="3075" max="3075" width="11.75" style="2957" customWidth="1"/>
    <col min="3076" max="3077" width="13.875" style="2957" customWidth="1"/>
    <col min="3078" max="3078" width="19.875" style="2957" customWidth="1"/>
    <col min="3079" max="3079" width="7.875" style="2957" customWidth="1"/>
    <col min="3080" max="3080" width="9" style="2957" customWidth="1"/>
    <col min="3081" max="3082" width="10.625" style="2957" customWidth="1"/>
    <col min="3083" max="3084" width="14.375" style="2957" customWidth="1"/>
    <col min="3085" max="3085" width="6.25" style="2957" customWidth="1"/>
    <col min="3086" max="3086" width="36" style="2957" customWidth="1"/>
    <col min="3087" max="3328" width="9" style="2957"/>
    <col min="3329" max="3329" width="27.75" style="2957" customWidth="1"/>
    <col min="3330" max="3330" width="6.25" style="2957" customWidth="1"/>
    <col min="3331" max="3331" width="11.75" style="2957" customWidth="1"/>
    <col min="3332" max="3333" width="13.875" style="2957" customWidth="1"/>
    <col min="3334" max="3334" width="19.875" style="2957" customWidth="1"/>
    <col min="3335" max="3335" width="7.875" style="2957" customWidth="1"/>
    <col min="3336" max="3336" width="9" style="2957" customWidth="1"/>
    <col min="3337" max="3338" width="10.625" style="2957" customWidth="1"/>
    <col min="3339" max="3340" width="14.375" style="2957" customWidth="1"/>
    <col min="3341" max="3341" width="6.25" style="2957" customWidth="1"/>
    <col min="3342" max="3342" width="36" style="2957" customWidth="1"/>
    <col min="3343" max="3584" width="9" style="2957"/>
    <col min="3585" max="3585" width="27.75" style="2957" customWidth="1"/>
    <col min="3586" max="3586" width="6.25" style="2957" customWidth="1"/>
    <col min="3587" max="3587" width="11.75" style="2957" customWidth="1"/>
    <col min="3588" max="3589" width="13.875" style="2957" customWidth="1"/>
    <col min="3590" max="3590" width="19.875" style="2957" customWidth="1"/>
    <col min="3591" max="3591" width="7.875" style="2957" customWidth="1"/>
    <col min="3592" max="3592" width="9" style="2957" customWidth="1"/>
    <col min="3593" max="3594" width="10.625" style="2957" customWidth="1"/>
    <col min="3595" max="3596" width="14.375" style="2957" customWidth="1"/>
    <col min="3597" max="3597" width="6.25" style="2957" customWidth="1"/>
    <col min="3598" max="3598" width="36" style="2957" customWidth="1"/>
    <col min="3599" max="3840" width="9" style="2957"/>
    <col min="3841" max="3841" width="27.75" style="2957" customWidth="1"/>
    <col min="3842" max="3842" width="6.25" style="2957" customWidth="1"/>
    <col min="3843" max="3843" width="11.75" style="2957" customWidth="1"/>
    <col min="3844" max="3845" width="13.875" style="2957" customWidth="1"/>
    <col min="3846" max="3846" width="19.875" style="2957" customWidth="1"/>
    <col min="3847" max="3847" width="7.875" style="2957" customWidth="1"/>
    <col min="3848" max="3848" width="9" style="2957" customWidth="1"/>
    <col min="3849" max="3850" width="10.625" style="2957" customWidth="1"/>
    <col min="3851" max="3852" width="14.375" style="2957" customWidth="1"/>
    <col min="3853" max="3853" width="6.25" style="2957" customWidth="1"/>
    <col min="3854" max="3854" width="36" style="2957" customWidth="1"/>
    <col min="3855" max="4096" width="9" style="2957"/>
    <col min="4097" max="4097" width="27.75" style="2957" customWidth="1"/>
    <col min="4098" max="4098" width="6.25" style="2957" customWidth="1"/>
    <col min="4099" max="4099" width="11.75" style="2957" customWidth="1"/>
    <col min="4100" max="4101" width="13.875" style="2957" customWidth="1"/>
    <col min="4102" max="4102" width="19.875" style="2957" customWidth="1"/>
    <col min="4103" max="4103" width="7.875" style="2957" customWidth="1"/>
    <col min="4104" max="4104" width="9" style="2957" customWidth="1"/>
    <col min="4105" max="4106" width="10.625" style="2957" customWidth="1"/>
    <col min="4107" max="4108" width="14.375" style="2957" customWidth="1"/>
    <col min="4109" max="4109" width="6.25" style="2957" customWidth="1"/>
    <col min="4110" max="4110" width="36" style="2957" customWidth="1"/>
    <col min="4111" max="4352" width="9" style="2957"/>
    <col min="4353" max="4353" width="27.75" style="2957" customWidth="1"/>
    <col min="4354" max="4354" width="6.25" style="2957" customWidth="1"/>
    <col min="4355" max="4355" width="11.75" style="2957" customWidth="1"/>
    <col min="4356" max="4357" width="13.875" style="2957" customWidth="1"/>
    <col min="4358" max="4358" width="19.875" style="2957" customWidth="1"/>
    <col min="4359" max="4359" width="7.875" style="2957" customWidth="1"/>
    <col min="4360" max="4360" width="9" style="2957" customWidth="1"/>
    <col min="4361" max="4362" width="10.625" style="2957" customWidth="1"/>
    <col min="4363" max="4364" width="14.375" style="2957" customWidth="1"/>
    <col min="4365" max="4365" width="6.25" style="2957" customWidth="1"/>
    <col min="4366" max="4366" width="36" style="2957" customWidth="1"/>
    <col min="4367" max="4608" width="9" style="2957"/>
    <col min="4609" max="4609" width="27.75" style="2957" customWidth="1"/>
    <col min="4610" max="4610" width="6.25" style="2957" customWidth="1"/>
    <col min="4611" max="4611" width="11.75" style="2957" customWidth="1"/>
    <col min="4612" max="4613" width="13.875" style="2957" customWidth="1"/>
    <col min="4614" max="4614" width="19.875" style="2957" customWidth="1"/>
    <col min="4615" max="4615" width="7.875" style="2957" customWidth="1"/>
    <col min="4616" max="4616" width="9" style="2957" customWidth="1"/>
    <col min="4617" max="4618" width="10.625" style="2957" customWidth="1"/>
    <col min="4619" max="4620" width="14.375" style="2957" customWidth="1"/>
    <col min="4621" max="4621" width="6.25" style="2957" customWidth="1"/>
    <col min="4622" max="4622" width="36" style="2957" customWidth="1"/>
    <col min="4623" max="4864" width="9" style="2957"/>
    <col min="4865" max="4865" width="27.75" style="2957" customWidth="1"/>
    <col min="4866" max="4866" width="6.25" style="2957" customWidth="1"/>
    <col min="4867" max="4867" width="11.75" style="2957" customWidth="1"/>
    <col min="4868" max="4869" width="13.875" style="2957" customWidth="1"/>
    <col min="4870" max="4870" width="19.875" style="2957" customWidth="1"/>
    <col min="4871" max="4871" width="7.875" style="2957" customWidth="1"/>
    <col min="4872" max="4872" width="9" style="2957" customWidth="1"/>
    <col min="4873" max="4874" width="10.625" style="2957" customWidth="1"/>
    <col min="4875" max="4876" width="14.375" style="2957" customWidth="1"/>
    <col min="4877" max="4877" width="6.25" style="2957" customWidth="1"/>
    <col min="4878" max="4878" width="36" style="2957" customWidth="1"/>
    <col min="4879" max="5120" width="9" style="2957"/>
    <col min="5121" max="5121" width="27.75" style="2957" customWidth="1"/>
    <col min="5122" max="5122" width="6.25" style="2957" customWidth="1"/>
    <col min="5123" max="5123" width="11.75" style="2957" customWidth="1"/>
    <col min="5124" max="5125" width="13.875" style="2957" customWidth="1"/>
    <col min="5126" max="5126" width="19.875" style="2957" customWidth="1"/>
    <col min="5127" max="5127" width="7.875" style="2957" customWidth="1"/>
    <col min="5128" max="5128" width="9" style="2957" customWidth="1"/>
    <col min="5129" max="5130" width="10.625" style="2957" customWidth="1"/>
    <col min="5131" max="5132" width="14.375" style="2957" customWidth="1"/>
    <col min="5133" max="5133" width="6.25" style="2957" customWidth="1"/>
    <col min="5134" max="5134" width="36" style="2957" customWidth="1"/>
    <col min="5135" max="5376" width="9" style="2957"/>
    <col min="5377" max="5377" width="27.75" style="2957" customWidth="1"/>
    <col min="5378" max="5378" width="6.25" style="2957" customWidth="1"/>
    <col min="5379" max="5379" width="11.75" style="2957" customWidth="1"/>
    <col min="5380" max="5381" width="13.875" style="2957" customWidth="1"/>
    <col min="5382" max="5382" width="19.875" style="2957" customWidth="1"/>
    <col min="5383" max="5383" width="7.875" style="2957" customWidth="1"/>
    <col min="5384" max="5384" width="9" style="2957" customWidth="1"/>
    <col min="5385" max="5386" width="10.625" style="2957" customWidth="1"/>
    <col min="5387" max="5388" width="14.375" style="2957" customWidth="1"/>
    <col min="5389" max="5389" width="6.25" style="2957" customWidth="1"/>
    <col min="5390" max="5390" width="36" style="2957" customWidth="1"/>
    <col min="5391" max="5632" width="9" style="2957"/>
    <col min="5633" max="5633" width="27.75" style="2957" customWidth="1"/>
    <col min="5634" max="5634" width="6.25" style="2957" customWidth="1"/>
    <col min="5635" max="5635" width="11.75" style="2957" customWidth="1"/>
    <col min="5636" max="5637" width="13.875" style="2957" customWidth="1"/>
    <col min="5638" max="5638" width="19.875" style="2957" customWidth="1"/>
    <col min="5639" max="5639" width="7.875" style="2957" customWidth="1"/>
    <col min="5640" max="5640" width="9" style="2957" customWidth="1"/>
    <col min="5641" max="5642" width="10.625" style="2957" customWidth="1"/>
    <col min="5643" max="5644" width="14.375" style="2957" customWidth="1"/>
    <col min="5645" max="5645" width="6.25" style="2957" customWidth="1"/>
    <col min="5646" max="5646" width="36" style="2957" customWidth="1"/>
    <col min="5647" max="5888" width="9" style="2957"/>
    <col min="5889" max="5889" width="27.75" style="2957" customWidth="1"/>
    <col min="5890" max="5890" width="6.25" style="2957" customWidth="1"/>
    <col min="5891" max="5891" width="11.75" style="2957" customWidth="1"/>
    <col min="5892" max="5893" width="13.875" style="2957" customWidth="1"/>
    <col min="5894" max="5894" width="19.875" style="2957" customWidth="1"/>
    <col min="5895" max="5895" width="7.875" style="2957" customWidth="1"/>
    <col min="5896" max="5896" width="9" style="2957" customWidth="1"/>
    <col min="5897" max="5898" width="10.625" style="2957" customWidth="1"/>
    <col min="5899" max="5900" width="14.375" style="2957" customWidth="1"/>
    <col min="5901" max="5901" width="6.25" style="2957" customWidth="1"/>
    <col min="5902" max="5902" width="36" style="2957" customWidth="1"/>
    <col min="5903" max="6144" width="9" style="2957"/>
    <col min="6145" max="6145" width="27.75" style="2957" customWidth="1"/>
    <col min="6146" max="6146" width="6.25" style="2957" customWidth="1"/>
    <col min="6147" max="6147" width="11.75" style="2957" customWidth="1"/>
    <col min="6148" max="6149" width="13.875" style="2957" customWidth="1"/>
    <col min="6150" max="6150" width="19.875" style="2957" customWidth="1"/>
    <col min="6151" max="6151" width="7.875" style="2957" customWidth="1"/>
    <col min="6152" max="6152" width="9" style="2957" customWidth="1"/>
    <col min="6153" max="6154" width="10.625" style="2957" customWidth="1"/>
    <col min="6155" max="6156" width="14.375" style="2957" customWidth="1"/>
    <col min="6157" max="6157" width="6.25" style="2957" customWidth="1"/>
    <col min="6158" max="6158" width="36" style="2957" customWidth="1"/>
    <col min="6159" max="6400" width="9" style="2957"/>
    <col min="6401" max="6401" width="27.75" style="2957" customWidth="1"/>
    <col min="6402" max="6402" width="6.25" style="2957" customWidth="1"/>
    <col min="6403" max="6403" width="11.75" style="2957" customWidth="1"/>
    <col min="6404" max="6405" width="13.875" style="2957" customWidth="1"/>
    <col min="6406" max="6406" width="19.875" style="2957" customWidth="1"/>
    <col min="6407" max="6407" width="7.875" style="2957" customWidth="1"/>
    <col min="6408" max="6408" width="9" style="2957" customWidth="1"/>
    <col min="6409" max="6410" width="10.625" style="2957" customWidth="1"/>
    <col min="6411" max="6412" width="14.375" style="2957" customWidth="1"/>
    <col min="6413" max="6413" width="6.25" style="2957" customWidth="1"/>
    <col min="6414" max="6414" width="36" style="2957" customWidth="1"/>
    <col min="6415" max="6656" width="9" style="2957"/>
    <col min="6657" max="6657" width="27.75" style="2957" customWidth="1"/>
    <col min="6658" max="6658" width="6.25" style="2957" customWidth="1"/>
    <col min="6659" max="6659" width="11.75" style="2957" customWidth="1"/>
    <col min="6660" max="6661" width="13.875" style="2957" customWidth="1"/>
    <col min="6662" max="6662" width="19.875" style="2957" customWidth="1"/>
    <col min="6663" max="6663" width="7.875" style="2957" customWidth="1"/>
    <col min="6664" max="6664" width="9" style="2957" customWidth="1"/>
    <col min="6665" max="6666" width="10.625" style="2957" customWidth="1"/>
    <col min="6667" max="6668" width="14.375" style="2957" customWidth="1"/>
    <col min="6669" max="6669" width="6.25" style="2957" customWidth="1"/>
    <col min="6670" max="6670" width="36" style="2957" customWidth="1"/>
    <col min="6671" max="6912" width="9" style="2957"/>
    <col min="6913" max="6913" width="27.75" style="2957" customWidth="1"/>
    <col min="6914" max="6914" width="6.25" style="2957" customWidth="1"/>
    <col min="6915" max="6915" width="11.75" style="2957" customWidth="1"/>
    <col min="6916" max="6917" width="13.875" style="2957" customWidth="1"/>
    <col min="6918" max="6918" width="19.875" style="2957" customWidth="1"/>
    <col min="6919" max="6919" width="7.875" style="2957" customWidth="1"/>
    <col min="6920" max="6920" width="9" style="2957" customWidth="1"/>
    <col min="6921" max="6922" width="10.625" style="2957" customWidth="1"/>
    <col min="6923" max="6924" width="14.375" style="2957" customWidth="1"/>
    <col min="6925" max="6925" width="6.25" style="2957" customWidth="1"/>
    <col min="6926" max="6926" width="36" style="2957" customWidth="1"/>
    <col min="6927" max="7168" width="9" style="2957"/>
    <col min="7169" max="7169" width="27.75" style="2957" customWidth="1"/>
    <col min="7170" max="7170" width="6.25" style="2957" customWidth="1"/>
    <col min="7171" max="7171" width="11.75" style="2957" customWidth="1"/>
    <col min="7172" max="7173" width="13.875" style="2957" customWidth="1"/>
    <col min="7174" max="7174" width="19.875" style="2957" customWidth="1"/>
    <col min="7175" max="7175" width="7.875" style="2957" customWidth="1"/>
    <col min="7176" max="7176" width="9" style="2957" customWidth="1"/>
    <col min="7177" max="7178" width="10.625" style="2957" customWidth="1"/>
    <col min="7179" max="7180" width="14.375" style="2957" customWidth="1"/>
    <col min="7181" max="7181" width="6.25" style="2957" customWidth="1"/>
    <col min="7182" max="7182" width="36" style="2957" customWidth="1"/>
    <col min="7183" max="7424" width="9" style="2957"/>
    <col min="7425" max="7425" width="27.75" style="2957" customWidth="1"/>
    <col min="7426" max="7426" width="6.25" style="2957" customWidth="1"/>
    <col min="7427" max="7427" width="11.75" style="2957" customWidth="1"/>
    <col min="7428" max="7429" width="13.875" style="2957" customWidth="1"/>
    <col min="7430" max="7430" width="19.875" style="2957" customWidth="1"/>
    <col min="7431" max="7431" width="7.875" style="2957" customWidth="1"/>
    <col min="7432" max="7432" width="9" style="2957" customWidth="1"/>
    <col min="7433" max="7434" width="10.625" style="2957" customWidth="1"/>
    <col min="7435" max="7436" width="14.375" style="2957" customWidth="1"/>
    <col min="7437" max="7437" width="6.25" style="2957" customWidth="1"/>
    <col min="7438" max="7438" width="36" style="2957" customWidth="1"/>
    <col min="7439" max="7680" width="9" style="2957"/>
    <col min="7681" max="7681" width="27.75" style="2957" customWidth="1"/>
    <col min="7682" max="7682" width="6.25" style="2957" customWidth="1"/>
    <col min="7683" max="7683" width="11.75" style="2957" customWidth="1"/>
    <col min="7684" max="7685" width="13.875" style="2957" customWidth="1"/>
    <col min="7686" max="7686" width="19.875" style="2957" customWidth="1"/>
    <col min="7687" max="7687" width="7.875" style="2957" customWidth="1"/>
    <col min="7688" max="7688" width="9" style="2957" customWidth="1"/>
    <col min="7689" max="7690" width="10.625" style="2957" customWidth="1"/>
    <col min="7691" max="7692" width="14.375" style="2957" customWidth="1"/>
    <col min="7693" max="7693" width="6.25" style="2957" customWidth="1"/>
    <col min="7694" max="7694" width="36" style="2957" customWidth="1"/>
    <col min="7695" max="7936" width="9" style="2957"/>
    <col min="7937" max="7937" width="27.75" style="2957" customWidth="1"/>
    <col min="7938" max="7938" width="6.25" style="2957" customWidth="1"/>
    <col min="7939" max="7939" width="11.75" style="2957" customWidth="1"/>
    <col min="7940" max="7941" width="13.875" style="2957" customWidth="1"/>
    <col min="7942" max="7942" width="19.875" style="2957" customWidth="1"/>
    <col min="7943" max="7943" width="7.875" style="2957" customWidth="1"/>
    <col min="7944" max="7944" width="9" style="2957" customWidth="1"/>
    <col min="7945" max="7946" width="10.625" style="2957" customWidth="1"/>
    <col min="7947" max="7948" width="14.375" style="2957" customWidth="1"/>
    <col min="7949" max="7949" width="6.25" style="2957" customWidth="1"/>
    <col min="7950" max="7950" width="36" style="2957" customWidth="1"/>
    <col min="7951" max="8192" width="9" style="2957"/>
    <col min="8193" max="8193" width="27.75" style="2957" customWidth="1"/>
    <col min="8194" max="8194" width="6.25" style="2957" customWidth="1"/>
    <col min="8195" max="8195" width="11.75" style="2957" customWidth="1"/>
    <col min="8196" max="8197" width="13.875" style="2957" customWidth="1"/>
    <col min="8198" max="8198" width="19.875" style="2957" customWidth="1"/>
    <col min="8199" max="8199" width="7.875" style="2957" customWidth="1"/>
    <col min="8200" max="8200" width="9" style="2957" customWidth="1"/>
    <col min="8201" max="8202" width="10.625" style="2957" customWidth="1"/>
    <col min="8203" max="8204" width="14.375" style="2957" customWidth="1"/>
    <col min="8205" max="8205" width="6.25" style="2957" customWidth="1"/>
    <col min="8206" max="8206" width="36" style="2957" customWidth="1"/>
    <col min="8207" max="8448" width="9" style="2957"/>
    <col min="8449" max="8449" width="27.75" style="2957" customWidth="1"/>
    <col min="8450" max="8450" width="6.25" style="2957" customWidth="1"/>
    <col min="8451" max="8451" width="11.75" style="2957" customWidth="1"/>
    <col min="8452" max="8453" width="13.875" style="2957" customWidth="1"/>
    <col min="8454" max="8454" width="19.875" style="2957" customWidth="1"/>
    <col min="8455" max="8455" width="7.875" style="2957" customWidth="1"/>
    <col min="8456" max="8456" width="9" style="2957" customWidth="1"/>
    <col min="8457" max="8458" width="10.625" style="2957" customWidth="1"/>
    <col min="8459" max="8460" width="14.375" style="2957" customWidth="1"/>
    <col min="8461" max="8461" width="6.25" style="2957" customWidth="1"/>
    <col min="8462" max="8462" width="36" style="2957" customWidth="1"/>
    <col min="8463" max="8704" width="9" style="2957"/>
    <col min="8705" max="8705" width="27.75" style="2957" customWidth="1"/>
    <col min="8706" max="8706" width="6.25" style="2957" customWidth="1"/>
    <col min="8707" max="8707" width="11.75" style="2957" customWidth="1"/>
    <col min="8708" max="8709" width="13.875" style="2957" customWidth="1"/>
    <col min="8710" max="8710" width="19.875" style="2957" customWidth="1"/>
    <col min="8711" max="8711" width="7.875" style="2957" customWidth="1"/>
    <col min="8712" max="8712" width="9" style="2957" customWidth="1"/>
    <col min="8713" max="8714" width="10.625" style="2957" customWidth="1"/>
    <col min="8715" max="8716" width="14.375" style="2957" customWidth="1"/>
    <col min="8717" max="8717" width="6.25" style="2957" customWidth="1"/>
    <col min="8718" max="8718" width="36" style="2957" customWidth="1"/>
    <col min="8719" max="8960" width="9" style="2957"/>
    <col min="8961" max="8961" width="27.75" style="2957" customWidth="1"/>
    <col min="8962" max="8962" width="6.25" style="2957" customWidth="1"/>
    <col min="8963" max="8963" width="11.75" style="2957" customWidth="1"/>
    <col min="8964" max="8965" width="13.875" style="2957" customWidth="1"/>
    <col min="8966" max="8966" width="19.875" style="2957" customWidth="1"/>
    <col min="8967" max="8967" width="7.875" style="2957" customWidth="1"/>
    <col min="8968" max="8968" width="9" style="2957" customWidth="1"/>
    <col min="8969" max="8970" width="10.625" style="2957" customWidth="1"/>
    <col min="8971" max="8972" width="14.375" style="2957" customWidth="1"/>
    <col min="8973" max="8973" width="6.25" style="2957" customWidth="1"/>
    <col min="8974" max="8974" width="36" style="2957" customWidth="1"/>
    <col min="8975" max="9216" width="9" style="2957"/>
    <col min="9217" max="9217" width="27.75" style="2957" customWidth="1"/>
    <col min="9218" max="9218" width="6.25" style="2957" customWidth="1"/>
    <col min="9219" max="9219" width="11.75" style="2957" customWidth="1"/>
    <col min="9220" max="9221" width="13.875" style="2957" customWidth="1"/>
    <col min="9222" max="9222" width="19.875" style="2957" customWidth="1"/>
    <col min="9223" max="9223" width="7.875" style="2957" customWidth="1"/>
    <col min="9224" max="9224" width="9" style="2957" customWidth="1"/>
    <col min="9225" max="9226" width="10.625" style="2957" customWidth="1"/>
    <col min="9227" max="9228" width="14.375" style="2957" customWidth="1"/>
    <col min="9229" max="9229" width="6.25" style="2957" customWidth="1"/>
    <col min="9230" max="9230" width="36" style="2957" customWidth="1"/>
    <col min="9231" max="9472" width="9" style="2957"/>
    <col min="9473" max="9473" width="27.75" style="2957" customWidth="1"/>
    <col min="9474" max="9474" width="6.25" style="2957" customWidth="1"/>
    <col min="9475" max="9475" width="11.75" style="2957" customWidth="1"/>
    <col min="9476" max="9477" width="13.875" style="2957" customWidth="1"/>
    <col min="9478" max="9478" width="19.875" style="2957" customWidth="1"/>
    <col min="9479" max="9479" width="7.875" style="2957" customWidth="1"/>
    <col min="9480" max="9480" width="9" style="2957" customWidth="1"/>
    <col min="9481" max="9482" width="10.625" style="2957" customWidth="1"/>
    <col min="9483" max="9484" width="14.375" style="2957" customWidth="1"/>
    <col min="9485" max="9485" width="6.25" style="2957" customWidth="1"/>
    <col min="9486" max="9486" width="36" style="2957" customWidth="1"/>
    <col min="9487" max="9728" width="9" style="2957"/>
    <col min="9729" max="9729" width="27.75" style="2957" customWidth="1"/>
    <col min="9730" max="9730" width="6.25" style="2957" customWidth="1"/>
    <col min="9731" max="9731" width="11.75" style="2957" customWidth="1"/>
    <col min="9732" max="9733" width="13.875" style="2957" customWidth="1"/>
    <col min="9734" max="9734" width="19.875" style="2957" customWidth="1"/>
    <col min="9735" max="9735" width="7.875" style="2957" customWidth="1"/>
    <col min="9736" max="9736" width="9" style="2957" customWidth="1"/>
    <col min="9737" max="9738" width="10.625" style="2957" customWidth="1"/>
    <col min="9739" max="9740" width="14.375" style="2957" customWidth="1"/>
    <col min="9741" max="9741" width="6.25" style="2957" customWidth="1"/>
    <col min="9742" max="9742" width="36" style="2957" customWidth="1"/>
    <col min="9743" max="9984" width="9" style="2957"/>
    <col min="9985" max="9985" width="27.75" style="2957" customWidth="1"/>
    <col min="9986" max="9986" width="6.25" style="2957" customWidth="1"/>
    <col min="9987" max="9987" width="11.75" style="2957" customWidth="1"/>
    <col min="9988" max="9989" width="13.875" style="2957" customWidth="1"/>
    <col min="9990" max="9990" width="19.875" style="2957" customWidth="1"/>
    <col min="9991" max="9991" width="7.875" style="2957" customWidth="1"/>
    <col min="9992" max="9992" width="9" style="2957" customWidth="1"/>
    <col min="9993" max="9994" width="10.625" style="2957" customWidth="1"/>
    <col min="9995" max="9996" width="14.375" style="2957" customWidth="1"/>
    <col min="9997" max="9997" width="6.25" style="2957" customWidth="1"/>
    <col min="9998" max="9998" width="36" style="2957" customWidth="1"/>
    <col min="9999" max="10240" width="9" style="2957"/>
    <col min="10241" max="10241" width="27.75" style="2957" customWidth="1"/>
    <col min="10242" max="10242" width="6.25" style="2957" customWidth="1"/>
    <col min="10243" max="10243" width="11.75" style="2957" customWidth="1"/>
    <col min="10244" max="10245" width="13.875" style="2957" customWidth="1"/>
    <col min="10246" max="10246" width="19.875" style="2957" customWidth="1"/>
    <col min="10247" max="10247" width="7.875" style="2957" customWidth="1"/>
    <col min="10248" max="10248" width="9" style="2957" customWidth="1"/>
    <col min="10249" max="10250" width="10.625" style="2957" customWidth="1"/>
    <col min="10251" max="10252" width="14.375" style="2957" customWidth="1"/>
    <col min="10253" max="10253" width="6.25" style="2957" customWidth="1"/>
    <col min="10254" max="10254" width="36" style="2957" customWidth="1"/>
    <col min="10255" max="10496" width="9" style="2957"/>
    <col min="10497" max="10497" width="27.75" style="2957" customWidth="1"/>
    <col min="10498" max="10498" width="6.25" style="2957" customWidth="1"/>
    <col min="10499" max="10499" width="11.75" style="2957" customWidth="1"/>
    <col min="10500" max="10501" width="13.875" style="2957" customWidth="1"/>
    <col min="10502" max="10502" width="19.875" style="2957" customWidth="1"/>
    <col min="10503" max="10503" width="7.875" style="2957" customWidth="1"/>
    <col min="10504" max="10504" width="9" style="2957" customWidth="1"/>
    <col min="10505" max="10506" width="10.625" style="2957" customWidth="1"/>
    <col min="10507" max="10508" width="14.375" style="2957" customWidth="1"/>
    <col min="10509" max="10509" width="6.25" style="2957" customWidth="1"/>
    <col min="10510" max="10510" width="36" style="2957" customWidth="1"/>
    <col min="10511" max="10752" width="9" style="2957"/>
    <col min="10753" max="10753" width="27.75" style="2957" customWidth="1"/>
    <col min="10754" max="10754" width="6.25" style="2957" customWidth="1"/>
    <col min="10755" max="10755" width="11.75" style="2957" customWidth="1"/>
    <col min="10756" max="10757" width="13.875" style="2957" customWidth="1"/>
    <col min="10758" max="10758" width="19.875" style="2957" customWidth="1"/>
    <col min="10759" max="10759" width="7.875" style="2957" customWidth="1"/>
    <col min="10760" max="10760" width="9" style="2957" customWidth="1"/>
    <col min="10761" max="10762" width="10.625" style="2957" customWidth="1"/>
    <col min="10763" max="10764" width="14.375" style="2957" customWidth="1"/>
    <col min="10765" max="10765" width="6.25" style="2957" customWidth="1"/>
    <col min="10766" max="10766" width="36" style="2957" customWidth="1"/>
    <col min="10767" max="11008" width="9" style="2957"/>
    <col min="11009" max="11009" width="27.75" style="2957" customWidth="1"/>
    <col min="11010" max="11010" width="6.25" style="2957" customWidth="1"/>
    <col min="11011" max="11011" width="11.75" style="2957" customWidth="1"/>
    <col min="11012" max="11013" width="13.875" style="2957" customWidth="1"/>
    <col min="11014" max="11014" width="19.875" style="2957" customWidth="1"/>
    <col min="11015" max="11015" width="7.875" style="2957" customWidth="1"/>
    <col min="11016" max="11016" width="9" style="2957" customWidth="1"/>
    <col min="11017" max="11018" width="10.625" style="2957" customWidth="1"/>
    <col min="11019" max="11020" width="14.375" style="2957" customWidth="1"/>
    <col min="11021" max="11021" width="6.25" style="2957" customWidth="1"/>
    <col min="11022" max="11022" width="36" style="2957" customWidth="1"/>
    <col min="11023" max="11264" width="9" style="2957"/>
    <col min="11265" max="11265" width="27.75" style="2957" customWidth="1"/>
    <col min="11266" max="11266" width="6.25" style="2957" customWidth="1"/>
    <col min="11267" max="11267" width="11.75" style="2957" customWidth="1"/>
    <col min="11268" max="11269" width="13.875" style="2957" customWidth="1"/>
    <col min="11270" max="11270" width="19.875" style="2957" customWidth="1"/>
    <col min="11271" max="11271" width="7.875" style="2957" customWidth="1"/>
    <col min="11272" max="11272" width="9" style="2957" customWidth="1"/>
    <col min="11273" max="11274" width="10.625" style="2957" customWidth="1"/>
    <col min="11275" max="11276" width="14.375" style="2957" customWidth="1"/>
    <col min="11277" max="11277" width="6.25" style="2957" customWidth="1"/>
    <col min="11278" max="11278" width="36" style="2957" customWidth="1"/>
    <col min="11279" max="11520" width="9" style="2957"/>
    <col min="11521" max="11521" width="27.75" style="2957" customWidth="1"/>
    <col min="11522" max="11522" width="6.25" style="2957" customWidth="1"/>
    <col min="11523" max="11523" width="11.75" style="2957" customWidth="1"/>
    <col min="11524" max="11525" width="13.875" style="2957" customWidth="1"/>
    <col min="11526" max="11526" width="19.875" style="2957" customWidth="1"/>
    <col min="11527" max="11527" width="7.875" style="2957" customWidth="1"/>
    <col min="11528" max="11528" width="9" style="2957" customWidth="1"/>
    <col min="11529" max="11530" width="10.625" style="2957" customWidth="1"/>
    <col min="11531" max="11532" width="14.375" style="2957" customWidth="1"/>
    <col min="11533" max="11533" width="6.25" style="2957" customWidth="1"/>
    <col min="11534" max="11534" width="36" style="2957" customWidth="1"/>
    <col min="11535" max="11776" width="9" style="2957"/>
    <col min="11777" max="11777" width="27.75" style="2957" customWidth="1"/>
    <col min="11778" max="11778" width="6.25" style="2957" customWidth="1"/>
    <col min="11779" max="11779" width="11.75" style="2957" customWidth="1"/>
    <col min="11780" max="11781" width="13.875" style="2957" customWidth="1"/>
    <col min="11782" max="11782" width="19.875" style="2957" customWidth="1"/>
    <col min="11783" max="11783" width="7.875" style="2957" customWidth="1"/>
    <col min="11784" max="11784" width="9" style="2957" customWidth="1"/>
    <col min="11785" max="11786" width="10.625" style="2957" customWidth="1"/>
    <col min="11787" max="11788" width="14.375" style="2957" customWidth="1"/>
    <col min="11789" max="11789" width="6.25" style="2957" customWidth="1"/>
    <col min="11790" max="11790" width="36" style="2957" customWidth="1"/>
    <col min="11791" max="12032" width="9" style="2957"/>
    <col min="12033" max="12033" width="27.75" style="2957" customWidth="1"/>
    <col min="12034" max="12034" width="6.25" style="2957" customWidth="1"/>
    <col min="12035" max="12035" width="11.75" style="2957" customWidth="1"/>
    <col min="12036" max="12037" width="13.875" style="2957" customWidth="1"/>
    <col min="12038" max="12038" width="19.875" style="2957" customWidth="1"/>
    <col min="12039" max="12039" width="7.875" style="2957" customWidth="1"/>
    <col min="12040" max="12040" width="9" style="2957" customWidth="1"/>
    <col min="12041" max="12042" width="10.625" style="2957" customWidth="1"/>
    <col min="12043" max="12044" width="14.375" style="2957" customWidth="1"/>
    <col min="12045" max="12045" width="6.25" style="2957" customWidth="1"/>
    <col min="12046" max="12046" width="36" style="2957" customWidth="1"/>
    <col min="12047" max="12288" width="9" style="2957"/>
    <col min="12289" max="12289" width="27.75" style="2957" customWidth="1"/>
    <col min="12290" max="12290" width="6.25" style="2957" customWidth="1"/>
    <col min="12291" max="12291" width="11.75" style="2957" customWidth="1"/>
    <col min="12292" max="12293" width="13.875" style="2957" customWidth="1"/>
    <col min="12294" max="12294" width="19.875" style="2957" customWidth="1"/>
    <col min="12295" max="12295" width="7.875" style="2957" customWidth="1"/>
    <col min="12296" max="12296" width="9" style="2957" customWidth="1"/>
    <col min="12297" max="12298" width="10.625" style="2957" customWidth="1"/>
    <col min="12299" max="12300" width="14.375" style="2957" customWidth="1"/>
    <col min="12301" max="12301" width="6.25" style="2957" customWidth="1"/>
    <col min="12302" max="12302" width="36" style="2957" customWidth="1"/>
    <col min="12303" max="12544" width="9" style="2957"/>
    <col min="12545" max="12545" width="27.75" style="2957" customWidth="1"/>
    <col min="12546" max="12546" width="6.25" style="2957" customWidth="1"/>
    <col min="12547" max="12547" width="11.75" style="2957" customWidth="1"/>
    <col min="12548" max="12549" width="13.875" style="2957" customWidth="1"/>
    <col min="12550" max="12550" width="19.875" style="2957" customWidth="1"/>
    <col min="12551" max="12551" width="7.875" style="2957" customWidth="1"/>
    <col min="12552" max="12552" width="9" style="2957" customWidth="1"/>
    <col min="12553" max="12554" width="10.625" style="2957" customWidth="1"/>
    <col min="12555" max="12556" width="14.375" style="2957" customWidth="1"/>
    <col min="12557" max="12557" width="6.25" style="2957" customWidth="1"/>
    <col min="12558" max="12558" width="36" style="2957" customWidth="1"/>
    <col min="12559" max="12800" width="9" style="2957"/>
    <col min="12801" max="12801" width="27.75" style="2957" customWidth="1"/>
    <col min="12802" max="12802" width="6.25" style="2957" customWidth="1"/>
    <col min="12803" max="12803" width="11.75" style="2957" customWidth="1"/>
    <col min="12804" max="12805" width="13.875" style="2957" customWidth="1"/>
    <col min="12806" max="12806" width="19.875" style="2957" customWidth="1"/>
    <col min="12807" max="12807" width="7.875" style="2957" customWidth="1"/>
    <col min="12808" max="12808" width="9" style="2957" customWidth="1"/>
    <col min="12809" max="12810" width="10.625" style="2957" customWidth="1"/>
    <col min="12811" max="12812" width="14.375" style="2957" customWidth="1"/>
    <col min="12813" max="12813" width="6.25" style="2957" customWidth="1"/>
    <col min="12814" max="12814" width="36" style="2957" customWidth="1"/>
    <col min="12815" max="13056" width="9" style="2957"/>
    <col min="13057" max="13057" width="27.75" style="2957" customWidth="1"/>
    <col min="13058" max="13058" width="6.25" style="2957" customWidth="1"/>
    <col min="13059" max="13059" width="11.75" style="2957" customWidth="1"/>
    <col min="13060" max="13061" width="13.875" style="2957" customWidth="1"/>
    <col min="13062" max="13062" width="19.875" style="2957" customWidth="1"/>
    <col min="13063" max="13063" width="7.875" style="2957" customWidth="1"/>
    <col min="13064" max="13064" width="9" style="2957" customWidth="1"/>
    <col min="13065" max="13066" width="10.625" style="2957" customWidth="1"/>
    <col min="13067" max="13068" width="14.375" style="2957" customWidth="1"/>
    <col min="13069" max="13069" width="6.25" style="2957" customWidth="1"/>
    <col min="13070" max="13070" width="36" style="2957" customWidth="1"/>
    <col min="13071" max="13312" width="9" style="2957"/>
    <col min="13313" max="13313" width="27.75" style="2957" customWidth="1"/>
    <col min="13314" max="13314" width="6.25" style="2957" customWidth="1"/>
    <col min="13315" max="13315" width="11.75" style="2957" customWidth="1"/>
    <col min="13316" max="13317" width="13.875" style="2957" customWidth="1"/>
    <col min="13318" max="13318" width="19.875" style="2957" customWidth="1"/>
    <col min="13319" max="13319" width="7.875" style="2957" customWidth="1"/>
    <col min="13320" max="13320" width="9" style="2957" customWidth="1"/>
    <col min="13321" max="13322" width="10.625" style="2957" customWidth="1"/>
    <col min="13323" max="13324" width="14.375" style="2957" customWidth="1"/>
    <col min="13325" max="13325" width="6.25" style="2957" customWidth="1"/>
    <col min="13326" max="13326" width="36" style="2957" customWidth="1"/>
    <col min="13327" max="13568" width="9" style="2957"/>
    <col min="13569" max="13569" width="27.75" style="2957" customWidth="1"/>
    <col min="13570" max="13570" width="6.25" style="2957" customWidth="1"/>
    <col min="13571" max="13571" width="11.75" style="2957" customWidth="1"/>
    <col min="13572" max="13573" width="13.875" style="2957" customWidth="1"/>
    <col min="13574" max="13574" width="19.875" style="2957" customWidth="1"/>
    <col min="13575" max="13575" width="7.875" style="2957" customWidth="1"/>
    <col min="13576" max="13576" width="9" style="2957" customWidth="1"/>
    <col min="13577" max="13578" width="10.625" style="2957" customWidth="1"/>
    <col min="13579" max="13580" width="14.375" style="2957" customWidth="1"/>
    <col min="13581" max="13581" width="6.25" style="2957" customWidth="1"/>
    <col min="13582" max="13582" width="36" style="2957" customWidth="1"/>
    <col min="13583" max="13824" width="9" style="2957"/>
    <col min="13825" max="13825" width="27.75" style="2957" customWidth="1"/>
    <col min="13826" max="13826" width="6.25" style="2957" customWidth="1"/>
    <col min="13827" max="13827" width="11.75" style="2957" customWidth="1"/>
    <col min="13828" max="13829" width="13.875" style="2957" customWidth="1"/>
    <col min="13830" max="13830" width="19.875" style="2957" customWidth="1"/>
    <col min="13831" max="13831" width="7.875" style="2957" customWidth="1"/>
    <col min="13832" max="13832" width="9" style="2957" customWidth="1"/>
    <col min="13833" max="13834" width="10.625" style="2957" customWidth="1"/>
    <col min="13835" max="13836" width="14.375" style="2957" customWidth="1"/>
    <col min="13837" max="13837" width="6.25" style="2957" customWidth="1"/>
    <col min="13838" max="13838" width="36" style="2957" customWidth="1"/>
    <col min="13839" max="14080" width="9" style="2957"/>
    <col min="14081" max="14081" width="27.75" style="2957" customWidth="1"/>
    <col min="14082" max="14082" width="6.25" style="2957" customWidth="1"/>
    <col min="14083" max="14083" width="11.75" style="2957" customWidth="1"/>
    <col min="14084" max="14085" width="13.875" style="2957" customWidth="1"/>
    <col min="14086" max="14086" width="19.875" style="2957" customWidth="1"/>
    <col min="14087" max="14087" width="7.875" style="2957" customWidth="1"/>
    <col min="14088" max="14088" width="9" style="2957" customWidth="1"/>
    <col min="14089" max="14090" width="10.625" style="2957" customWidth="1"/>
    <col min="14091" max="14092" width="14.375" style="2957" customWidth="1"/>
    <col min="14093" max="14093" width="6.25" style="2957" customWidth="1"/>
    <col min="14094" max="14094" width="36" style="2957" customWidth="1"/>
    <col min="14095" max="14336" width="9" style="2957"/>
    <col min="14337" max="14337" width="27.75" style="2957" customWidth="1"/>
    <col min="14338" max="14338" width="6.25" style="2957" customWidth="1"/>
    <col min="14339" max="14339" width="11.75" style="2957" customWidth="1"/>
    <col min="14340" max="14341" width="13.875" style="2957" customWidth="1"/>
    <col min="14342" max="14342" width="19.875" style="2957" customWidth="1"/>
    <col min="14343" max="14343" width="7.875" style="2957" customWidth="1"/>
    <col min="14344" max="14344" width="9" style="2957" customWidth="1"/>
    <col min="14345" max="14346" width="10.625" style="2957" customWidth="1"/>
    <col min="14347" max="14348" width="14.375" style="2957" customWidth="1"/>
    <col min="14349" max="14349" width="6.25" style="2957" customWidth="1"/>
    <col min="14350" max="14350" width="36" style="2957" customWidth="1"/>
    <col min="14351" max="14592" width="9" style="2957"/>
    <col min="14593" max="14593" width="27.75" style="2957" customWidth="1"/>
    <col min="14594" max="14594" width="6.25" style="2957" customWidth="1"/>
    <col min="14595" max="14595" width="11.75" style="2957" customWidth="1"/>
    <col min="14596" max="14597" width="13.875" style="2957" customWidth="1"/>
    <col min="14598" max="14598" width="19.875" style="2957" customWidth="1"/>
    <col min="14599" max="14599" width="7.875" style="2957" customWidth="1"/>
    <col min="14600" max="14600" width="9" style="2957" customWidth="1"/>
    <col min="14601" max="14602" width="10.625" style="2957" customWidth="1"/>
    <col min="14603" max="14604" width="14.375" style="2957" customWidth="1"/>
    <col min="14605" max="14605" width="6.25" style="2957" customWidth="1"/>
    <col min="14606" max="14606" width="36" style="2957" customWidth="1"/>
    <col min="14607" max="14848" width="9" style="2957"/>
    <col min="14849" max="14849" width="27.75" style="2957" customWidth="1"/>
    <col min="14850" max="14850" width="6.25" style="2957" customWidth="1"/>
    <col min="14851" max="14851" width="11.75" style="2957" customWidth="1"/>
    <col min="14852" max="14853" width="13.875" style="2957" customWidth="1"/>
    <col min="14854" max="14854" width="19.875" style="2957" customWidth="1"/>
    <col min="14855" max="14855" width="7.875" style="2957" customWidth="1"/>
    <col min="14856" max="14856" width="9" style="2957" customWidth="1"/>
    <col min="14857" max="14858" width="10.625" style="2957" customWidth="1"/>
    <col min="14859" max="14860" width="14.375" style="2957" customWidth="1"/>
    <col min="14861" max="14861" width="6.25" style="2957" customWidth="1"/>
    <col min="14862" max="14862" width="36" style="2957" customWidth="1"/>
    <col min="14863" max="15104" width="9" style="2957"/>
    <col min="15105" max="15105" width="27.75" style="2957" customWidth="1"/>
    <col min="15106" max="15106" width="6.25" style="2957" customWidth="1"/>
    <col min="15107" max="15107" width="11.75" style="2957" customWidth="1"/>
    <col min="15108" max="15109" width="13.875" style="2957" customWidth="1"/>
    <col min="15110" max="15110" width="19.875" style="2957" customWidth="1"/>
    <col min="15111" max="15111" width="7.875" style="2957" customWidth="1"/>
    <col min="15112" max="15112" width="9" style="2957" customWidth="1"/>
    <col min="15113" max="15114" width="10.625" style="2957" customWidth="1"/>
    <col min="15115" max="15116" width="14.375" style="2957" customWidth="1"/>
    <col min="15117" max="15117" width="6.25" style="2957" customWidth="1"/>
    <col min="15118" max="15118" width="36" style="2957" customWidth="1"/>
    <col min="15119" max="15360" width="9" style="2957"/>
    <col min="15361" max="15361" width="27.75" style="2957" customWidth="1"/>
    <col min="15362" max="15362" width="6.25" style="2957" customWidth="1"/>
    <col min="15363" max="15363" width="11.75" style="2957" customWidth="1"/>
    <col min="15364" max="15365" width="13.875" style="2957" customWidth="1"/>
    <col min="15366" max="15366" width="19.875" style="2957" customWidth="1"/>
    <col min="15367" max="15367" width="7.875" style="2957" customWidth="1"/>
    <col min="15368" max="15368" width="9" style="2957" customWidth="1"/>
    <col min="15369" max="15370" width="10.625" style="2957" customWidth="1"/>
    <col min="15371" max="15372" width="14.375" style="2957" customWidth="1"/>
    <col min="15373" max="15373" width="6.25" style="2957" customWidth="1"/>
    <col min="15374" max="15374" width="36" style="2957" customWidth="1"/>
    <col min="15375" max="15616" width="9" style="2957"/>
    <col min="15617" max="15617" width="27.75" style="2957" customWidth="1"/>
    <col min="15618" max="15618" width="6.25" style="2957" customWidth="1"/>
    <col min="15619" max="15619" width="11.75" style="2957" customWidth="1"/>
    <col min="15620" max="15621" width="13.875" style="2957" customWidth="1"/>
    <col min="15622" max="15622" width="19.875" style="2957" customWidth="1"/>
    <col min="15623" max="15623" width="7.875" style="2957" customWidth="1"/>
    <col min="15624" max="15624" width="9" style="2957" customWidth="1"/>
    <col min="15625" max="15626" width="10.625" style="2957" customWidth="1"/>
    <col min="15627" max="15628" width="14.375" style="2957" customWidth="1"/>
    <col min="15629" max="15629" width="6.25" style="2957" customWidth="1"/>
    <col min="15630" max="15630" width="36" style="2957" customWidth="1"/>
    <col min="15631" max="15872" width="9" style="2957"/>
    <col min="15873" max="15873" width="27.75" style="2957" customWidth="1"/>
    <col min="15874" max="15874" width="6.25" style="2957" customWidth="1"/>
    <col min="15875" max="15875" width="11.75" style="2957" customWidth="1"/>
    <col min="15876" max="15877" width="13.875" style="2957" customWidth="1"/>
    <col min="15878" max="15878" width="19.875" style="2957" customWidth="1"/>
    <col min="15879" max="15879" width="7.875" style="2957" customWidth="1"/>
    <col min="15880" max="15880" width="9" style="2957" customWidth="1"/>
    <col min="15881" max="15882" width="10.625" style="2957" customWidth="1"/>
    <col min="15883" max="15884" width="14.375" style="2957" customWidth="1"/>
    <col min="15885" max="15885" width="6.25" style="2957" customWidth="1"/>
    <col min="15886" max="15886" width="36" style="2957" customWidth="1"/>
    <col min="15887" max="16128" width="9" style="2957"/>
    <col min="16129" max="16129" width="27.75" style="2957" customWidth="1"/>
    <col min="16130" max="16130" width="6.25" style="2957" customWidth="1"/>
    <col min="16131" max="16131" width="11.75" style="2957" customWidth="1"/>
    <col min="16132" max="16133" width="13.875" style="2957" customWidth="1"/>
    <col min="16134" max="16134" width="19.875" style="2957" customWidth="1"/>
    <col min="16135" max="16135" width="7.875" style="2957" customWidth="1"/>
    <col min="16136" max="16136" width="9" style="2957" customWidth="1"/>
    <col min="16137" max="16138" width="10.625" style="2957" customWidth="1"/>
    <col min="16139" max="16140" width="14.375" style="2957" customWidth="1"/>
    <col min="16141" max="16141" width="6.25" style="2957" customWidth="1"/>
    <col min="16142" max="16142" width="36" style="2957" customWidth="1"/>
    <col min="16143" max="16384" width="9" style="2957"/>
  </cols>
  <sheetData>
    <row r="1" spans="1:14" ht="14.25">
      <c r="A1" s="2957" t="s">
        <v>3277</v>
      </c>
      <c r="B1" s="2957" t="s">
        <v>3278</v>
      </c>
      <c r="C1" s="2957" t="s">
        <v>3279</v>
      </c>
      <c r="D1" s="2957" t="s">
        <v>3280</v>
      </c>
      <c r="E1" s="2957" t="s">
        <v>3281</v>
      </c>
      <c r="F1" s="2957" t="s">
        <v>3282</v>
      </c>
      <c r="G1" s="2957" t="s">
        <v>3283</v>
      </c>
      <c r="H1" s="2957" t="s">
        <v>3284</v>
      </c>
      <c r="I1" s="2957" t="s">
        <v>3285</v>
      </c>
      <c r="J1" s="2957" t="s">
        <v>3286</v>
      </c>
      <c r="K1" s="2957" t="s">
        <v>3287</v>
      </c>
      <c r="L1" s="2958" t="s">
        <v>3288</v>
      </c>
      <c r="M1" s="2957" t="s">
        <v>3289</v>
      </c>
      <c r="N1" s="2957" t="s">
        <v>3290</v>
      </c>
    </row>
    <row r="2" spans="1:14" s="2960" customFormat="1">
      <c r="A2" s="2960" t="s">
        <v>3291</v>
      </c>
      <c r="B2" s="2960" t="s">
        <v>3292</v>
      </c>
      <c r="C2" s="2960" t="s">
        <v>3293</v>
      </c>
      <c r="D2" s="2960">
        <v>16530</v>
      </c>
      <c r="E2" s="2960">
        <v>45457.5</v>
      </c>
      <c r="F2" s="2960" t="s">
        <v>3294</v>
      </c>
      <c r="G2" s="2960" t="s">
        <v>3295</v>
      </c>
      <c r="H2" s="2960" t="s">
        <v>3296</v>
      </c>
      <c r="I2" s="2960">
        <v>3300</v>
      </c>
      <c r="J2" s="2960">
        <v>6090</v>
      </c>
      <c r="K2" s="2960">
        <v>1339.71</v>
      </c>
      <c r="L2" s="2960">
        <f>ROUND(J2*10000/D2,0)</f>
        <v>3684</v>
      </c>
      <c r="M2" s="2960">
        <v>84.55</v>
      </c>
      <c r="N2" s="2960" t="s">
        <v>3297</v>
      </c>
    </row>
    <row r="3" spans="1:14" s="2960" customFormat="1">
      <c r="A3" s="2960" t="s">
        <v>3298</v>
      </c>
      <c r="B3" s="2960" t="s">
        <v>3292</v>
      </c>
      <c r="C3" s="2960" t="s">
        <v>3293</v>
      </c>
      <c r="D3" s="2960">
        <v>19615</v>
      </c>
      <c r="E3" s="2960">
        <v>68652.5</v>
      </c>
      <c r="F3" s="2960" t="s">
        <v>3299</v>
      </c>
      <c r="G3" s="2960" t="s">
        <v>3295</v>
      </c>
      <c r="H3" s="2960" t="s">
        <v>3296</v>
      </c>
      <c r="I3" s="2960">
        <v>6800</v>
      </c>
      <c r="J3" s="2960">
        <v>7050</v>
      </c>
      <c r="K3" s="2960">
        <v>1026.9100000000001</v>
      </c>
      <c r="L3" s="2960">
        <f t="shared" ref="L3:L51" si="0">ROUND(J3*10000/D3,0)</f>
        <v>3594</v>
      </c>
      <c r="M3" s="2960">
        <v>3.68</v>
      </c>
      <c r="N3" s="2960" t="s">
        <v>3300</v>
      </c>
    </row>
    <row r="4" spans="1:14" s="2959" customFormat="1">
      <c r="A4" s="2959" t="s">
        <v>3511</v>
      </c>
      <c r="B4" s="2959" t="s">
        <v>3292</v>
      </c>
      <c r="C4" s="2959" t="s">
        <v>3293</v>
      </c>
      <c r="D4" s="2959">
        <v>13203</v>
      </c>
      <c r="E4" s="2959">
        <v>8581.9500000000007</v>
      </c>
      <c r="F4" s="2959" t="s">
        <v>3301</v>
      </c>
      <c r="G4" s="2959" t="s">
        <v>3295</v>
      </c>
      <c r="H4" s="2959" t="s">
        <v>3296</v>
      </c>
      <c r="I4" s="2959">
        <v>2900</v>
      </c>
      <c r="J4" s="2959">
        <v>2900</v>
      </c>
      <c r="K4" s="2959">
        <v>3379.19</v>
      </c>
      <c r="L4" s="2959">
        <f t="shared" si="0"/>
        <v>2196</v>
      </c>
      <c r="M4" s="2959">
        <v>0</v>
      </c>
      <c r="N4" s="2959" t="s">
        <v>3302</v>
      </c>
    </row>
    <row r="5" spans="1:14">
      <c r="A5" s="2957" t="s">
        <v>3303</v>
      </c>
      <c r="B5" s="2957" t="s">
        <v>3292</v>
      </c>
      <c r="C5" s="2957" t="s">
        <v>3293</v>
      </c>
      <c r="D5" s="2957">
        <v>5507</v>
      </c>
      <c r="E5" s="2957">
        <v>11124.14</v>
      </c>
      <c r="F5" s="2957" t="s">
        <v>3304</v>
      </c>
      <c r="G5" s="2957" t="s">
        <v>3295</v>
      </c>
      <c r="H5" s="2957" t="s">
        <v>3296</v>
      </c>
      <c r="I5" s="2957">
        <v>4500</v>
      </c>
      <c r="J5" s="2957">
        <v>4550</v>
      </c>
      <c r="K5" s="2957">
        <v>4090.19</v>
      </c>
      <c r="L5" s="2957">
        <f t="shared" si="0"/>
        <v>8262</v>
      </c>
      <c r="M5" s="2957">
        <v>1.1100000000000001</v>
      </c>
      <c r="N5" s="2957" t="s">
        <v>3305</v>
      </c>
    </row>
    <row r="6" spans="1:14" s="2960" customFormat="1">
      <c r="A6" s="2960" t="s">
        <v>3892</v>
      </c>
      <c r="B6" s="2960" t="s">
        <v>3292</v>
      </c>
      <c r="C6" s="2960" t="s">
        <v>3293</v>
      </c>
      <c r="D6" s="2960">
        <v>12497</v>
      </c>
      <c r="E6" s="2960">
        <v>31242.5</v>
      </c>
      <c r="F6" s="2960" t="s">
        <v>3306</v>
      </c>
      <c r="G6" s="2960" t="s">
        <v>3295</v>
      </c>
      <c r="H6" s="2960" t="s">
        <v>3296</v>
      </c>
      <c r="I6" s="2960">
        <v>6300</v>
      </c>
      <c r="J6" s="2960">
        <v>10000</v>
      </c>
      <c r="K6" s="2960">
        <v>3200.76</v>
      </c>
      <c r="L6" s="2960">
        <f t="shared" si="0"/>
        <v>8002</v>
      </c>
      <c r="M6" s="2960">
        <v>58.73</v>
      </c>
      <c r="N6" s="2960" t="s">
        <v>3307</v>
      </c>
    </row>
    <row r="7" spans="1:14" s="2959" customFormat="1">
      <c r="A7" s="2974" t="s">
        <v>3512</v>
      </c>
      <c r="B7" s="2959" t="s">
        <v>3292</v>
      </c>
      <c r="C7" s="2959" t="s">
        <v>3293</v>
      </c>
      <c r="D7" s="2959">
        <v>49739</v>
      </c>
      <c r="E7" s="2959">
        <v>29843.4</v>
      </c>
      <c r="F7" s="2959" t="s">
        <v>3308</v>
      </c>
      <c r="G7" s="2959" t="s">
        <v>3295</v>
      </c>
      <c r="H7" s="2959" t="s">
        <v>3309</v>
      </c>
      <c r="I7" s="2959">
        <v>9750</v>
      </c>
      <c r="J7" s="2959">
        <v>9750</v>
      </c>
      <c r="K7" s="2959">
        <v>3267.05</v>
      </c>
      <c r="L7" s="2959">
        <f t="shared" si="0"/>
        <v>1960</v>
      </c>
      <c r="M7" s="2959">
        <v>0</v>
      </c>
      <c r="N7" s="2959" t="s">
        <v>3310</v>
      </c>
    </row>
    <row r="8" spans="1:14" s="2959" customFormat="1">
      <c r="A8" s="2974" t="s">
        <v>3513</v>
      </c>
      <c r="B8" s="2959" t="s">
        <v>3292</v>
      </c>
      <c r="C8" s="2959" t="s">
        <v>3293</v>
      </c>
      <c r="D8" s="2959">
        <v>17980</v>
      </c>
      <c r="E8" s="2959">
        <v>14384</v>
      </c>
      <c r="F8" s="2959" t="s">
        <v>3311</v>
      </c>
      <c r="G8" s="2959" t="s">
        <v>3295</v>
      </c>
      <c r="H8" s="2959" t="s">
        <v>3309</v>
      </c>
      <c r="I8" s="2959">
        <v>4060.8</v>
      </c>
      <c r="J8" s="2959">
        <v>4060.8</v>
      </c>
      <c r="K8" s="2959">
        <v>2823.13</v>
      </c>
      <c r="L8" s="2959">
        <f t="shared" si="0"/>
        <v>2259</v>
      </c>
      <c r="M8" s="2959">
        <v>0</v>
      </c>
      <c r="N8" s="2959" t="s">
        <v>3310</v>
      </c>
    </row>
    <row r="9" spans="1:14">
      <c r="A9" s="2957" t="s">
        <v>3312</v>
      </c>
      <c r="B9" s="2957" t="s">
        <v>3292</v>
      </c>
      <c r="C9" s="2957" t="s">
        <v>3293</v>
      </c>
      <c r="D9" s="2957">
        <v>1702</v>
      </c>
      <c r="E9" s="2957">
        <v>680.8</v>
      </c>
      <c r="F9" s="2957" t="s">
        <v>3313</v>
      </c>
      <c r="G9" s="2957" t="s">
        <v>3295</v>
      </c>
      <c r="H9" s="2957" t="s">
        <v>3314</v>
      </c>
      <c r="I9" s="2957">
        <v>780</v>
      </c>
      <c r="J9" s="2957">
        <v>780</v>
      </c>
      <c r="K9" s="2957">
        <v>11457.11</v>
      </c>
      <c r="L9" s="2957">
        <f t="shared" si="0"/>
        <v>4583</v>
      </c>
      <c r="M9" s="2957">
        <v>0</v>
      </c>
      <c r="N9" s="2957" t="s">
        <v>3315</v>
      </c>
    </row>
    <row r="10" spans="1:14">
      <c r="A10" s="2957" t="s">
        <v>3316</v>
      </c>
      <c r="B10" s="2957" t="s">
        <v>3292</v>
      </c>
      <c r="C10" s="2957" t="s">
        <v>3293</v>
      </c>
      <c r="D10" s="2957">
        <v>8018</v>
      </c>
      <c r="E10" s="2957">
        <v>9621.6</v>
      </c>
      <c r="F10" s="2957" t="s">
        <v>3317</v>
      </c>
      <c r="G10" s="2957" t="s">
        <v>3295</v>
      </c>
      <c r="H10" s="2957" t="s">
        <v>3314</v>
      </c>
      <c r="I10" s="2957">
        <v>4070</v>
      </c>
      <c r="J10" s="2957">
        <v>6770</v>
      </c>
      <c r="K10" s="2957">
        <v>7036.25</v>
      </c>
      <c r="L10" s="2957">
        <f t="shared" si="0"/>
        <v>8444</v>
      </c>
      <c r="M10" s="2957">
        <v>66.34</v>
      </c>
      <c r="N10" s="2957" t="s">
        <v>3318</v>
      </c>
    </row>
    <row r="11" spans="1:14">
      <c r="A11" s="2957" t="s">
        <v>3319</v>
      </c>
      <c r="B11" s="2957" t="s">
        <v>3292</v>
      </c>
      <c r="C11" s="2957" t="s">
        <v>3293</v>
      </c>
      <c r="D11" s="2957">
        <v>8657</v>
      </c>
      <c r="E11" s="2957">
        <v>6925.6</v>
      </c>
      <c r="F11" s="2957" t="s">
        <v>3311</v>
      </c>
      <c r="G11" s="2957" t="s">
        <v>3295</v>
      </c>
      <c r="H11" s="2957" t="s">
        <v>3314</v>
      </c>
      <c r="I11" s="2957">
        <v>1600</v>
      </c>
      <c r="J11" s="2957">
        <v>1600</v>
      </c>
      <c r="K11" s="2957">
        <v>2310.2600000000002</v>
      </c>
      <c r="L11" s="2957">
        <f t="shared" si="0"/>
        <v>1848</v>
      </c>
      <c r="M11" s="2957">
        <v>0</v>
      </c>
      <c r="N11" s="2957" t="s">
        <v>3320</v>
      </c>
    </row>
    <row r="12" spans="1:14">
      <c r="A12" s="2957" t="s">
        <v>3321</v>
      </c>
      <c r="B12" s="2957" t="s">
        <v>3292</v>
      </c>
      <c r="C12" s="2957" t="s">
        <v>3293</v>
      </c>
      <c r="D12" s="2957">
        <v>1444</v>
      </c>
      <c r="E12" s="2957">
        <v>1660.6</v>
      </c>
      <c r="F12" s="2957" t="s">
        <v>3322</v>
      </c>
      <c r="G12" s="2957" t="s">
        <v>3295</v>
      </c>
      <c r="H12" s="2957" t="s">
        <v>3314</v>
      </c>
      <c r="I12" s="2957">
        <v>330</v>
      </c>
      <c r="J12" s="2957">
        <v>330</v>
      </c>
      <c r="K12" s="2957">
        <v>1987.23</v>
      </c>
      <c r="L12" s="2957">
        <f t="shared" si="0"/>
        <v>2285</v>
      </c>
      <c r="M12" s="2957">
        <v>0</v>
      </c>
      <c r="N12" s="2957" t="s">
        <v>3323</v>
      </c>
    </row>
    <row r="13" spans="1:14">
      <c r="A13" s="2957" t="s">
        <v>3324</v>
      </c>
      <c r="B13" s="2957" t="s">
        <v>3292</v>
      </c>
      <c r="C13" s="2957" t="s">
        <v>3293</v>
      </c>
      <c r="D13" s="2957">
        <v>4978</v>
      </c>
      <c r="E13" s="2957">
        <v>995.6</v>
      </c>
      <c r="F13" s="2957" t="s">
        <v>3325</v>
      </c>
      <c r="G13" s="2957" t="s">
        <v>3295</v>
      </c>
      <c r="H13" s="2957" t="s">
        <v>3314</v>
      </c>
      <c r="I13" s="2957">
        <v>1200</v>
      </c>
      <c r="J13" s="2957">
        <v>1200</v>
      </c>
      <c r="K13" s="2957">
        <v>12053.03</v>
      </c>
      <c r="L13" s="2957">
        <f t="shared" si="0"/>
        <v>2411</v>
      </c>
      <c r="M13" s="2957">
        <v>0</v>
      </c>
      <c r="N13" s="2957" t="s">
        <v>3326</v>
      </c>
    </row>
    <row r="14" spans="1:14">
      <c r="A14" s="2957" t="s">
        <v>3327</v>
      </c>
      <c r="B14" s="2957" t="s">
        <v>3292</v>
      </c>
      <c r="C14" s="2957" t="s">
        <v>3293</v>
      </c>
      <c r="D14" s="2957">
        <v>7913</v>
      </c>
      <c r="E14" s="2957">
        <v>8308.65</v>
      </c>
      <c r="F14" s="2957" t="s">
        <v>3328</v>
      </c>
      <c r="G14" s="2957" t="s">
        <v>3295</v>
      </c>
      <c r="H14" s="2957" t="s">
        <v>3314</v>
      </c>
      <c r="I14" s="2957">
        <v>1500</v>
      </c>
      <c r="J14" s="2957">
        <v>1500</v>
      </c>
      <c r="K14" s="2957">
        <v>1805.34</v>
      </c>
      <c r="L14" s="2957">
        <f t="shared" si="0"/>
        <v>1896</v>
      </c>
      <c r="M14" s="2957">
        <v>0</v>
      </c>
      <c r="N14" s="2957" t="s">
        <v>3329</v>
      </c>
    </row>
    <row r="15" spans="1:14" s="2960" customFormat="1">
      <c r="A15" s="2960" t="s">
        <v>3330</v>
      </c>
      <c r="B15" s="2960" t="s">
        <v>3292</v>
      </c>
      <c r="C15" s="2960" t="s">
        <v>3293</v>
      </c>
      <c r="D15" s="2960">
        <v>57472</v>
      </c>
      <c r="E15" s="2960">
        <v>43104</v>
      </c>
      <c r="F15" s="2960" t="s">
        <v>3331</v>
      </c>
      <c r="G15" s="2960" t="s">
        <v>3295</v>
      </c>
      <c r="H15" s="2960" t="s">
        <v>3332</v>
      </c>
      <c r="I15" s="2960">
        <v>24800</v>
      </c>
      <c r="J15" s="2960">
        <v>24800</v>
      </c>
      <c r="K15" s="2960">
        <v>5753.52</v>
      </c>
      <c r="L15" s="2960">
        <f t="shared" si="0"/>
        <v>4315</v>
      </c>
      <c r="M15" s="2960">
        <v>0</v>
      </c>
      <c r="N15" s="2960" t="s">
        <v>3333</v>
      </c>
    </row>
    <row r="16" spans="1:14">
      <c r="A16" s="2957" t="s">
        <v>3334</v>
      </c>
      <c r="B16" s="2957" t="s">
        <v>3292</v>
      </c>
      <c r="C16" s="2957" t="s">
        <v>3293</v>
      </c>
      <c r="D16" s="2957">
        <v>1658</v>
      </c>
      <c r="E16" s="2957">
        <v>663.2</v>
      </c>
      <c r="F16" s="2957" t="s">
        <v>3313</v>
      </c>
      <c r="G16" s="2957" t="s">
        <v>3295</v>
      </c>
      <c r="H16" s="2957" t="s">
        <v>3332</v>
      </c>
      <c r="I16" s="2957">
        <v>1080</v>
      </c>
      <c r="J16" s="2957">
        <v>1080</v>
      </c>
      <c r="K16" s="2957">
        <v>16284.68</v>
      </c>
      <c r="L16" s="2957">
        <f t="shared" si="0"/>
        <v>6514</v>
      </c>
      <c r="M16" s="2957">
        <v>0</v>
      </c>
      <c r="N16" s="2957" t="s">
        <v>3335</v>
      </c>
    </row>
    <row r="17" spans="1:14">
      <c r="A17" s="2957" t="s">
        <v>3336</v>
      </c>
      <c r="B17" s="2957" t="s">
        <v>3292</v>
      </c>
      <c r="C17" s="2957" t="s">
        <v>3293</v>
      </c>
      <c r="D17" s="2957">
        <v>96628</v>
      </c>
      <c r="E17" s="2957">
        <v>36525.379999999997</v>
      </c>
      <c r="F17" s="2957" t="s">
        <v>3337</v>
      </c>
      <c r="G17" s="2957" t="s">
        <v>3295</v>
      </c>
      <c r="H17" s="2957" t="s">
        <v>3338</v>
      </c>
      <c r="I17" s="2957">
        <v>17000</v>
      </c>
      <c r="J17" s="2957">
        <v>17000</v>
      </c>
      <c r="K17" s="2957">
        <v>4654.3</v>
      </c>
      <c r="L17" s="2957">
        <f t="shared" si="0"/>
        <v>1759</v>
      </c>
      <c r="M17" s="2957">
        <v>0</v>
      </c>
      <c r="N17" s="2957" t="s">
        <v>3333</v>
      </c>
    </row>
    <row r="18" spans="1:14">
      <c r="A18" s="2957" t="s">
        <v>3339</v>
      </c>
      <c r="B18" s="2957" t="s">
        <v>3292</v>
      </c>
      <c r="C18" s="2957" t="s">
        <v>3293</v>
      </c>
      <c r="D18" s="2957">
        <v>9121</v>
      </c>
      <c r="E18" s="2957">
        <v>1550.57</v>
      </c>
      <c r="F18" s="2957" t="s">
        <v>3340</v>
      </c>
      <c r="G18" s="2957" t="s">
        <v>3295</v>
      </c>
      <c r="H18" s="2957" t="s">
        <v>3338</v>
      </c>
      <c r="I18" s="2957">
        <v>1000</v>
      </c>
      <c r="J18" s="2957">
        <v>1000</v>
      </c>
      <c r="K18" s="2957">
        <v>6449.23</v>
      </c>
      <c r="L18" s="2957">
        <f t="shared" si="0"/>
        <v>1096</v>
      </c>
      <c r="M18" s="2957">
        <v>0</v>
      </c>
      <c r="N18" s="2957" t="s">
        <v>3333</v>
      </c>
    </row>
    <row r="19" spans="1:14">
      <c r="A19" s="2957" t="s">
        <v>3341</v>
      </c>
      <c r="B19" s="2957" t="s">
        <v>3292</v>
      </c>
      <c r="C19" s="2957" t="s">
        <v>3293</v>
      </c>
      <c r="D19" s="2957">
        <v>65822</v>
      </c>
      <c r="E19" s="2957">
        <v>19746.599999999999</v>
      </c>
      <c r="F19" s="2957" t="s">
        <v>3342</v>
      </c>
      <c r="G19" s="2957" t="s">
        <v>3295</v>
      </c>
      <c r="H19" s="2957" t="s">
        <v>3338</v>
      </c>
      <c r="I19" s="2957">
        <v>8000</v>
      </c>
      <c r="J19" s="2957">
        <v>8200</v>
      </c>
      <c r="K19" s="2957">
        <v>4152.6000000000004</v>
      </c>
      <c r="L19" s="2957">
        <f t="shared" si="0"/>
        <v>1246</v>
      </c>
      <c r="M19" s="2957">
        <v>2.5</v>
      </c>
      <c r="N19" s="2957" t="s">
        <v>3343</v>
      </c>
    </row>
    <row r="20" spans="1:14">
      <c r="A20" s="2957" t="s">
        <v>3344</v>
      </c>
      <c r="B20" s="2957" t="s">
        <v>3292</v>
      </c>
      <c r="C20" s="2957" t="s">
        <v>3293</v>
      </c>
      <c r="D20" s="2957">
        <v>20977</v>
      </c>
      <c r="E20" s="2957">
        <v>2517.2399999999998</v>
      </c>
      <c r="F20" s="2957" t="s">
        <v>3345</v>
      </c>
      <c r="G20" s="2957" t="s">
        <v>3295</v>
      </c>
      <c r="H20" s="2957" t="s">
        <v>3338</v>
      </c>
      <c r="I20" s="2957">
        <v>2500</v>
      </c>
      <c r="J20" s="2957">
        <v>2500</v>
      </c>
      <c r="K20" s="2957">
        <v>9931.51</v>
      </c>
      <c r="L20" s="2957">
        <f t="shared" si="0"/>
        <v>1192</v>
      </c>
      <c r="M20" s="2957">
        <v>0</v>
      </c>
      <c r="N20" s="2957" t="s">
        <v>3333</v>
      </c>
    </row>
    <row r="21" spans="1:14">
      <c r="A21" s="2957" t="s">
        <v>3346</v>
      </c>
      <c r="B21" s="2957" t="s">
        <v>3292</v>
      </c>
      <c r="C21" s="2957" t="s">
        <v>3293</v>
      </c>
      <c r="D21" s="2957">
        <v>44755</v>
      </c>
      <c r="E21" s="2957">
        <v>8951</v>
      </c>
      <c r="F21" s="2957" t="s">
        <v>3325</v>
      </c>
      <c r="G21" s="2957" t="s">
        <v>3295</v>
      </c>
      <c r="H21" s="2957" t="s">
        <v>3338</v>
      </c>
      <c r="I21" s="2957">
        <v>5000</v>
      </c>
      <c r="J21" s="2957">
        <v>5100</v>
      </c>
      <c r="K21" s="2957">
        <v>5697.68</v>
      </c>
      <c r="L21" s="2957">
        <f t="shared" si="0"/>
        <v>1140</v>
      </c>
      <c r="M21" s="2957">
        <v>2</v>
      </c>
      <c r="N21" s="2957" t="s">
        <v>3343</v>
      </c>
    </row>
    <row r="22" spans="1:14">
      <c r="A22" s="2957" t="s">
        <v>3347</v>
      </c>
      <c r="B22" s="2957" t="s">
        <v>3292</v>
      </c>
      <c r="C22" s="2957" t="s">
        <v>3293</v>
      </c>
      <c r="D22" s="2957">
        <v>2320</v>
      </c>
      <c r="E22" s="2957">
        <v>2784</v>
      </c>
      <c r="F22" s="2957" t="s">
        <v>3348</v>
      </c>
      <c r="G22" s="2957" t="s">
        <v>3295</v>
      </c>
      <c r="H22" s="2957" t="s">
        <v>3349</v>
      </c>
      <c r="I22" s="2957">
        <v>169</v>
      </c>
      <c r="J22" s="2957">
        <v>174</v>
      </c>
      <c r="K22" s="2957">
        <v>625</v>
      </c>
      <c r="L22" s="2957">
        <f t="shared" si="0"/>
        <v>750</v>
      </c>
      <c r="M22" s="2957">
        <v>2.96</v>
      </c>
      <c r="N22" s="2957" t="s">
        <v>3350</v>
      </c>
    </row>
    <row r="23" spans="1:14">
      <c r="A23" s="2957" t="s">
        <v>3351</v>
      </c>
      <c r="B23" s="2957" t="s">
        <v>3292</v>
      </c>
      <c r="C23" s="2957" t="s">
        <v>3293</v>
      </c>
      <c r="D23" s="2957">
        <v>27116</v>
      </c>
      <c r="E23" s="2957">
        <v>30369.919999999998</v>
      </c>
      <c r="F23" s="2957" t="s">
        <v>3352</v>
      </c>
      <c r="G23" s="2957" t="s">
        <v>3295</v>
      </c>
      <c r="H23" s="2957" t="s">
        <v>3353</v>
      </c>
      <c r="I23" s="2957">
        <v>16500</v>
      </c>
      <c r="J23" s="2957">
        <v>16500</v>
      </c>
      <c r="K23" s="2957">
        <v>5433.01</v>
      </c>
      <c r="L23" s="2957">
        <f t="shared" si="0"/>
        <v>6085</v>
      </c>
      <c r="M23" s="2957">
        <v>0</v>
      </c>
      <c r="N23" s="2957" t="s">
        <v>3354</v>
      </c>
    </row>
    <row r="24" spans="1:14">
      <c r="A24" s="2957" t="s">
        <v>3355</v>
      </c>
      <c r="B24" s="2957" t="s">
        <v>3292</v>
      </c>
      <c r="C24" s="2957" t="s">
        <v>3293</v>
      </c>
      <c r="D24" s="2957">
        <v>35585</v>
      </c>
      <c r="E24" s="2957">
        <v>138781.5</v>
      </c>
      <c r="F24" s="2957" t="s">
        <v>3356</v>
      </c>
      <c r="G24" s="2957" t="s">
        <v>3295</v>
      </c>
      <c r="H24" s="2957" t="s">
        <v>3353</v>
      </c>
      <c r="I24" s="2957">
        <v>7800</v>
      </c>
      <c r="J24" s="2957">
        <v>7800</v>
      </c>
      <c r="K24" s="2957">
        <v>562.02</v>
      </c>
      <c r="L24" s="2957">
        <f t="shared" si="0"/>
        <v>2192</v>
      </c>
      <c r="M24" s="2957">
        <v>0</v>
      </c>
      <c r="N24" s="2957" t="s">
        <v>3357</v>
      </c>
    </row>
    <row r="25" spans="1:14">
      <c r="A25" s="2957" t="s">
        <v>3358</v>
      </c>
      <c r="B25" s="2957" t="s">
        <v>3292</v>
      </c>
      <c r="C25" s="2957" t="s">
        <v>3293</v>
      </c>
      <c r="D25" s="2957">
        <v>19879</v>
      </c>
      <c r="E25" s="2957">
        <v>20872.95</v>
      </c>
      <c r="F25" s="2957" t="s">
        <v>3328</v>
      </c>
      <c r="G25" s="2957" t="s">
        <v>3295</v>
      </c>
      <c r="H25" s="2957" t="s">
        <v>3353</v>
      </c>
      <c r="I25" s="2957">
        <v>5500</v>
      </c>
      <c r="J25" s="2957">
        <v>5500</v>
      </c>
      <c r="K25" s="2957">
        <v>2634.98</v>
      </c>
      <c r="L25" s="2957">
        <f t="shared" si="0"/>
        <v>2767</v>
      </c>
      <c r="M25" s="2957">
        <v>0</v>
      </c>
      <c r="N25" s="2957" t="s">
        <v>3359</v>
      </c>
    </row>
    <row r="26" spans="1:14">
      <c r="A26" s="2957" t="s">
        <v>3360</v>
      </c>
      <c r="B26" s="2957" t="s">
        <v>3292</v>
      </c>
      <c r="C26" s="2957" t="s">
        <v>3293</v>
      </c>
      <c r="D26" s="2957">
        <v>11110</v>
      </c>
      <c r="E26" s="2957">
        <v>27219.5</v>
      </c>
      <c r="F26" s="2957" t="s">
        <v>3361</v>
      </c>
      <c r="G26" s="2957" t="s">
        <v>3295</v>
      </c>
      <c r="H26" s="2957" t="s">
        <v>3362</v>
      </c>
      <c r="I26" s="2957">
        <v>1057</v>
      </c>
      <c r="J26" s="2957">
        <v>1087</v>
      </c>
      <c r="K26" s="2957">
        <v>399.35</v>
      </c>
      <c r="L26" s="2957">
        <f t="shared" si="0"/>
        <v>978</v>
      </c>
      <c r="M26" s="2957">
        <v>2.84</v>
      </c>
      <c r="N26" s="2957" t="s">
        <v>3363</v>
      </c>
    </row>
    <row r="27" spans="1:14">
      <c r="A27" s="2957" t="s">
        <v>3364</v>
      </c>
      <c r="B27" s="2957" t="s">
        <v>3292</v>
      </c>
      <c r="C27" s="2957" t="s">
        <v>3293</v>
      </c>
      <c r="D27" s="2957">
        <v>8117</v>
      </c>
      <c r="E27" s="2957">
        <v>14204.75</v>
      </c>
      <c r="F27" s="2957">
        <v>1.75</v>
      </c>
      <c r="G27" s="2957" t="s">
        <v>3295</v>
      </c>
      <c r="H27" s="2957" t="s">
        <v>3365</v>
      </c>
      <c r="I27" s="2957">
        <v>2160</v>
      </c>
      <c r="J27" s="2957">
        <v>2160</v>
      </c>
      <c r="K27" s="2957">
        <v>1520.61</v>
      </c>
      <c r="L27" s="2957">
        <f t="shared" si="0"/>
        <v>2661</v>
      </c>
      <c r="M27" s="2957">
        <v>0</v>
      </c>
      <c r="N27" s="2957" t="s">
        <v>3366</v>
      </c>
    </row>
    <row r="28" spans="1:14">
      <c r="A28" s="2957" t="s">
        <v>3367</v>
      </c>
      <c r="B28" s="2957" t="s">
        <v>3292</v>
      </c>
      <c r="C28" s="2957" t="s">
        <v>3293</v>
      </c>
      <c r="D28" s="2957">
        <v>27407</v>
      </c>
      <c r="E28" s="2957">
        <v>28777.35</v>
      </c>
      <c r="F28" s="2957">
        <v>1.05</v>
      </c>
      <c r="G28" s="2957" t="s">
        <v>3295</v>
      </c>
      <c r="H28" s="2957" t="s">
        <v>3365</v>
      </c>
      <c r="I28" s="2957">
        <v>24600</v>
      </c>
      <c r="J28" s="2957">
        <v>24600</v>
      </c>
      <c r="K28" s="2957">
        <v>8548.3799999999992</v>
      </c>
      <c r="L28" s="2957">
        <f t="shared" si="0"/>
        <v>8976</v>
      </c>
      <c r="M28" s="2957">
        <v>0</v>
      </c>
      <c r="N28" s="2957" t="s">
        <v>3368</v>
      </c>
    </row>
    <row r="29" spans="1:14">
      <c r="A29" s="2957" t="s">
        <v>3369</v>
      </c>
      <c r="B29" s="2957" t="s">
        <v>3292</v>
      </c>
      <c r="C29" s="2957" t="s">
        <v>3293</v>
      </c>
      <c r="D29" s="2957">
        <v>13541</v>
      </c>
      <c r="E29" s="2957">
        <v>29790.2</v>
      </c>
      <c r="F29" s="2957">
        <v>2.2000000000000002</v>
      </c>
      <c r="G29" s="2957" t="s">
        <v>3295</v>
      </c>
      <c r="H29" s="2957" t="s">
        <v>3365</v>
      </c>
      <c r="I29" s="2957">
        <v>2300</v>
      </c>
      <c r="J29" s="2957">
        <v>2300</v>
      </c>
      <c r="K29" s="2957">
        <v>772.07</v>
      </c>
      <c r="L29" s="2957">
        <f t="shared" si="0"/>
        <v>1699</v>
      </c>
      <c r="M29" s="2957">
        <v>0</v>
      </c>
      <c r="N29" s="2957" t="s">
        <v>3370</v>
      </c>
    </row>
    <row r="30" spans="1:14">
      <c r="A30" s="2957" t="s">
        <v>3371</v>
      </c>
      <c r="B30" s="2957" t="s">
        <v>3292</v>
      </c>
      <c r="C30" s="2957" t="s">
        <v>3293</v>
      </c>
      <c r="D30" s="2957">
        <v>23158</v>
      </c>
      <c r="E30" s="2957" t="s">
        <v>1331</v>
      </c>
      <c r="F30" s="2957" t="s">
        <v>3372</v>
      </c>
      <c r="G30" s="2957" t="s">
        <v>3295</v>
      </c>
      <c r="H30" s="2957" t="s">
        <v>3365</v>
      </c>
      <c r="I30" s="2957">
        <v>9360</v>
      </c>
      <c r="J30" s="2957">
        <v>9360</v>
      </c>
      <c r="K30" s="2957" t="s">
        <v>1331</v>
      </c>
      <c r="L30" s="2957">
        <f t="shared" si="0"/>
        <v>4042</v>
      </c>
      <c r="M30" s="2957">
        <v>0</v>
      </c>
      <c r="N30" s="2957" t="s">
        <v>3354</v>
      </c>
    </row>
    <row r="31" spans="1:14">
      <c r="A31" s="2957" t="s">
        <v>3373</v>
      </c>
      <c r="B31" s="2957" t="s">
        <v>3292</v>
      </c>
      <c r="C31" s="2957" t="s">
        <v>3293</v>
      </c>
      <c r="D31" s="2957">
        <v>2273</v>
      </c>
      <c r="E31" s="2957">
        <v>2727.6</v>
      </c>
      <c r="F31" s="2957" t="s">
        <v>3317</v>
      </c>
      <c r="G31" s="2957" t="s">
        <v>3295</v>
      </c>
      <c r="H31" s="2957" t="s">
        <v>3374</v>
      </c>
      <c r="I31" s="2957">
        <v>390</v>
      </c>
      <c r="J31" s="2957">
        <v>390</v>
      </c>
      <c r="K31" s="2957">
        <v>1429.82</v>
      </c>
      <c r="L31" s="2957">
        <f t="shared" si="0"/>
        <v>1716</v>
      </c>
      <c r="M31" s="2957">
        <v>0</v>
      </c>
      <c r="N31" s="2957" t="s">
        <v>3375</v>
      </c>
    </row>
    <row r="32" spans="1:14">
      <c r="A32" s="2957" t="s">
        <v>3376</v>
      </c>
      <c r="B32" s="2957" t="s">
        <v>3292</v>
      </c>
      <c r="C32" s="2957" t="s">
        <v>3293</v>
      </c>
      <c r="D32" s="2957">
        <v>3234</v>
      </c>
      <c r="E32" s="2957">
        <v>5174.3999999999996</v>
      </c>
      <c r="F32" s="2957" t="s">
        <v>3377</v>
      </c>
      <c r="G32" s="2957" t="s">
        <v>3295</v>
      </c>
      <c r="H32" s="2957" t="s">
        <v>3378</v>
      </c>
      <c r="I32" s="2957">
        <v>730</v>
      </c>
      <c r="J32" s="2957">
        <v>730</v>
      </c>
      <c r="K32" s="2957">
        <v>1410.78</v>
      </c>
      <c r="L32" s="2957">
        <f t="shared" si="0"/>
        <v>2257</v>
      </c>
      <c r="M32" s="2957">
        <v>0</v>
      </c>
      <c r="N32" s="2957" t="s">
        <v>3375</v>
      </c>
    </row>
    <row r="33" spans="1:14">
      <c r="A33" s="2957" t="s">
        <v>3379</v>
      </c>
      <c r="B33" s="2957" t="s">
        <v>3292</v>
      </c>
      <c r="C33" s="2957" t="s">
        <v>3293</v>
      </c>
      <c r="D33" s="2957">
        <v>4417</v>
      </c>
      <c r="E33" s="2957">
        <v>5300.4</v>
      </c>
      <c r="F33" s="2957" t="s">
        <v>3380</v>
      </c>
      <c r="G33" s="2957" t="s">
        <v>3295</v>
      </c>
      <c r="H33" s="2957" t="s">
        <v>3381</v>
      </c>
      <c r="I33" s="2957">
        <v>850</v>
      </c>
      <c r="J33" s="2957">
        <v>850</v>
      </c>
      <c r="K33" s="2957">
        <v>1603.65</v>
      </c>
      <c r="L33" s="2957">
        <f t="shared" si="0"/>
        <v>1924</v>
      </c>
      <c r="M33" s="2957">
        <v>0</v>
      </c>
      <c r="N33" s="2957" t="s">
        <v>3382</v>
      </c>
    </row>
    <row r="34" spans="1:14">
      <c r="A34" s="2957" t="s">
        <v>3383</v>
      </c>
      <c r="B34" s="2957" t="s">
        <v>3292</v>
      </c>
      <c r="C34" s="2957" t="s">
        <v>3293</v>
      </c>
      <c r="D34" s="2957">
        <v>2955</v>
      </c>
      <c r="E34" s="2957">
        <v>886.5</v>
      </c>
      <c r="F34" s="2957" t="s">
        <v>3384</v>
      </c>
      <c r="G34" s="2957" t="s">
        <v>3295</v>
      </c>
      <c r="H34" s="2957" t="s">
        <v>3381</v>
      </c>
      <c r="I34" s="2957">
        <v>2200</v>
      </c>
      <c r="J34" s="2957">
        <v>2200</v>
      </c>
      <c r="K34" s="2957">
        <v>24816.68</v>
      </c>
      <c r="L34" s="2957">
        <f t="shared" si="0"/>
        <v>7445</v>
      </c>
      <c r="M34" s="2957">
        <v>0</v>
      </c>
      <c r="N34" s="2957" t="s">
        <v>3385</v>
      </c>
    </row>
    <row r="35" spans="1:14">
      <c r="A35" s="2957" t="s">
        <v>3386</v>
      </c>
      <c r="B35" s="2957" t="s">
        <v>3292</v>
      </c>
      <c r="C35" s="2957" t="s">
        <v>3293</v>
      </c>
      <c r="D35" s="2957">
        <v>4290</v>
      </c>
      <c r="E35" s="2957">
        <v>5148</v>
      </c>
      <c r="F35" s="2957" t="s">
        <v>3380</v>
      </c>
      <c r="G35" s="2957" t="s">
        <v>3295</v>
      </c>
      <c r="H35" s="2957" t="s">
        <v>3381</v>
      </c>
      <c r="I35" s="2957">
        <v>830</v>
      </c>
      <c r="J35" s="2957">
        <v>830</v>
      </c>
      <c r="K35" s="2957">
        <v>1612.27</v>
      </c>
      <c r="L35" s="2957">
        <f t="shared" si="0"/>
        <v>1935</v>
      </c>
      <c r="M35" s="2957">
        <v>0</v>
      </c>
      <c r="N35" s="2957" t="s">
        <v>3382</v>
      </c>
    </row>
    <row r="36" spans="1:14">
      <c r="A36" s="2957" t="s">
        <v>3387</v>
      </c>
      <c r="B36" s="2957" t="s">
        <v>3292</v>
      </c>
      <c r="C36" s="2957" t="s">
        <v>3293</v>
      </c>
      <c r="D36" s="2957">
        <v>5598</v>
      </c>
      <c r="E36" s="2957">
        <v>8956.7999999999993</v>
      </c>
      <c r="F36" s="2957" t="s">
        <v>3388</v>
      </c>
      <c r="G36" s="2957" t="s">
        <v>3295</v>
      </c>
      <c r="H36" s="2957" t="s">
        <v>3381</v>
      </c>
      <c r="I36" s="2957">
        <v>2400</v>
      </c>
      <c r="J36" s="2957">
        <v>2400</v>
      </c>
      <c r="K36" s="2957">
        <v>2679.53</v>
      </c>
      <c r="L36" s="2957">
        <f t="shared" si="0"/>
        <v>4287</v>
      </c>
      <c r="M36" s="2957">
        <v>0</v>
      </c>
      <c r="N36" s="2957" t="s">
        <v>3389</v>
      </c>
    </row>
    <row r="37" spans="1:14">
      <c r="A37" s="2957" t="s">
        <v>3390</v>
      </c>
      <c r="B37" s="2957" t="s">
        <v>3292</v>
      </c>
      <c r="C37" s="2957" t="s">
        <v>3293</v>
      </c>
      <c r="D37" s="2957">
        <v>68764</v>
      </c>
      <c r="E37" s="2957">
        <v>72202.2</v>
      </c>
      <c r="F37" s="2957" t="s">
        <v>3391</v>
      </c>
      <c r="G37" s="2957" t="s">
        <v>3295</v>
      </c>
      <c r="H37" s="2957" t="s">
        <v>3381</v>
      </c>
      <c r="I37" s="2957">
        <v>11000</v>
      </c>
      <c r="J37" s="2957">
        <v>11000</v>
      </c>
      <c r="K37" s="2957">
        <v>1523.5</v>
      </c>
      <c r="L37" s="2957">
        <f t="shared" si="0"/>
        <v>1600</v>
      </c>
      <c r="M37" s="2957">
        <v>0</v>
      </c>
      <c r="N37" s="2957" t="s">
        <v>3310</v>
      </c>
    </row>
    <row r="38" spans="1:14">
      <c r="A38" s="2957" t="s">
        <v>3392</v>
      </c>
      <c r="B38" s="2957" t="s">
        <v>3292</v>
      </c>
      <c r="C38" s="2957" t="s">
        <v>3293</v>
      </c>
      <c r="D38" s="2957">
        <v>14595</v>
      </c>
      <c r="E38" s="2957">
        <v>15324.75</v>
      </c>
      <c r="F38" s="2957" t="s">
        <v>3391</v>
      </c>
      <c r="G38" s="2957" t="s">
        <v>3295</v>
      </c>
      <c r="H38" s="2957" t="s">
        <v>3381</v>
      </c>
      <c r="I38" s="2957">
        <v>3180</v>
      </c>
      <c r="J38" s="2957">
        <v>3180</v>
      </c>
      <c r="K38" s="2957">
        <v>2075.0700000000002</v>
      </c>
      <c r="L38" s="2957">
        <f t="shared" si="0"/>
        <v>2179</v>
      </c>
      <c r="M38" s="2957">
        <v>0</v>
      </c>
      <c r="N38" s="2957" t="s">
        <v>3393</v>
      </c>
    </row>
    <row r="39" spans="1:14">
      <c r="A39" s="2957" t="s">
        <v>3394</v>
      </c>
      <c r="B39" s="2957" t="s">
        <v>3292</v>
      </c>
      <c r="C39" s="2957" t="s">
        <v>3293</v>
      </c>
      <c r="D39" s="2957">
        <v>10121</v>
      </c>
      <c r="E39" s="2957">
        <v>28844.85</v>
      </c>
      <c r="F39" s="2957" t="s">
        <v>3395</v>
      </c>
      <c r="G39" s="2957" t="s">
        <v>3295</v>
      </c>
      <c r="H39" s="2957" t="s">
        <v>3381</v>
      </c>
      <c r="I39" s="2957">
        <v>5300</v>
      </c>
      <c r="J39" s="2957">
        <v>5300</v>
      </c>
      <c r="K39" s="2957">
        <v>1837.42</v>
      </c>
      <c r="L39" s="2957">
        <f t="shared" si="0"/>
        <v>5237</v>
      </c>
      <c r="M39" s="2957">
        <v>0</v>
      </c>
      <c r="N39" s="2957" t="s">
        <v>3396</v>
      </c>
    </row>
    <row r="40" spans="1:14">
      <c r="A40" s="2957" t="s">
        <v>3397</v>
      </c>
      <c r="B40" s="2957" t="s">
        <v>3292</v>
      </c>
      <c r="C40" s="2957" t="s">
        <v>3293</v>
      </c>
      <c r="D40" s="2957">
        <v>8522</v>
      </c>
      <c r="E40" s="2957">
        <v>13635.2</v>
      </c>
      <c r="F40" s="2957" t="s">
        <v>3398</v>
      </c>
      <c r="G40" s="2957" t="s">
        <v>3295</v>
      </c>
      <c r="H40" s="2957" t="s">
        <v>3399</v>
      </c>
      <c r="I40" s="2957">
        <v>579</v>
      </c>
      <c r="J40" s="2957">
        <v>594</v>
      </c>
      <c r="K40" s="2957">
        <v>435.63</v>
      </c>
      <c r="L40" s="2957">
        <f t="shared" si="0"/>
        <v>697</v>
      </c>
      <c r="M40" s="2957">
        <v>2.59</v>
      </c>
      <c r="N40" s="2957" t="s">
        <v>3400</v>
      </c>
    </row>
    <row r="41" spans="1:14">
      <c r="A41" s="2957" t="s">
        <v>3401</v>
      </c>
      <c r="B41" s="2957" t="s">
        <v>3292</v>
      </c>
      <c r="C41" s="2957" t="s">
        <v>3293</v>
      </c>
      <c r="D41" s="2957">
        <v>2404</v>
      </c>
      <c r="E41" s="2957">
        <v>2884.8</v>
      </c>
      <c r="F41" s="2957" t="s">
        <v>3380</v>
      </c>
      <c r="G41" s="2957" t="s">
        <v>3295</v>
      </c>
      <c r="H41" s="2957" t="s">
        <v>3399</v>
      </c>
      <c r="I41" s="2957">
        <v>158</v>
      </c>
      <c r="J41" s="2957">
        <v>163</v>
      </c>
      <c r="K41" s="2957">
        <v>565.02</v>
      </c>
      <c r="L41" s="2957">
        <f t="shared" si="0"/>
        <v>678</v>
      </c>
      <c r="M41" s="2957">
        <v>3.16</v>
      </c>
      <c r="N41" s="2957" t="s">
        <v>3402</v>
      </c>
    </row>
    <row r="42" spans="1:14">
      <c r="A42" s="2957" t="s">
        <v>3403</v>
      </c>
      <c r="B42" s="2957" t="s">
        <v>3292</v>
      </c>
      <c r="C42" s="2957" t="s">
        <v>3293</v>
      </c>
      <c r="D42" s="2957">
        <v>121436</v>
      </c>
      <c r="E42" s="2957">
        <v>157866.79999999999</v>
      </c>
      <c r="F42" s="2957" t="s">
        <v>3404</v>
      </c>
      <c r="G42" s="2957" t="s">
        <v>3295</v>
      </c>
      <c r="H42" s="2957" t="s">
        <v>3399</v>
      </c>
      <c r="I42" s="2957">
        <v>7865</v>
      </c>
      <c r="J42" s="2957">
        <v>8015</v>
      </c>
      <c r="K42" s="2957">
        <v>507.7</v>
      </c>
      <c r="L42" s="2957">
        <f t="shared" si="0"/>
        <v>660</v>
      </c>
      <c r="M42" s="2957">
        <v>1.91</v>
      </c>
      <c r="N42" s="2957" t="s">
        <v>3405</v>
      </c>
    </row>
    <row r="43" spans="1:14">
      <c r="A43" s="2957" t="s">
        <v>3406</v>
      </c>
      <c r="B43" s="2957" t="s">
        <v>3292</v>
      </c>
      <c r="C43" s="2957" t="s">
        <v>3293</v>
      </c>
      <c r="D43" s="2957">
        <v>8718</v>
      </c>
      <c r="E43" s="2957">
        <v>21795</v>
      </c>
      <c r="F43" s="2957" t="s">
        <v>3407</v>
      </c>
      <c r="G43" s="2957" t="s">
        <v>3295</v>
      </c>
      <c r="H43" s="2957" t="s">
        <v>3408</v>
      </c>
      <c r="I43" s="2957">
        <v>1500</v>
      </c>
      <c r="J43" s="2957">
        <v>1500</v>
      </c>
      <c r="K43" s="2957">
        <v>688.23</v>
      </c>
      <c r="L43" s="2957">
        <f t="shared" si="0"/>
        <v>1721</v>
      </c>
      <c r="M43" s="2957">
        <v>0</v>
      </c>
      <c r="N43" s="2957" t="s">
        <v>3409</v>
      </c>
    </row>
    <row r="44" spans="1:14">
      <c r="A44" s="2957" t="s">
        <v>3410</v>
      </c>
      <c r="B44" s="2957" t="s">
        <v>3292</v>
      </c>
      <c r="C44" s="2957" t="s">
        <v>3293</v>
      </c>
      <c r="D44" s="2957">
        <v>3114</v>
      </c>
      <c r="E44" s="2957">
        <v>3269.7</v>
      </c>
      <c r="F44" s="2957" t="s">
        <v>3411</v>
      </c>
      <c r="G44" s="2957" t="s">
        <v>3295</v>
      </c>
      <c r="H44" s="2957" t="s">
        <v>3408</v>
      </c>
      <c r="I44" s="2957">
        <v>728</v>
      </c>
      <c r="J44" s="2957">
        <v>728</v>
      </c>
      <c r="K44" s="2957">
        <v>2226.5</v>
      </c>
      <c r="L44" s="2957">
        <f t="shared" si="0"/>
        <v>2338</v>
      </c>
      <c r="M44" s="2957">
        <v>0</v>
      </c>
      <c r="N44" s="2957" t="s">
        <v>3412</v>
      </c>
    </row>
    <row r="45" spans="1:14">
      <c r="A45" s="2957" t="s">
        <v>3413</v>
      </c>
      <c r="B45" s="2957" t="s">
        <v>3292</v>
      </c>
      <c r="C45" s="2957" t="s">
        <v>3293</v>
      </c>
      <c r="D45" s="2957">
        <v>6667</v>
      </c>
      <c r="E45" s="2957">
        <v>23334.5</v>
      </c>
      <c r="F45" s="2957" t="s">
        <v>3414</v>
      </c>
      <c r="G45" s="2957" t="s">
        <v>3295</v>
      </c>
      <c r="H45" s="2957" t="s">
        <v>3408</v>
      </c>
      <c r="I45" s="2957">
        <v>2480</v>
      </c>
      <c r="J45" s="2957">
        <v>2480</v>
      </c>
      <c r="K45" s="2957">
        <v>1062.79</v>
      </c>
      <c r="L45" s="2957">
        <f t="shared" si="0"/>
        <v>3720</v>
      </c>
      <c r="M45" s="2957">
        <v>0</v>
      </c>
      <c r="N45" s="2957" t="s">
        <v>3415</v>
      </c>
    </row>
    <row r="46" spans="1:14">
      <c r="A46" s="2957" t="s">
        <v>3416</v>
      </c>
      <c r="B46" s="2957" t="s">
        <v>3292</v>
      </c>
      <c r="C46" s="2957" t="s">
        <v>3293</v>
      </c>
      <c r="D46" s="2957">
        <v>3971</v>
      </c>
      <c r="E46" s="2957">
        <v>5479.98</v>
      </c>
      <c r="F46" s="2957" t="s">
        <v>3417</v>
      </c>
      <c r="G46" s="2957" t="s">
        <v>3295</v>
      </c>
      <c r="H46" s="2957" t="s">
        <v>3408</v>
      </c>
      <c r="I46" s="2957">
        <v>2100</v>
      </c>
      <c r="J46" s="2957">
        <v>2100</v>
      </c>
      <c r="K46" s="2957">
        <v>3832.13</v>
      </c>
      <c r="L46" s="2957">
        <f t="shared" si="0"/>
        <v>5288</v>
      </c>
      <c r="M46" s="2957">
        <v>0</v>
      </c>
      <c r="N46" s="2957" t="s">
        <v>3318</v>
      </c>
    </row>
    <row r="47" spans="1:14">
      <c r="A47" s="2957" t="s">
        <v>3418</v>
      </c>
      <c r="B47" s="2957" t="s">
        <v>3292</v>
      </c>
      <c r="C47" s="2957" t="s">
        <v>3293</v>
      </c>
      <c r="D47" s="2957">
        <v>4000</v>
      </c>
      <c r="E47" s="2957">
        <v>1200</v>
      </c>
      <c r="F47" s="2957" t="s">
        <v>3419</v>
      </c>
      <c r="G47" s="2957" t="s">
        <v>3295</v>
      </c>
      <c r="H47" s="2957" t="s">
        <v>3408</v>
      </c>
      <c r="I47" s="2957">
        <v>2400</v>
      </c>
      <c r="J47" s="2957">
        <v>2400</v>
      </c>
      <c r="K47" s="2957">
        <v>20000</v>
      </c>
      <c r="L47" s="2957">
        <f t="shared" si="0"/>
        <v>6000</v>
      </c>
      <c r="M47" s="2957">
        <v>0</v>
      </c>
      <c r="N47" s="2957" t="s">
        <v>3420</v>
      </c>
    </row>
    <row r="48" spans="1:14">
      <c r="A48" s="2957" t="s">
        <v>3421</v>
      </c>
      <c r="B48" s="2957" t="s">
        <v>3292</v>
      </c>
      <c r="C48" s="2957" t="s">
        <v>3293</v>
      </c>
      <c r="D48" s="2957">
        <v>6738</v>
      </c>
      <c r="E48" s="2957">
        <v>12128.4</v>
      </c>
      <c r="F48" s="2957" t="s">
        <v>3422</v>
      </c>
      <c r="G48" s="2957" t="s">
        <v>3295</v>
      </c>
      <c r="H48" s="2957" t="s">
        <v>3408</v>
      </c>
      <c r="I48" s="2957">
        <v>1500</v>
      </c>
      <c r="J48" s="2957">
        <v>1500</v>
      </c>
      <c r="K48" s="2957">
        <v>1236.76</v>
      </c>
      <c r="L48" s="2957">
        <f t="shared" si="0"/>
        <v>2226</v>
      </c>
      <c r="M48" s="2957">
        <v>0</v>
      </c>
      <c r="N48" s="2957" t="s">
        <v>3423</v>
      </c>
    </row>
    <row r="49" spans="1:14">
      <c r="A49" s="2957" t="s">
        <v>3424</v>
      </c>
      <c r="B49" s="2957" t="s">
        <v>3292</v>
      </c>
      <c r="C49" s="2957" t="s">
        <v>3293</v>
      </c>
      <c r="D49" s="2957">
        <v>2348</v>
      </c>
      <c r="E49" s="2957">
        <v>704.4</v>
      </c>
      <c r="F49" s="2957" t="s">
        <v>3419</v>
      </c>
      <c r="G49" s="2957" t="s">
        <v>3295</v>
      </c>
      <c r="H49" s="2957" t="s">
        <v>3408</v>
      </c>
      <c r="I49" s="2957">
        <v>1580</v>
      </c>
      <c r="J49" s="2957">
        <v>1580</v>
      </c>
      <c r="K49" s="2957">
        <v>22430.43</v>
      </c>
      <c r="L49" s="2957">
        <f t="shared" si="0"/>
        <v>6729</v>
      </c>
      <c r="M49" s="2957">
        <v>0</v>
      </c>
      <c r="N49" s="2957" t="s">
        <v>3425</v>
      </c>
    </row>
    <row r="50" spans="1:14">
      <c r="A50" s="2957" t="s">
        <v>3426</v>
      </c>
      <c r="B50" s="2957" t="s">
        <v>3292</v>
      </c>
      <c r="C50" s="2957" t="s">
        <v>3293</v>
      </c>
      <c r="D50" s="2957">
        <v>2266</v>
      </c>
      <c r="E50" s="2957">
        <v>679.8</v>
      </c>
      <c r="F50" s="2957" t="s">
        <v>3419</v>
      </c>
      <c r="G50" s="2957" t="s">
        <v>3295</v>
      </c>
      <c r="H50" s="2957" t="s">
        <v>3408</v>
      </c>
      <c r="I50" s="2957">
        <v>1560</v>
      </c>
      <c r="J50" s="2957">
        <v>1560</v>
      </c>
      <c r="K50" s="2957">
        <v>22947.93</v>
      </c>
      <c r="L50" s="2957">
        <f t="shared" si="0"/>
        <v>6884</v>
      </c>
      <c r="M50" s="2957">
        <v>0</v>
      </c>
      <c r="N50" s="2957" t="s">
        <v>3427</v>
      </c>
    </row>
    <row r="51" spans="1:14">
      <c r="A51" s="2957" t="s">
        <v>3428</v>
      </c>
      <c r="B51" s="2957" t="s">
        <v>3292</v>
      </c>
      <c r="C51" s="2957" t="s">
        <v>3293</v>
      </c>
      <c r="D51" s="2957">
        <v>15998</v>
      </c>
      <c r="E51" s="2957">
        <v>51993.5</v>
      </c>
      <c r="F51" s="2957" t="s">
        <v>3429</v>
      </c>
      <c r="G51" s="2957" t="s">
        <v>3295</v>
      </c>
      <c r="H51" s="2957" t="s">
        <v>3408</v>
      </c>
      <c r="I51" s="2957">
        <v>5740</v>
      </c>
      <c r="J51" s="2957">
        <v>5740</v>
      </c>
      <c r="K51" s="2957">
        <v>1103.98</v>
      </c>
      <c r="L51" s="2957">
        <f t="shared" si="0"/>
        <v>3588</v>
      </c>
      <c r="M51" s="2957">
        <v>0</v>
      </c>
      <c r="N51" s="2957" t="s">
        <v>3430</v>
      </c>
    </row>
  </sheetData>
  <phoneticPr fontId="144" type="noConversion"/>
  <pageMargins left="0.75" right="0.75" top="1" bottom="1" header="0.5" footer="0.5"/>
  <pageSetup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36" sqref="C36: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3455</v>
      </c>
      <c r="D1" s="1823" t="s">
        <v>70</v>
      </c>
      <c r="E1" s="1824" t="s">
        <v>1387</v>
      </c>
      <c r="F1" s="1286">
        <f ca="1">J53</f>
        <v>32.130000000000003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30367</v>
      </c>
      <c r="C2" s="1848" t="s">
        <v>1516</v>
      </c>
      <c r="D2" s="1848"/>
      <c r="E2" s="1849"/>
      <c r="F2" s="1850"/>
      <c r="G2" s="1851"/>
      <c r="H2" s="1843"/>
      <c r="I2" s="1843"/>
      <c r="J2" s="1843"/>
      <c r="K2" s="1844"/>
      <c r="L2" s="1843"/>
      <c r="M2" s="1843"/>
    </row>
    <row r="3" spans="1:37" ht="18" customHeight="1" thickBot="1">
      <c r="A3" s="1852" t="s">
        <v>1517</v>
      </c>
      <c r="B3" s="1853">
        <f ca="1">IF(ISERROR(B2*10000/F43),0,ROUND(B2*10000/F43,0))</f>
        <v>5296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2263</v>
      </c>
      <c r="D5" s="1825" t="s">
        <v>1402</v>
      </c>
      <c r="E5" s="1296"/>
      <c r="F5" s="1297"/>
      <c r="G5" s="1854"/>
      <c r="H5" s="344">
        <v>1</v>
      </c>
      <c r="I5" s="345" t="s">
        <v>1401</v>
      </c>
      <c r="J5" s="1295">
        <f ca="1">J6+J10+J12</f>
        <v>0</v>
      </c>
      <c r="K5" s="1825" t="s">
        <v>1402</v>
      </c>
      <c r="L5" s="1296"/>
      <c r="M5" s="1297"/>
    </row>
    <row r="6" spans="1:37" ht="18" customHeight="1">
      <c r="A6" s="1294" t="s">
        <v>1035</v>
      </c>
      <c r="B6" s="3214" t="s">
        <v>1403</v>
      </c>
      <c r="C6" s="1299">
        <f ca="1">ROUND(F6*F8*F7*(1-F9)/10000,0)</f>
        <v>2260</v>
      </c>
      <c r="D6" s="164" t="s">
        <v>3037</v>
      </c>
      <c r="E6" s="347" t="s">
        <v>1405</v>
      </c>
      <c r="F6" s="348">
        <f ca="1">INDIRECT("'数据-取费表'!u"&amp;$G$1)</f>
        <v>1.2</v>
      </c>
      <c r="G6" s="1854"/>
      <c r="H6" s="1294" t="s">
        <v>1035</v>
      </c>
      <c r="I6" s="3214" t="s">
        <v>1403</v>
      </c>
      <c r="J6" s="346">
        <f ca="1">ROUND(M6*M8*M7*(1-M9)/10000,0)</f>
        <v>0</v>
      </c>
      <c r="K6" s="164" t="s">
        <v>3036</v>
      </c>
      <c r="L6" s="347" t="s">
        <v>1405</v>
      </c>
      <c r="M6" s="348">
        <f ca="1">INDIRECT("'数据-取费表'!z"&amp;$G$1)</f>
        <v>0</v>
      </c>
    </row>
    <row r="7" spans="1:37" ht="18" customHeight="1">
      <c r="A7" s="1298"/>
      <c r="B7" s="3215"/>
      <c r="C7" s="1300"/>
      <c r="D7" s="352"/>
      <c r="E7" s="1301" t="s">
        <v>1406</v>
      </c>
      <c r="F7" s="348">
        <f ca="1">IF(INDIRECT("'数据-取费表'!ah"&amp;$G$1)="",INDIRECT("'数据-取费表'!k"&amp;$G$1),INDIRECT("'数据-取费表'!ah"&amp;$G$1))</f>
        <v>57339.44000000001</v>
      </c>
      <c r="G7" s="1854"/>
      <c r="H7" s="349"/>
      <c r="I7" s="3215"/>
      <c r="J7" s="351"/>
      <c r="K7" s="352"/>
      <c r="L7" s="347" t="s">
        <v>1406</v>
      </c>
      <c r="M7" s="348">
        <f ca="1">F7</f>
        <v>57339.44000000001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3046</v>
      </c>
      <c r="E10" s="358" t="s">
        <v>1410</v>
      </c>
      <c r="F10" s="1369" t="s">
        <v>3468</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25824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20069</v>
      </c>
      <c r="D14" s="1803" t="s">
        <v>1418</v>
      </c>
      <c r="E14" s="1797"/>
      <c r="F14" s="364"/>
      <c r="G14" s="1854"/>
      <c r="H14" s="1204" t="s">
        <v>1035</v>
      </c>
      <c r="I14" s="347" t="s">
        <v>1419</v>
      </c>
      <c r="J14" s="24">
        <f ca="1">C29</f>
        <v>28378</v>
      </c>
      <c r="K14" s="15"/>
      <c r="L14" s="982"/>
      <c r="M14" s="983"/>
    </row>
    <row r="15" spans="1:37" s="1861" customFormat="1" ht="18" customHeight="1" thickBot="1">
      <c r="A15" s="1204" t="s">
        <v>1036</v>
      </c>
      <c r="B15" s="347" t="s">
        <v>1420</v>
      </c>
      <c r="C15" s="24">
        <f ca="1">ROUND(C14*F15,0)</f>
        <v>602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667</v>
      </c>
      <c r="K16" s="1340" t="s">
        <v>1425</v>
      </c>
      <c r="L16" s="1341"/>
      <c r="M16" s="1297"/>
    </row>
    <row r="17" spans="1:37" s="1861" customFormat="1" ht="18" customHeight="1">
      <c r="A17" s="1204" t="s">
        <v>1390</v>
      </c>
      <c r="B17" s="347" t="s">
        <v>1426</v>
      </c>
      <c r="C17" s="24">
        <f ca="1">ROUND(F17*(F43+INDIRECT("'数据-取费表'!S"&amp;$G$1))/10000,0)</f>
        <v>1147</v>
      </c>
      <c r="D17" s="347" t="s">
        <v>1427</v>
      </c>
      <c r="E17" s="347" t="s">
        <v>1428</v>
      </c>
      <c r="F17" s="26">
        <f>'数据-取费表'!B35</f>
        <v>200</v>
      </c>
      <c r="G17" s="1857"/>
      <c r="H17" s="1204" t="s">
        <v>1035</v>
      </c>
      <c r="I17" s="347" t="s">
        <v>1429</v>
      </c>
      <c r="J17" s="24">
        <f ca="1">ROUND(IF(项目基本情况!B11="自然人",J5*M17,J18+J19+J20),1)</f>
        <v>241.7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301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22119</v>
      </c>
      <c r="D19" s="140" t="s">
        <v>1436</v>
      </c>
      <c r="E19" s="1821"/>
      <c r="F19" s="26"/>
      <c r="G19" s="1854"/>
      <c r="H19" s="1204" t="s">
        <v>1036</v>
      </c>
      <c r="I19" s="347" t="s">
        <v>1437</v>
      </c>
      <c r="J19" s="24">
        <f ca="1">IF(K19="按租金收入计税",ROUND(J5*M19,2),ROUND(C29*M19*0.7,2))</f>
        <v>238.38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442</v>
      </c>
      <c r="D20" s="369" t="s">
        <v>1440</v>
      </c>
      <c r="E20" s="347" t="s">
        <v>1422</v>
      </c>
      <c r="F20" s="367">
        <f>'数据-取费表'!B37</f>
        <v>0.02</v>
      </c>
      <c r="G20" s="1857"/>
      <c r="H20" s="1204" t="s">
        <v>1389</v>
      </c>
      <c r="I20" s="164" t="s">
        <v>1441</v>
      </c>
      <c r="J20" s="25">
        <f ca="1">ROUND(M20*M21/10000,2)</f>
        <v>3.31</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8274.7199999999993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425.7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1072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-667</v>
      </c>
      <c r="K25" s="1348" t="s">
        <v>1464</v>
      </c>
      <c r="L25" s="1349"/>
      <c r="M25" s="1350"/>
    </row>
    <row r="26" spans="1:37">
      <c r="A26" s="1204" t="s">
        <v>1034</v>
      </c>
      <c r="B26" s="347" t="s">
        <v>1465</v>
      </c>
      <c r="C26" s="24">
        <f ca="1">ROUND((C19+C20)*F26,0)</f>
        <v>2256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28378</v>
      </c>
      <c r="D29" s="1345"/>
      <c r="E29" s="1343"/>
      <c r="F29" s="1346"/>
      <c r="G29" s="1857"/>
      <c r="H29" s="380" t="s">
        <v>1033</v>
      </c>
      <c r="I29" s="381" t="s">
        <v>1479</v>
      </c>
      <c r="J29" s="382">
        <f ca="1">ROUND(J26/(1+F40)^F41,0)</f>
        <v>0</v>
      </c>
      <c r="K29" s="383" t="s">
        <v>1480</v>
      </c>
      <c r="L29" s="384"/>
      <c r="M29" s="385">
        <f ca="1">INDIRECT("'数据-取费表'!k"&amp;$G$1)</f>
        <v>57339.44000000001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883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395.6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120.69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271.56</v>
      </c>
      <c r="D33" s="1831" t="s">
        <v>3469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3.31</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8274.7199999999993</v>
      </c>
      <c r="G35" s="1854"/>
      <c r="H35" s="745"/>
      <c r="I35" s="1863"/>
      <c r="J35" s="1864"/>
      <c r="K35" s="1865"/>
      <c r="L35" s="1862"/>
      <c r="M35" s="1862"/>
    </row>
    <row r="36" spans="1:18" ht="18" customHeight="1">
      <c r="A36" s="1355" t="s">
        <v>1039</v>
      </c>
      <c r="B36" s="347" t="s">
        <v>1449</v>
      </c>
      <c r="C36" s="24">
        <f ca="1">ROUND(C29*F36,1)</f>
        <v>425.7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38.700000000000003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22.6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1380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29655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5172</v>
      </c>
      <c r="D43" s="383" t="s">
        <v>1488</v>
      </c>
      <c r="E43" s="384" t="s">
        <v>1489</v>
      </c>
      <c r="F43" s="385">
        <f ca="1">INDIRECT("'数据-取费表'!k"&amp;$G$1)</f>
        <v>57339.44000000001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-72227</v>
      </c>
      <c r="D46" s="1875" t="str">
        <f>C2</f>
        <v>万元</v>
      </c>
      <c r="E46" s="1869"/>
      <c r="F46" s="1869"/>
      <c r="I46" s="1876" t="s">
        <v>1521</v>
      </c>
      <c r="J46" s="1877"/>
      <c r="K46" s="1878"/>
      <c r="L46" s="1879">
        <f ca="1">IF(M47="住宅",0,IF(L48&gt;J51,L60,J60))</f>
        <v>712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3470</v>
      </c>
      <c r="K47" s="1885" t="s">
        <v>1527</v>
      </c>
      <c r="L47" s="1886">
        <f ca="1">INDIRECT("'数据-取费表'!d"&amp;$G$1)</f>
        <v>40</v>
      </c>
      <c r="M47" s="1841" t="str">
        <f>IF(ISNUMBER(FIND("住宅",C1)),"住宅","非住宅")</f>
        <v>非住宅</v>
      </c>
      <c r="O47" s="1887" t="s">
        <v>1040</v>
      </c>
      <c r="P47" s="1888" t="s">
        <v>1528</v>
      </c>
      <c r="Q47" s="1889">
        <f ca="1">C40+J29</f>
        <v>29655</v>
      </c>
      <c r="R47" s="1889" t="s">
        <v>1529</v>
      </c>
    </row>
    <row r="48" spans="1:18" s="1845" customFormat="1" ht="28.5" thickBot="1">
      <c r="A48" s="1363" t="s">
        <v>1135</v>
      </c>
      <c r="B48" s="345" t="s">
        <v>1401</v>
      </c>
      <c r="C48" s="1820">
        <f ca="1">C49+C53+C55</f>
        <v>0</v>
      </c>
      <c r="D48" s="1365"/>
      <c r="E48" s="1366"/>
      <c r="F48" s="1184"/>
      <c r="G48" s="792"/>
      <c r="H48" s="793"/>
      <c r="I48" s="1890" t="s">
        <v>1530</v>
      </c>
      <c r="J48" s="1891" t="s">
        <v>3471</v>
      </c>
      <c r="K48" s="1892" t="s">
        <v>1531</v>
      </c>
      <c r="L48" s="1893">
        <f ca="1">INDIRECT("'数据-取费表'!f"&amp;$G$1)</f>
        <v>32.130000000000003</v>
      </c>
      <c r="O48" s="1887" t="s">
        <v>1041</v>
      </c>
      <c r="P48" s="1888" t="s">
        <v>1532</v>
      </c>
      <c r="Q48" s="1889">
        <f ca="1">J60</f>
        <v>712</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2010</v>
      </c>
      <c r="K49" s="1892" t="s">
        <v>1535</v>
      </c>
      <c r="L49" s="1896"/>
      <c r="O49" s="1897" t="s">
        <v>1042</v>
      </c>
      <c r="P49" s="1888" t="s">
        <v>1536</v>
      </c>
      <c r="Q49" s="1889">
        <f ca="1">C29</f>
        <v>28378</v>
      </c>
      <c r="R49" s="1889" t="s">
        <v>1529</v>
      </c>
    </row>
    <row r="50" spans="1:18" s="1845" customFormat="1" ht="13.5" thickBot="1">
      <c r="A50" s="1198"/>
      <c r="B50" s="1201"/>
      <c r="C50" s="1371"/>
      <c r="D50" s="1175"/>
      <c r="E50" s="1280" t="s">
        <v>1406</v>
      </c>
      <c r="F50" s="1281">
        <f ca="1">F7</f>
        <v>57339.44000000001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-12901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17" t="s">
        <v>1548</v>
      </c>
      <c r="L53" s="3218"/>
      <c r="O53" s="1887" t="s">
        <v>1046</v>
      </c>
      <c r="P53" s="1888" t="s">
        <v>1549</v>
      </c>
      <c r="Q53" s="1889">
        <f ca="1">Q47+Q48</f>
        <v>30367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0.33100000000000002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25824</v>
      </c>
      <c r="D56" s="1917"/>
      <c r="E56" s="1918"/>
      <c r="F56" s="1910"/>
      <c r="I56" s="1919" t="s">
        <v>1554</v>
      </c>
      <c r="J56" s="1920" t="s">
        <v>3274</v>
      </c>
      <c r="K56" s="1890" t="s">
        <v>1555</v>
      </c>
      <c r="L56" s="1893" t="str">
        <f ca="1">IF(L48&lt;J51,"——",L48-J53)</f>
        <v>——</v>
      </c>
      <c r="O56" s="1887" t="s">
        <v>1040</v>
      </c>
      <c r="P56" s="1888" t="s">
        <v>1528</v>
      </c>
      <c r="Q56" s="1889">
        <f ca="1">C40+J29</f>
        <v>29655</v>
      </c>
      <c r="R56" s="1889" t="s">
        <v>1529</v>
      </c>
    </row>
    <row r="57" spans="1:18" s="1845" customFormat="1" ht="24.75" thickBot="1">
      <c r="A57" s="1921"/>
      <c r="B57" s="1172" t="s">
        <v>1478</v>
      </c>
      <c r="C57" s="282">
        <f ca="1">C29</f>
        <v>28378</v>
      </c>
      <c r="D57" s="1922"/>
      <c r="E57" s="1923"/>
      <c r="F57" s="1924"/>
      <c r="I57" s="1925" t="s">
        <v>1556</v>
      </c>
      <c r="J57" s="1926">
        <f ca="1">IF(OR(M47="住宅",J51&lt;L48,J56="是"),"——",J51-L48)</f>
        <v>19.869999999999997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2852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2387.1</v>
      </c>
      <c r="D59" s="1185" t="s">
        <v>1430</v>
      </c>
      <c r="E59" s="1186" t="s">
        <v>1431</v>
      </c>
      <c r="F59" s="368" t="str">
        <f ca="1">IF(项目基本情况!B11="企业","",IF(INDIRECT("'数据-取费表'!c"&amp;$G$1)="住宅",5%,IF(F49*F50*F51/12/(1+'数据-取费表'!C42)&gt;20000,12%,7%)))</f>
        <v/>
      </c>
      <c r="I59" s="1925" t="s">
        <v>1563</v>
      </c>
      <c r="J59" s="1926">
        <f ca="1">IF(OR(M47="住宅",J51&lt;L48,J56="是"),"——",ROUND(C29*J58,0))</f>
        <v>11351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712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2383.75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3.31</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29655</v>
      </c>
      <c r="R62" s="1889" t="s">
        <v>1047</v>
      </c>
    </row>
    <row r="63" spans="1:18" s="1845" customFormat="1" ht="13.5" thickBot="1">
      <c r="A63" s="372"/>
      <c r="B63" s="1178"/>
      <c r="C63" s="29"/>
      <c r="D63" s="1188"/>
      <c r="E63" s="1172" t="s">
        <v>1499</v>
      </c>
      <c r="F63" s="348">
        <f t="shared" ca="1" si="0"/>
        <v>8274.7199999999993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425.7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38.700000000000003</v>
      </c>
      <c r="D65" s="1186" t="s">
        <v>1454</v>
      </c>
      <c r="E65" s="1172" t="s">
        <v>1455</v>
      </c>
      <c r="F65" s="376">
        <f t="shared" ca="1" si="0"/>
        <v>1.5E-3</v>
      </c>
      <c r="I65" s="1932" t="s">
        <v>1579</v>
      </c>
      <c r="J65" s="1933">
        <v>40</v>
      </c>
      <c r="K65" s="1933">
        <v>30</v>
      </c>
      <c r="L65" s="1933">
        <v>50</v>
      </c>
      <c r="M65" s="1935">
        <v>0.02</v>
      </c>
      <c r="O65" s="1887" t="s">
        <v>1040</v>
      </c>
      <c r="P65" s="1888" t="s">
        <v>1580</v>
      </c>
      <c r="Q65" s="1889">
        <f ca="1">C40+J29</f>
        <v>29655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-2852</v>
      </c>
      <c r="D67" s="1185" t="s">
        <v>1464</v>
      </c>
      <c r="E67" s="1190"/>
      <c r="F67" s="1191"/>
      <c r="O67" s="1897" t="s">
        <v>1042</v>
      </c>
      <c r="P67" s="1888" t="s">
        <v>1562</v>
      </c>
      <c r="Q67" s="1936">
        <f ca="1">L51</f>
        <v>-12901</v>
      </c>
      <c r="R67" s="1889" t="s">
        <v>1582</v>
      </c>
    </row>
    <row r="68" spans="1:18" s="1845" customFormat="1" ht="16.5" thickBot="1">
      <c r="A68" s="1169" t="s">
        <v>1032</v>
      </c>
      <c r="B68" s="1170" t="s">
        <v>1485</v>
      </c>
      <c r="C68" s="346">
        <f ca="1">ROUND(C67*(1-((1+F70)/(1+F68))^F69)/(F68-F70),0)</f>
        <v>-42572</v>
      </c>
      <c r="D68" s="1187" t="s">
        <v>1469</v>
      </c>
      <c r="E68" s="1172" t="s">
        <v>1470</v>
      </c>
      <c r="F68" s="357">
        <f ca="1">F40</f>
        <v>5.5E-2</v>
      </c>
      <c r="O68" s="1897" t="s">
        <v>1043</v>
      </c>
      <c r="P68" s="1937" t="s">
        <v>1583</v>
      </c>
      <c r="Q68" s="1889">
        <f ca="1">ROUND(Q69-Q70*Q71,0)</f>
        <v>-815</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1380</v>
      </c>
      <c r="R69" s="1889" t="s">
        <v>1529</v>
      </c>
    </row>
    <row r="70" spans="1:18" s="1845" customFormat="1" ht="13.5" thickBot="1">
      <c r="A70" s="1176"/>
      <c r="B70" s="1177"/>
      <c r="C70" s="355"/>
      <c r="D70" s="1188"/>
      <c r="E70" s="1172" t="s">
        <v>1477</v>
      </c>
      <c r="F70" s="1278"/>
      <c r="O70" s="1897" t="s">
        <v>1049</v>
      </c>
      <c r="P70" s="1937" t="s">
        <v>1585</v>
      </c>
      <c r="Q70" s="1889">
        <f ca="1">C13</f>
        <v>25824</v>
      </c>
      <c r="R70" s="1889" t="s">
        <v>1529</v>
      </c>
    </row>
    <row r="71" spans="1:18" s="1845" customFormat="1" ht="13.5" thickBot="1">
      <c r="A71" s="1193" t="s">
        <v>1033</v>
      </c>
      <c r="B71" s="1194" t="s">
        <v>1487</v>
      </c>
      <c r="C71" s="382">
        <f ca="1">ROUND(C68*10000/F71,0)</f>
        <v>-7425</v>
      </c>
      <c r="D71" s="1195" t="s">
        <v>1488</v>
      </c>
      <c r="E71" s="1196" t="s">
        <v>1489</v>
      </c>
      <c r="F71" s="385">
        <f ca="1">F43</f>
        <v>57339.44000000001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2195</v>
      </c>
      <c r="D75" s="1845"/>
      <c r="E75" s="1845"/>
      <c r="F75" s="1845"/>
      <c r="K75" s="1871"/>
      <c r="L75" s="1845"/>
      <c r="O75" s="1887" t="s">
        <v>1046</v>
      </c>
      <c r="P75" s="1888" t="s">
        <v>1549</v>
      </c>
      <c r="Q75" s="1889">
        <f ca="1">Q65+Q66</f>
        <v>29655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-0.59099999999999997</v>
      </c>
    </row>
    <row r="80" spans="1:18">
      <c r="B80" s="386" t="s">
        <v>1511</v>
      </c>
      <c r="C80" s="318">
        <f ca="1">ROUND(C75/C39,3)</f>
        <v>1.591</v>
      </c>
    </row>
    <row r="81" spans="2:3">
      <c r="B81" s="314" t="s">
        <v>1512</v>
      </c>
      <c r="C81" s="282"/>
    </row>
    <row r="82" spans="2:3">
      <c r="B82" s="317" t="s">
        <v>1513</v>
      </c>
      <c r="C82" s="319">
        <f ca="1">1-C83</f>
        <v>0.129</v>
      </c>
    </row>
    <row r="83" spans="2:3">
      <c r="B83" s="317" t="s">
        <v>1514</v>
      </c>
      <c r="C83" s="318">
        <f ca="1">ROUND(C13/C40,3)</f>
        <v>0.871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26" sqref="C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32.130000000000003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3223</v>
      </c>
      <c r="C2" s="1848" t="s">
        <v>1516</v>
      </c>
      <c r="D2" s="1848"/>
      <c r="E2" s="1849"/>
      <c r="F2" s="1850"/>
      <c r="G2" s="1851"/>
      <c r="H2" s="1843"/>
      <c r="I2" s="1843"/>
      <c r="J2" s="1843"/>
      <c r="K2" s="1844"/>
      <c r="L2" s="1843"/>
      <c r="M2" s="1843"/>
    </row>
    <row r="3" spans="1:37" ht="18" customHeight="1" thickBot="1">
      <c r="A3" s="1852" t="s">
        <v>1517</v>
      </c>
      <c r="B3" s="1853">
        <f ca="1">IF(ISERROR(B2*10000/F43),0,ROUND(B2*10000/F43,0))</f>
        <v>2117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317</v>
      </c>
      <c r="D5" s="1825" t="s">
        <v>1402</v>
      </c>
      <c r="E5" s="1296"/>
      <c r="F5" s="1297"/>
      <c r="G5" s="1854"/>
      <c r="H5" s="344">
        <v>1</v>
      </c>
      <c r="I5" s="345" t="s">
        <v>1401</v>
      </c>
      <c r="J5" s="1295">
        <f ca="1">J6+J10+J12</f>
        <v>0</v>
      </c>
      <c r="K5" s="1825" t="s">
        <v>1402</v>
      </c>
      <c r="L5" s="1296"/>
      <c r="M5" s="1297"/>
    </row>
    <row r="6" spans="1:37" ht="18" customHeight="1">
      <c r="A6" s="1294" t="s">
        <v>1035</v>
      </c>
      <c r="B6" s="3214" t="s">
        <v>1403</v>
      </c>
      <c r="C6" s="1299">
        <f ca="1">ROUND(F6*F8*F7*(1-F9)/10000,0)</f>
        <v>317</v>
      </c>
      <c r="D6" s="164" t="s">
        <v>3037</v>
      </c>
      <c r="E6" s="347" t="s">
        <v>1405</v>
      </c>
      <c r="F6" s="348">
        <f ca="1">INDIRECT("'数据-取费表'!u"&amp;$G$1)</f>
        <v>0.6</v>
      </c>
      <c r="G6" s="1854"/>
      <c r="H6" s="1294" t="s">
        <v>1035</v>
      </c>
      <c r="I6" s="3214" t="s">
        <v>1403</v>
      </c>
      <c r="J6" s="346">
        <f ca="1">ROUND(M6*M8*M7*(1-M9)/10000,0)</f>
        <v>0</v>
      </c>
      <c r="K6" s="164" t="s">
        <v>3036</v>
      </c>
      <c r="L6" s="347" t="s">
        <v>1405</v>
      </c>
      <c r="M6" s="348">
        <f ca="1">INDIRECT("'数据-取费表'!z"&amp;$G$1)</f>
        <v>0</v>
      </c>
    </row>
    <row r="7" spans="1:37" ht="18" customHeight="1">
      <c r="A7" s="1298"/>
      <c r="B7" s="3215"/>
      <c r="C7" s="1300"/>
      <c r="D7" s="352"/>
      <c r="E7" s="2950" t="s">
        <v>1406</v>
      </c>
      <c r="F7" s="348">
        <f ca="1">IF(INDIRECT("'数据-取费表'!ah"&amp;$G$1)="",INDIRECT("'数据-取费表'!k"&amp;$G$1),INDIRECT("'数据-取费表'!ah"&amp;$G$1))</f>
        <v>15225.21</v>
      </c>
      <c r="G7" s="1854"/>
      <c r="H7" s="349"/>
      <c r="I7" s="3215"/>
      <c r="J7" s="351"/>
      <c r="K7" s="352"/>
      <c r="L7" s="347" t="s">
        <v>1406</v>
      </c>
      <c r="M7" s="348">
        <f ca="1">F7</f>
        <v>15225.21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0.05</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3474</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4684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3806</v>
      </c>
      <c r="D14" s="2953" t="s">
        <v>1418</v>
      </c>
      <c r="E14" s="2952"/>
      <c r="F14" s="364"/>
      <c r="G14" s="1854"/>
      <c r="H14" s="1204" t="s">
        <v>1035</v>
      </c>
      <c r="I14" s="347" t="s">
        <v>1419</v>
      </c>
      <c r="J14" s="24">
        <f ca="1">C29</f>
        <v>5147</v>
      </c>
      <c r="K14" s="2949"/>
      <c r="L14" s="982"/>
      <c r="M14" s="983"/>
    </row>
    <row r="15" spans="1:37" s="1861" customFormat="1" ht="18" customHeight="1" thickBot="1">
      <c r="A15" s="1204" t="s">
        <v>1036</v>
      </c>
      <c r="B15" s="347" t="s">
        <v>1420</v>
      </c>
      <c r="C15" s="24">
        <f ca="1">ROUND(C14*F15,0)</f>
        <v>114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v>
      </c>
      <c r="K16" s="1340" t="s">
        <v>1425</v>
      </c>
      <c r="L16" s="2955"/>
      <c r="M16" s="1297"/>
    </row>
    <row r="17" spans="1:37" s="1861" customFormat="1" ht="18" customHeight="1">
      <c r="A17" s="1204" t="s">
        <v>1390</v>
      </c>
      <c r="B17" s="347" t="s">
        <v>1426</v>
      </c>
      <c r="C17" s="24">
        <f ca="1">ROUND(F17*(F43+INDIRECT("'数据-取费表'!S"&amp;$G$1))/10000,0)</f>
        <v>305</v>
      </c>
      <c r="D17" s="347" t="s">
        <v>1427</v>
      </c>
      <c r="E17" s="347" t="s">
        <v>1428</v>
      </c>
      <c r="F17" s="26">
        <f>'数据-取费表'!B35</f>
        <v>200</v>
      </c>
      <c r="G17" s="1857"/>
      <c r="H17" s="1204" t="s">
        <v>1035</v>
      </c>
      <c r="I17" s="347" t="s">
        <v>1429</v>
      </c>
      <c r="J17" s="24">
        <f ca="1">ROUND(IF(项目基本情况!B11="自然人",J5*M17,J18+J19+J20),1)</f>
        <v>44.1</v>
      </c>
      <c r="K17" s="2953" t="s">
        <v>1430</v>
      </c>
      <c r="L17" s="295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v>
      </c>
      <c r="D18" s="347" t="s">
        <v>1421</v>
      </c>
      <c r="E18" s="347" t="s">
        <v>1422</v>
      </c>
      <c r="F18" s="367">
        <f>'数据-取费表'!B36</f>
        <v>1.4999999999999999E-2</v>
      </c>
      <c r="G18" s="1857"/>
      <c r="H18" s="1204" t="s">
        <v>1034</v>
      </c>
      <c r="I18" s="347" t="s">
        <v>1433</v>
      </c>
      <c r="J18" s="24">
        <f ca="1">ROUND(J5*M18/(1+'数据-取费表'!C42),2)</f>
        <v>0</v>
      </c>
      <c r="K18" s="295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4282</v>
      </c>
      <c r="D19" s="140" t="s">
        <v>1436</v>
      </c>
      <c r="E19" s="2948"/>
      <c r="F19" s="26"/>
      <c r="G19" s="1854"/>
      <c r="H19" s="1204" t="s">
        <v>1036</v>
      </c>
      <c r="I19" s="347" t="s">
        <v>1437</v>
      </c>
      <c r="J19" s="24">
        <f ca="1">IF(K19="按租金收入计税",ROUND(J5*M19,2),ROUND(C29*M19*0.7,2))</f>
        <v>43.23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86</v>
      </c>
      <c r="D20" s="369" t="s">
        <v>1440</v>
      </c>
      <c r="E20" s="347" t="s">
        <v>1422</v>
      </c>
      <c r="F20" s="367">
        <f>'数据-取费表'!B37</f>
        <v>0.02</v>
      </c>
      <c r="G20" s="1857"/>
      <c r="H20" s="1204" t="s">
        <v>1389</v>
      </c>
      <c r="I20" s="164" t="s">
        <v>1441</v>
      </c>
      <c r="J20" s="25">
        <f ca="1">ROUND(M20*M21/10000,2)</f>
        <v>0.88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2197.17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77.2</v>
      </c>
      <c r="K22" s="2954"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4"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-121</v>
      </c>
      <c r="K25" s="1348" t="s">
        <v>1464</v>
      </c>
      <c r="L25" s="1349"/>
      <c r="M25" s="1350"/>
    </row>
    <row r="26" spans="1:37">
      <c r="A26" s="1204" t="s">
        <v>1034</v>
      </c>
      <c r="B26" s="347" t="s">
        <v>1465</v>
      </c>
      <c r="C26" s="24">
        <f ca="1">ROUND((C19+C20)*F26,0)</f>
        <v>131</v>
      </c>
      <c r="D26" s="369" t="s">
        <v>1466</v>
      </c>
      <c r="E26" s="358" t="s">
        <v>1467</v>
      </c>
      <c r="F26" s="357">
        <f ca="1">INDIRECT("'数据-取费表'!q"&amp;$G$1)</f>
        <v>0.03</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8.9999999999999998E-4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5147</v>
      </c>
      <c r="D29" s="1345"/>
      <c r="E29" s="1343"/>
      <c r="F29" s="1346"/>
      <c r="G29" s="1857"/>
      <c r="H29" s="380" t="s">
        <v>1033</v>
      </c>
      <c r="I29" s="381" t="s">
        <v>1479</v>
      </c>
      <c r="J29" s="382">
        <f ca="1">ROUND(J26/(1+F40)^F41,0)</f>
        <v>0</v>
      </c>
      <c r="K29" s="383" t="s">
        <v>1480</v>
      </c>
      <c r="L29" s="384"/>
      <c r="M29" s="385">
        <f ca="1">INDIRECT("'数据-取费表'!k"&amp;$G$1)</f>
        <v>15225.21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143</v>
      </c>
      <c r="D30" s="1340" t="s">
        <v>1425</v>
      </c>
      <c r="E30" s="2955"/>
      <c r="F30" s="1297"/>
      <c r="G30" s="1854"/>
      <c r="H30" s="745"/>
      <c r="I30" s="746"/>
      <c r="J30" s="747"/>
      <c r="K30" s="748"/>
      <c r="L30" s="749"/>
      <c r="M30" s="750"/>
    </row>
    <row r="31" spans="1:37" ht="18" customHeight="1">
      <c r="A31" s="1204" t="s">
        <v>1035</v>
      </c>
      <c r="B31" s="347" t="s">
        <v>1429</v>
      </c>
      <c r="C31" s="24">
        <f ca="1">ROUND(IF(项目基本情况!B11="自然人",C5*F31,C32+C33+C34),1)</f>
        <v>55.8</v>
      </c>
      <c r="D31" s="2953" t="s">
        <v>1430</v>
      </c>
      <c r="E31" s="295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16.91</v>
      </c>
      <c r="D32" s="295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38.04</v>
      </c>
      <c r="D33" s="1831" t="s">
        <v>3469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2197.17</v>
      </c>
      <c r="G35" s="1854"/>
      <c r="H35" s="745"/>
      <c r="I35" s="1863"/>
      <c r="J35" s="1864"/>
      <c r="K35" s="1865"/>
      <c r="L35" s="1862"/>
      <c r="M35" s="1862"/>
    </row>
    <row r="36" spans="1:18" ht="18" customHeight="1">
      <c r="A36" s="1355" t="s">
        <v>1039</v>
      </c>
      <c r="B36" s="347" t="s">
        <v>1449</v>
      </c>
      <c r="C36" s="24">
        <f ca="1">ROUND(C29*F36,1)</f>
        <v>77.2</v>
      </c>
      <c r="D36" s="2954"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v>
      </c>
      <c r="D37" s="2954"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3.2</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2032</v>
      </c>
      <c r="D43" s="383" t="s">
        <v>1488</v>
      </c>
      <c r="E43" s="384" t="s">
        <v>1489</v>
      </c>
      <c r="F43" s="385">
        <f ca="1">INDIRECT("'数据-取费表'!k"&amp;$G$1)</f>
        <v>15225.21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-10811</v>
      </c>
      <c r="D46" s="1875" t="str">
        <f>C2</f>
        <v>万元</v>
      </c>
      <c r="E46" s="1869"/>
      <c r="F46" s="1869"/>
      <c r="I46" s="1876" t="s">
        <v>1521</v>
      </c>
      <c r="J46" s="1877"/>
      <c r="K46" s="1878"/>
      <c r="L46" s="1879">
        <f ca="1">IF(M47="住宅",0,IF(L48&gt;J51,L60,J60))</f>
        <v>129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3470</v>
      </c>
      <c r="K47" s="1885" t="s">
        <v>1527</v>
      </c>
      <c r="L47" s="1886">
        <f ca="1">INDIRECT("'数据-取费表'!d"&amp;$G$1)</f>
        <v>40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7">
        <f ca="1">C49+C53+C55</f>
        <v>0</v>
      </c>
      <c r="D48" s="1365"/>
      <c r="E48" s="1366"/>
      <c r="F48" s="1184"/>
      <c r="G48" s="792"/>
      <c r="H48" s="793"/>
      <c r="I48" s="1890" t="s">
        <v>1530</v>
      </c>
      <c r="J48" s="1891" t="s">
        <v>3471</v>
      </c>
      <c r="K48" s="1892" t="s">
        <v>1531</v>
      </c>
      <c r="L48" s="1893">
        <f ca="1">INDIRECT("'数据-取费表'!f"&amp;$G$1)</f>
        <v>32.130000000000003</v>
      </c>
      <c r="O48" s="1887" t="s">
        <v>1041</v>
      </c>
      <c r="P48" s="1888" t="s">
        <v>1532</v>
      </c>
      <c r="Q48" s="1889">
        <f ca="1">J60</f>
        <v>129</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2013</v>
      </c>
      <c r="K49" s="1892" t="s">
        <v>1535</v>
      </c>
      <c r="L49" s="1896"/>
      <c r="O49" s="1897" t="s">
        <v>1042</v>
      </c>
      <c r="P49" s="1888" t="s">
        <v>1536</v>
      </c>
      <c r="Q49" s="1889">
        <f ca="1">C29</f>
        <v>5147</v>
      </c>
      <c r="R49" s="1889" t="s">
        <v>1529</v>
      </c>
    </row>
    <row r="50" spans="1:18" s="1845" customFormat="1" ht="13.5" thickBot="1">
      <c r="A50" s="1198"/>
      <c r="B50" s="1201"/>
      <c r="C50" s="1371"/>
      <c r="D50" s="1175"/>
      <c r="E50" s="1280" t="s">
        <v>1406</v>
      </c>
      <c r="F50" s="1281">
        <f ca="1">F7</f>
        <v>15225.21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-3548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17" t="s">
        <v>1548</v>
      </c>
      <c r="L53" s="3218"/>
      <c r="O53" s="1887" t="s">
        <v>1046</v>
      </c>
      <c r="P53" s="1888" t="s">
        <v>1549</v>
      </c>
      <c r="Q53" s="1889">
        <f ca="1">Q47+Q48</f>
        <v>3223</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0.38100000000000001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4684</v>
      </c>
      <c r="D56" s="1917"/>
      <c r="E56" s="1918"/>
      <c r="F56" s="1910"/>
      <c r="I56" s="1919" t="s">
        <v>1554</v>
      </c>
      <c r="J56" s="1920" t="s">
        <v>3274</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5147</v>
      </c>
      <c r="D57" s="1922"/>
      <c r="E57" s="1923"/>
      <c r="F57" s="1924"/>
      <c r="I57" s="1925" t="s">
        <v>1556</v>
      </c>
      <c r="J57" s="1926">
        <f ca="1">IF(OR(M47="住宅",J51&lt;L48,J56="是"),"——",J51-L48)</f>
        <v>22.869999999999997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517</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433.2</v>
      </c>
      <c r="D59" s="1185" t="s">
        <v>1430</v>
      </c>
      <c r="E59" s="1186" t="s">
        <v>1431</v>
      </c>
      <c r="F59" s="368" t="str">
        <f ca="1">IF(项目基本情况!B11="企业","",IF(INDIRECT("'数据-取费表'!c"&amp;$G$1)="住宅",5%,IF(F49*F50*F51/12/(1+'数据-取费表'!C42)&gt;20000,12%,7%)))</f>
        <v/>
      </c>
      <c r="I59" s="1925" t="s">
        <v>1563</v>
      </c>
      <c r="J59" s="1926">
        <f ca="1">IF(OR(M47="住宅",J51&lt;L48,J56="是"),"——",ROUND(C29*J58,0))</f>
        <v>2059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432.35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0.88</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3094</v>
      </c>
      <c r="R62" s="1889" t="s">
        <v>1047</v>
      </c>
    </row>
    <row r="63" spans="1:18" s="1845" customFormat="1" ht="13.5" thickBot="1">
      <c r="A63" s="372"/>
      <c r="B63" s="1178"/>
      <c r="C63" s="29"/>
      <c r="D63" s="1188"/>
      <c r="E63" s="1172" t="s">
        <v>1447</v>
      </c>
      <c r="F63" s="348">
        <f t="shared" ca="1" si="0"/>
        <v>2197.17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77.2</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v>
      </c>
      <c r="D65" s="1186" t="s">
        <v>1454</v>
      </c>
      <c r="E65" s="1172" t="s">
        <v>1422</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-517</v>
      </c>
      <c r="D67" s="1185" t="s">
        <v>1464</v>
      </c>
      <c r="E67" s="1190"/>
      <c r="F67" s="1191"/>
      <c r="O67" s="1897" t="s">
        <v>1042</v>
      </c>
      <c r="P67" s="1888" t="s">
        <v>1562</v>
      </c>
      <c r="Q67" s="1936">
        <f ca="1">L51</f>
        <v>-3548</v>
      </c>
      <c r="R67" s="1889" t="s">
        <v>1582</v>
      </c>
    </row>
    <row r="68" spans="1:18" s="1845" customFormat="1" ht="16.5" thickBot="1">
      <c r="A68" s="1169" t="s">
        <v>1032</v>
      </c>
      <c r="B68" s="1170" t="s">
        <v>1485</v>
      </c>
      <c r="C68" s="346">
        <f ca="1">ROUND(C67*(1-((1+F70)/(1+F68))^F69)/(F68-F70),0)</f>
        <v>-7717</v>
      </c>
      <c r="D68" s="1187" t="s">
        <v>1469</v>
      </c>
      <c r="E68" s="1172" t="s">
        <v>1470</v>
      </c>
      <c r="F68" s="357">
        <f ca="1">F40</f>
        <v>5.5E-2</v>
      </c>
      <c r="O68" s="1897" t="s">
        <v>1043</v>
      </c>
      <c r="P68" s="1937" t="s">
        <v>1583</v>
      </c>
      <c r="Q68" s="1889">
        <f ca="1">ROUND(Q69-Q70*Q71,0)</f>
        <v>-224</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174</v>
      </c>
      <c r="R69" s="1889" t="s">
        <v>1529</v>
      </c>
    </row>
    <row r="70" spans="1:18" s="1845" customFormat="1" ht="13.5" thickBot="1">
      <c r="A70" s="1176"/>
      <c r="B70" s="1177"/>
      <c r="C70" s="355"/>
      <c r="D70" s="1188"/>
      <c r="E70" s="1172" t="s">
        <v>1477</v>
      </c>
      <c r="F70" s="1278"/>
      <c r="O70" s="1897" t="s">
        <v>1049</v>
      </c>
      <c r="P70" s="1937" t="s">
        <v>1585</v>
      </c>
      <c r="Q70" s="1889">
        <f ca="1">C13</f>
        <v>4684</v>
      </c>
      <c r="R70" s="1889" t="s">
        <v>1529</v>
      </c>
    </row>
    <row r="71" spans="1:18" s="1845" customFormat="1" ht="13.5" thickBot="1">
      <c r="A71" s="1193" t="s">
        <v>1033</v>
      </c>
      <c r="B71" s="1194" t="s">
        <v>1487</v>
      </c>
      <c r="C71" s="382">
        <f ca="1">ROUND(C68*10000/F71,0)</f>
        <v>-5069</v>
      </c>
      <c r="D71" s="1195" t="s">
        <v>1488</v>
      </c>
      <c r="E71" s="1196" t="s">
        <v>1489</v>
      </c>
      <c r="F71" s="385">
        <f ca="1">F43</f>
        <v>15225.21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398</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-1.2869999999999999</v>
      </c>
    </row>
    <row r="80" spans="1:18">
      <c r="B80" s="386" t="s">
        <v>1511</v>
      </c>
      <c r="C80" s="318">
        <f ca="1">ROUND(C75/C39,3)</f>
        <v>2.2869999999999999</v>
      </c>
    </row>
    <row r="81" spans="2:3">
      <c r="B81" s="314" t="s">
        <v>1512</v>
      </c>
      <c r="C81" s="282"/>
    </row>
    <row r="82" spans="2:3">
      <c r="B82" s="317" t="s">
        <v>1513</v>
      </c>
      <c r="C82" s="319">
        <f ca="1">1-C83</f>
        <v>-0.51400000000000001</v>
      </c>
    </row>
    <row r="83" spans="2:3">
      <c r="B83" s="317" t="s">
        <v>1514</v>
      </c>
      <c r="C83" s="318">
        <f ca="1">ROUND(C13/C40,3)</f>
        <v>1.514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307" t="s">
        <v>2800</v>
      </c>
      <c r="D6" s="3308"/>
      <c r="E6" s="3309" t="s">
        <v>2800</v>
      </c>
      <c r="F6" s="3310"/>
      <c r="G6" s="3307" t="s">
        <v>2800</v>
      </c>
      <c r="H6" s="3308"/>
      <c r="I6" s="3307" t="s">
        <v>2800</v>
      </c>
      <c r="J6" s="3308"/>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7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43"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43"/>
      <c r="Q10" s="1798" t="str">
        <f t="shared" si="6"/>
        <v>土地使用年限（年）</v>
      </c>
      <c r="R10" s="770" t="s">
        <v>17</v>
      </c>
      <c r="S10" s="771">
        <f t="shared" si="0"/>
        <v>108</v>
      </c>
      <c r="T10" s="770" t="s">
        <v>17</v>
      </c>
      <c r="U10" s="771">
        <f t="shared" si="1"/>
        <v>108</v>
      </c>
      <c r="V10" s="770" t="s">
        <v>17</v>
      </c>
      <c r="W10" s="771">
        <f t="shared" si="2"/>
        <v>108</v>
      </c>
      <c r="X10" s="772"/>
      <c r="Y10" s="3066"/>
      <c r="Z10" s="55" t="str">
        <f t="shared" si="7"/>
        <v>土地使用年限（年）</v>
      </c>
      <c r="AA10" s="773">
        <f t="shared" si="3"/>
        <v>0.92592592592592593</v>
      </c>
      <c r="AB10" s="773">
        <f t="shared" si="4"/>
        <v>0.92592592592592593</v>
      </c>
      <c r="AC10" s="773">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2564</v>
      </c>
      <c r="B15" s="629" t="s">
        <v>2801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5" t="s">
        <v>2565</v>
      </c>
      <c r="Q15" s="1813" t="str">
        <f t="shared" si="6"/>
        <v>产业集聚程度</v>
      </c>
      <c r="R15" s="774" t="s">
        <v>17</v>
      </c>
      <c r="S15" s="775">
        <f t="shared" si="0"/>
        <v>100</v>
      </c>
      <c r="T15" s="774" t="s">
        <v>17</v>
      </c>
      <c r="U15" s="775">
        <f t="shared" si="1"/>
        <v>100</v>
      </c>
      <c r="V15" s="774" t="s">
        <v>17</v>
      </c>
      <c r="W15" s="775">
        <f t="shared" si="2"/>
        <v>100</v>
      </c>
      <c r="X15" s="1816"/>
      <c r="Y15" s="3245" t="s">
        <v>2565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6"/>
      <c r="Q19" s="1813" t="str">
        <f t="shared" ref="Q19:Q33" si="8">B19</f>
        <v>区域土地利用方向</v>
      </c>
      <c r="R19" s="774" t="s">
        <v>17</v>
      </c>
      <c r="S19" s="775">
        <f>F19</f>
        <v>100</v>
      </c>
      <c r="T19" s="774" t="s">
        <v>17</v>
      </c>
      <c r="U19" s="775">
        <f>H19</f>
        <v>100</v>
      </c>
      <c r="V19" s="774" t="s">
        <v>17</v>
      </c>
      <c r="W19" s="775">
        <f>J19</f>
        <v>100</v>
      </c>
      <c r="X19" s="1816"/>
      <c r="Y19" s="3246"/>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46"/>
      <c r="Q20" s="1813"/>
      <c r="R20" s="774"/>
      <c r="S20" s="775"/>
      <c r="T20" s="774"/>
      <c r="U20" s="775"/>
      <c r="V20" s="774"/>
      <c r="W20" s="775"/>
      <c r="X20" s="1816"/>
      <c r="Y20" s="3246"/>
      <c r="Z20" s="1817"/>
      <c r="AA20" s="1814"/>
      <c r="AB20" s="1814"/>
      <c r="AC20" s="1814"/>
    </row>
    <row r="21" spans="1:29" ht="71.25">
      <c r="A21" s="404"/>
      <c r="B21" s="631" t="s">
        <v>2802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6"/>
      <c r="Q21" s="1813" t="str">
        <f t="shared" si="8"/>
        <v>环境状况</v>
      </c>
      <c r="R21" s="774" t="s">
        <v>17</v>
      </c>
      <c r="S21" s="775">
        <f>F21</f>
        <v>100</v>
      </c>
      <c r="T21" s="774" t="s">
        <v>17</v>
      </c>
      <c r="U21" s="775">
        <f>H21</f>
        <v>100</v>
      </c>
      <c r="V21" s="774" t="s">
        <v>17</v>
      </c>
      <c r="W21" s="775">
        <f>J21</f>
        <v>100</v>
      </c>
      <c r="X21" s="1816"/>
      <c r="Y21" s="3246"/>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6"/>
      <c r="Q23" s="1798" t="str">
        <f t="shared" si="8"/>
        <v>公共配套设施</v>
      </c>
      <c r="R23" s="770" t="s">
        <v>17</v>
      </c>
      <c r="S23" s="771">
        <f>F23</f>
        <v>100</v>
      </c>
      <c r="T23" s="770" t="s">
        <v>17</v>
      </c>
      <c r="U23" s="771">
        <f>H23</f>
        <v>100</v>
      </c>
      <c r="V23" s="770" t="s">
        <v>17</v>
      </c>
      <c r="W23" s="771">
        <f>J23</f>
        <v>100</v>
      </c>
      <c r="X23" s="772"/>
      <c r="Y23" s="3246"/>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46"/>
      <c r="Q24" s="1798"/>
      <c r="R24" s="770"/>
      <c r="S24" s="771"/>
      <c r="T24" s="770"/>
      <c r="U24" s="771"/>
      <c r="V24" s="770"/>
      <c r="W24" s="771"/>
      <c r="X24" s="772"/>
      <c r="Y24" s="3246"/>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6"/>
      <c r="Q25" s="1798" t="str">
        <f t="shared" ref="Q25" si="9">B25</f>
        <v>基础设施水平</v>
      </c>
      <c r="R25" s="770" t="s">
        <v>17</v>
      </c>
      <c r="S25" s="771">
        <f>F25</f>
        <v>100</v>
      </c>
      <c r="T25" s="770" t="s">
        <v>17</v>
      </c>
      <c r="U25" s="771">
        <f>H25</f>
        <v>100</v>
      </c>
      <c r="V25" s="770" t="s">
        <v>17</v>
      </c>
      <c r="W25" s="771">
        <f>J25</f>
        <v>100</v>
      </c>
      <c r="X25" s="772"/>
      <c r="Y25" s="3246"/>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46"/>
      <c r="Q26" s="1798"/>
      <c r="R26" s="770"/>
      <c r="S26" s="771"/>
      <c r="T26" s="770"/>
      <c r="U26" s="771"/>
      <c r="V26" s="770"/>
      <c r="W26" s="771"/>
      <c r="X26" s="772"/>
      <c r="Y26" s="3246"/>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6"/>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6"/>
      <c r="Q28" s="1813" t="str">
        <f t="shared" si="8"/>
        <v>毗邻道路的类型与等级</v>
      </c>
      <c r="R28" s="774" t="s">
        <v>17</v>
      </c>
      <c r="S28" s="775">
        <f t="shared" si="10"/>
        <v>100</v>
      </c>
      <c r="T28" s="774" t="s">
        <v>17</v>
      </c>
      <c r="U28" s="775">
        <f t="shared" si="11"/>
        <v>100</v>
      </c>
      <c r="V28" s="774" t="s">
        <v>17</v>
      </c>
      <c r="W28" s="775">
        <f t="shared" si="12"/>
        <v>100</v>
      </c>
      <c r="X28" s="1816"/>
      <c r="Y28" s="3246"/>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46"/>
      <c r="Q29" s="1813"/>
      <c r="R29" s="774"/>
      <c r="S29" s="775"/>
      <c r="T29" s="774"/>
      <c r="U29" s="775"/>
      <c r="V29" s="774"/>
      <c r="W29" s="775"/>
      <c r="X29" s="1816"/>
      <c r="Y29" s="3246"/>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6"/>
      <c r="Q30" s="1813" t="str">
        <f t="shared" si="8"/>
        <v>土地级别</v>
      </c>
      <c r="R30" s="774" t="s">
        <v>17</v>
      </c>
      <c r="S30" s="775">
        <f t="shared" si="10"/>
        <v>100</v>
      </c>
      <c r="T30" s="774" t="s">
        <v>17</v>
      </c>
      <c r="U30" s="775">
        <f t="shared" si="11"/>
        <v>100</v>
      </c>
      <c r="V30" s="774" t="s">
        <v>17</v>
      </c>
      <c r="W30" s="775">
        <f t="shared" si="12"/>
        <v>100</v>
      </c>
      <c r="X30" s="1816"/>
      <c r="Y30" s="3246"/>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6"/>
      <c r="Q31" s="1813">
        <f t="shared" si="8"/>
        <v>111</v>
      </c>
      <c r="R31" s="774" t="s">
        <v>17</v>
      </c>
      <c r="S31" s="775">
        <f t="shared" si="10"/>
        <v>100</v>
      </c>
      <c r="T31" s="774" t="s">
        <v>17</v>
      </c>
      <c r="U31" s="775">
        <f t="shared" si="11"/>
        <v>100</v>
      </c>
      <c r="V31" s="774" t="s">
        <v>17</v>
      </c>
      <c r="W31" s="775">
        <f t="shared" si="12"/>
        <v>100</v>
      </c>
      <c r="X31" s="1816"/>
      <c r="Y31" s="3246"/>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1" t="s">
        <v>2570</v>
      </c>
      <c r="Q32" s="1813">
        <f t="shared" si="8"/>
        <v>111</v>
      </c>
      <c r="R32" s="774" t="s">
        <v>17</v>
      </c>
      <c r="S32" s="775">
        <f t="shared" si="10"/>
        <v>100</v>
      </c>
      <c r="T32" s="774" t="s">
        <v>17</v>
      </c>
      <c r="U32" s="775">
        <f t="shared" si="11"/>
        <v>100</v>
      </c>
      <c r="V32" s="774" t="s">
        <v>17</v>
      </c>
      <c r="W32" s="775">
        <f t="shared" si="12"/>
        <v>100</v>
      </c>
      <c r="X32" s="1816"/>
      <c r="Y32" s="3250"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0"/>
      <c r="Q33" s="1813">
        <f t="shared" si="8"/>
        <v>111</v>
      </c>
      <c r="R33" s="777" t="s">
        <v>17</v>
      </c>
      <c r="S33" s="778">
        <f t="shared" si="10"/>
        <v>100</v>
      </c>
      <c r="T33" s="777" t="s">
        <v>17</v>
      </c>
      <c r="U33" s="778">
        <f t="shared" si="11"/>
        <v>100</v>
      </c>
      <c r="V33" s="777" t="s">
        <v>17</v>
      </c>
      <c r="W33" s="778">
        <f t="shared" si="12"/>
        <v>100</v>
      </c>
      <c r="X33" s="779"/>
      <c r="Y33" s="3250"/>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0"/>
      <c r="Q34" s="1813" t="str">
        <f>B34</f>
        <v>宗地面积</v>
      </c>
      <c r="R34" s="774" t="s">
        <v>17</v>
      </c>
      <c r="S34" s="775" t="e">
        <f t="shared" si="10"/>
        <v>#N/A</v>
      </c>
      <c r="T34" s="774" t="s">
        <v>17</v>
      </c>
      <c r="U34" s="775" t="e">
        <f t="shared" si="11"/>
        <v>#N/A</v>
      </c>
      <c r="V34" s="774" t="s">
        <v>17</v>
      </c>
      <c r="W34" s="775" t="e">
        <f t="shared" si="12"/>
        <v>#N/A</v>
      </c>
      <c r="X34" s="1816"/>
      <c r="Y34" s="3250"/>
      <c r="Z34" s="1817" t="str">
        <f t="shared" si="13"/>
        <v>宗地面积</v>
      </c>
      <c r="AA34" s="1814" t="e">
        <f t="shared" si="3"/>
        <v>#N/A</v>
      </c>
      <c r="AB34" s="1814" t="e">
        <f t="shared" si="4"/>
        <v>#N/A</v>
      </c>
      <c r="AC34" s="1814"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50"/>
      <c r="Q35" s="1813" t="str">
        <f t="shared" ref="Q35:Q40" si="14">B35</f>
        <v>宗地形状</v>
      </c>
      <c r="R35" s="774" t="s">
        <v>17</v>
      </c>
      <c r="S35" s="775">
        <f t="shared" si="10"/>
        <v>100</v>
      </c>
      <c r="T35" s="774" t="s">
        <v>17</v>
      </c>
      <c r="U35" s="775">
        <f t="shared" si="11"/>
        <v>100</v>
      </c>
      <c r="V35" s="774" t="s">
        <v>17</v>
      </c>
      <c r="W35" s="775">
        <f t="shared" si="12"/>
        <v>100</v>
      </c>
      <c r="X35" s="1816"/>
      <c r="Y35" s="3250"/>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50"/>
      <c r="Q36" s="1813"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50" t="s">
        <v>2570</v>
      </c>
      <c r="Q37" s="1813" t="str">
        <f t="shared" si="14"/>
        <v>工程地质条件</v>
      </c>
      <c r="R37" s="774" t="s">
        <v>17</v>
      </c>
      <c r="S37" s="775">
        <f t="shared" si="10"/>
        <v>100</v>
      </c>
      <c r="T37" s="774" t="s">
        <v>17</v>
      </c>
      <c r="U37" s="775">
        <f t="shared" si="11"/>
        <v>100</v>
      </c>
      <c r="V37" s="774" t="s">
        <v>17</v>
      </c>
      <c r="W37" s="775">
        <f t="shared" si="12"/>
        <v>100</v>
      </c>
      <c r="X37" s="1816"/>
      <c r="Y37" s="3250"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0"/>
      <c r="Q38" s="1813">
        <f t="shared" si="14"/>
        <v>111</v>
      </c>
      <c r="R38" s="774" t="s">
        <v>17</v>
      </c>
      <c r="S38" s="775">
        <f t="shared" si="10"/>
        <v>100</v>
      </c>
      <c r="T38" s="774" t="s">
        <v>17</v>
      </c>
      <c r="U38" s="775">
        <f t="shared" si="11"/>
        <v>100</v>
      </c>
      <c r="V38" s="774" t="s">
        <v>17</v>
      </c>
      <c r="W38" s="775">
        <f t="shared" si="12"/>
        <v>100</v>
      </c>
      <c r="X38" s="1816"/>
      <c r="Y38" s="325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0"/>
      <c r="Q39" s="1813">
        <f t="shared" si="14"/>
        <v>111</v>
      </c>
      <c r="R39" s="774" t="s">
        <v>17</v>
      </c>
      <c r="S39" s="775">
        <f t="shared" si="10"/>
        <v>100</v>
      </c>
      <c r="T39" s="774" t="s">
        <v>17</v>
      </c>
      <c r="U39" s="775">
        <f t="shared" si="11"/>
        <v>100</v>
      </c>
      <c r="V39" s="774" t="s">
        <v>17</v>
      </c>
      <c r="W39" s="775">
        <f t="shared" si="12"/>
        <v>100</v>
      </c>
      <c r="X39" s="1816"/>
      <c r="Y39" s="3250"/>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0"/>
      <c r="Q40" s="1813">
        <f t="shared" si="14"/>
        <v>111</v>
      </c>
      <c r="R40" s="777" t="s">
        <v>17</v>
      </c>
      <c r="S40" s="778">
        <f t="shared" si="10"/>
        <v>100</v>
      </c>
      <c r="T40" s="777" t="s">
        <v>17</v>
      </c>
      <c r="U40" s="778">
        <f t="shared" si="11"/>
        <v>100</v>
      </c>
      <c r="V40" s="777" t="s">
        <v>17</v>
      </c>
      <c r="W40" s="778">
        <f t="shared" si="12"/>
        <v>100</v>
      </c>
      <c r="X40" s="779"/>
      <c r="Y40" s="3250"/>
      <c r="Z40" s="780">
        <f t="shared" si="13"/>
        <v>111</v>
      </c>
      <c r="AA40" s="1814">
        <f t="shared" si="3"/>
        <v>1</v>
      </c>
      <c r="AB40" s="1814">
        <f t="shared" si="4"/>
        <v>1</v>
      </c>
      <c r="AC40" s="1814">
        <f t="shared" si="5"/>
        <v>1</v>
      </c>
    </row>
    <row r="41" spans="1:29" ht="15">
      <c r="A41" s="479" t="s">
        <v>2725</v>
      </c>
      <c r="B41" s="2709" t="s">
        <v>2803</v>
      </c>
      <c r="C41" s="682" t="s">
        <v>1</v>
      </c>
      <c r="D41" s="481"/>
      <c r="E41" s="482"/>
      <c r="F41" s="483"/>
      <c r="G41" s="484"/>
      <c r="H41" s="485"/>
      <c r="I41" s="482"/>
      <c r="J41" s="485"/>
      <c r="K41" s="783"/>
      <c r="L41" s="1146"/>
      <c r="M41" s="1134"/>
      <c r="N41" s="1134"/>
      <c r="O41" s="1147"/>
      <c r="P41" s="3243" t="str">
        <f>A41</f>
        <v>成交单价</v>
      </c>
      <c r="Q41" s="3243"/>
      <c r="R41" s="3274">
        <f>E41</f>
        <v>0</v>
      </c>
      <c r="S41" s="3274"/>
      <c r="T41" s="3274">
        <f>G41</f>
        <v>0</v>
      </c>
      <c r="U41" s="3274"/>
      <c r="V41" s="3274">
        <f>I41</f>
        <v>0</v>
      </c>
      <c r="W41" s="3274"/>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303" t="e">
        <f>ROUND(PRODUCT(R41,AA7:AA40),0)</f>
        <v>#DIV/0!</v>
      </c>
      <c r="S42" s="3303"/>
      <c r="T42" s="3303" t="e">
        <f>ROUND(PRODUCT(T41,AB7:AB40),0)</f>
        <v>#DIV/0!</v>
      </c>
      <c r="U42" s="3303"/>
      <c r="V42" s="3303" t="e">
        <f>ROUND(PRODUCT(V41,AC7:AC40),0)</f>
        <v>#DIV/0!</v>
      </c>
      <c r="W42" s="3303"/>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40" t="str">
        <f>A43</f>
        <v>估价对象XX用房的比较价值（楼面单价，元/平方米）</v>
      </c>
      <c r="Q43" s="3241"/>
      <c r="R43" s="3304" t="e">
        <f>ROUND(AVERAGE(R42:V42),0)</f>
        <v>#DIV/0!</v>
      </c>
      <c r="S43" s="3304"/>
      <c r="T43" s="3304"/>
      <c r="U43" s="3304"/>
      <c r="V43" s="3304"/>
      <c r="W43" s="33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0" t="s">
        <v>2764</v>
      </c>
      <c r="D50" s="2711" t="s">
        <v>2765</v>
      </c>
      <c r="E50" s="686" t="s">
        <v>2766</v>
      </c>
      <c r="F50" s="687" t="s">
        <v>2767</v>
      </c>
      <c r="G50" s="3258" t="s">
        <v>2768</v>
      </c>
      <c r="H50" s="3305"/>
      <c r="I50" s="1817" t="s">
        <v>2804</v>
      </c>
      <c r="J50" s="1817">
        <f>项目基本情况!F35</f>
        <v>0</v>
      </c>
      <c r="K50" s="2713" t="s">
        <v>2770</v>
      </c>
      <c r="L50" s="1109"/>
      <c r="M50" s="1147"/>
      <c r="N50" s="1147"/>
      <c r="O50" s="1147"/>
    </row>
    <row r="51" spans="1:17" s="692" customFormat="1">
      <c r="A51" s="688" t="s">
        <v>2771</v>
      </c>
      <c r="B51" s="689" t="e">
        <f>C43</f>
        <v>#DIV/0!</v>
      </c>
      <c r="C51" s="690">
        <v>1</v>
      </c>
      <c r="D51" s="1166">
        <v>1</v>
      </c>
      <c r="E51" s="690">
        <f>'数据-汇总表'!E8+'数据-汇总表'!E9</f>
        <v>57339.44000000001</v>
      </c>
      <c r="F51" s="691" t="e">
        <f t="shared" ref="F51:F60" si="15">ROUND(B51*E51/10000,0)</f>
        <v>#DIV/0!</v>
      </c>
      <c r="G51" s="3254"/>
      <c r="H51" s="3243"/>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306"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306"/>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306"/>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306"/>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4"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4"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15225.21</v>
      </c>
      <c r="F60" s="691" t="e">
        <f t="shared" si="15"/>
        <v>#DIV/0!</v>
      </c>
      <c r="G60" s="2715"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10471.89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2805</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2807</v>
      </c>
      <c r="B1" s="241"/>
      <c r="C1" s="245" t="s">
        <v>2808</v>
      </c>
      <c r="D1" s="388">
        <f>SUM(D29:D30,D33:D39)</f>
        <v>0</v>
      </c>
      <c r="E1" s="2722"/>
      <c r="F1" s="2722"/>
      <c r="G1" s="2722"/>
      <c r="H1" s="2722"/>
      <c r="I1" s="2722"/>
      <c r="J1" s="2722"/>
      <c r="K1" s="1373"/>
      <c r="L1" s="2723" t="s">
        <v>2809</v>
      </c>
      <c r="M1" s="1083">
        <f>SUMPRODUCT((区片价!B5:B9=I2)*(区片价!C3:F3=E2)*(区片价!C5:F9))</f>
        <v>0</v>
      </c>
      <c r="N1" s="1086">
        <f>SUMPRODUCT((因素修正幅度!B5:B9=I2)*(因素修正幅度!C3:F3=E2)*(因素修正幅度!C5:F9))</f>
        <v>0</v>
      </c>
      <c r="O1" s="2724"/>
      <c r="P1" s="2724"/>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6" t="s">
        <v>2816</v>
      </c>
      <c r="D2" s="2727" t="s">
        <v>2817</v>
      </c>
      <c r="E2" s="2728"/>
      <c r="F2" s="2727" t="s">
        <v>2818</v>
      </c>
      <c r="G2" s="2729">
        <f>IF(E2="商业",项目基本情况!B37,IF(E2="办公",项目基本情况!C37,IF(E2="住宅",项目基本情况!D37,项目基本情况!E37)))</f>
        <v>0</v>
      </c>
      <c r="H2" s="2727" t="s">
        <v>2819</v>
      </c>
      <c r="I2" s="2729">
        <f>IF(E2="商业",项目基本情况!B38,IF(E2="办公",项目基本情况!C38,IF(E2="住宅",项目基本情况!D38,项目基本情况!E38)))</f>
        <v>0</v>
      </c>
      <c r="J2" s="2730"/>
      <c r="K2" s="1373"/>
      <c r="L2" s="2731"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6" t="s">
        <v>2822</v>
      </c>
      <c r="D3" s="2727" t="s">
        <v>2823</v>
      </c>
      <c r="E3" s="2732"/>
      <c r="F3" s="2733" t="s">
        <v>2824</v>
      </c>
      <c r="G3" s="916">
        <f>IF(F3="宗地容积率",'数据-汇总表'!I4,IF(F3="估价对象容积率",'数据-汇总表'!I6,'数据-汇总表'!I7))</f>
        <v>5.49</v>
      </c>
      <c r="H3" s="198" t="s">
        <v>2825</v>
      </c>
      <c r="I3" s="947"/>
      <c r="J3" s="2730" t="s">
        <v>2826</v>
      </c>
      <c r="K3" s="1373"/>
      <c r="L3" s="2731"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4"/>
      <c r="B4" s="3315"/>
      <c r="C4" s="3315"/>
      <c r="D4" s="3316"/>
      <c r="E4" s="3316"/>
      <c r="F4" s="3316"/>
      <c r="G4" s="3316"/>
      <c r="H4" s="3316"/>
      <c r="I4" s="3316"/>
      <c r="J4" s="3317"/>
      <c r="K4" s="1373"/>
      <c r="L4" s="2731"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2829</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2831</v>
      </c>
      <c r="B6" s="2745" t="s">
        <v>2832</v>
      </c>
      <c r="C6" s="918">
        <f>SUMIF(L1:L12,G2,M1:M12)</f>
        <v>0</v>
      </c>
      <c r="D6" s="2746" t="s">
        <v>2833</v>
      </c>
      <c r="E6" s="2747"/>
      <c r="F6" s="2747"/>
      <c r="G6" s="2748"/>
      <c r="H6" s="2748"/>
      <c r="I6" s="2748"/>
      <c r="J6" s="2749"/>
      <c r="K6" s="1845"/>
      <c r="L6" s="2731"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18" t="str">
        <f>IF(E2="商业",IF(C8="不临58条商业街","",2),"")</f>
        <v/>
      </c>
      <c r="B7" s="2750" t="s">
        <v>2835</v>
      </c>
      <c r="C7" s="919" t="e">
        <f>IF(C8="不临58条商业街",1,ROUND(1+(1.6*E8+1.2*E9+0.8*E10+0.4*E11)*C9,4))</f>
        <v>#DIV/0!</v>
      </c>
      <c r="D7" s="2751" t="s">
        <v>2836</v>
      </c>
      <c r="E7" s="948"/>
      <c r="F7" s="2752"/>
      <c r="G7" s="2753"/>
      <c r="H7" s="2753"/>
      <c r="I7" s="2753"/>
      <c r="J7" s="2754"/>
      <c r="K7" s="1845"/>
      <c r="L7" s="2731"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5.49</v>
      </c>
      <c r="AA7" s="1609"/>
      <c r="AB7" s="1609"/>
      <c r="AC7" s="1610"/>
      <c r="AD7" s="1611"/>
      <c r="AE7" s="1611"/>
      <c r="AF7" s="1611"/>
      <c r="AG7" s="1611"/>
      <c r="AH7" s="1611"/>
      <c r="AI7" s="1611"/>
      <c r="AJ7" s="1612"/>
    </row>
    <row r="8" spans="1:36" ht="15">
      <c r="A8" s="3319"/>
      <c r="B8" s="198" t="s">
        <v>2840</v>
      </c>
      <c r="C8" s="2755"/>
      <c r="D8" s="920" t="s">
        <v>139</v>
      </c>
      <c r="E8" s="921" t="e">
        <f>ROUND(C11/E7,4)</f>
        <v>#DIV/0!</v>
      </c>
      <c r="F8" s="2756" t="s">
        <v>2841</v>
      </c>
      <c r="G8" s="2757"/>
      <c r="H8" s="2757"/>
      <c r="I8" s="2757"/>
      <c r="J8" s="2758"/>
      <c r="K8" s="1373"/>
      <c r="L8" s="2731"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1" t="s">
        <v>2843</v>
      </c>
      <c r="X8" s="3312"/>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319"/>
      <c r="B9" s="198" t="s">
        <v>2856</v>
      </c>
      <c r="C9" s="922">
        <f>SUMIF(修正!C59:C119,C8,修正!E59:E119)</f>
        <v>0</v>
      </c>
      <c r="D9" s="200" t="s">
        <v>140</v>
      </c>
      <c r="E9" s="200" t="e">
        <f>ROUND(C11/E7,4)</f>
        <v>#DIV/0!</v>
      </c>
      <c r="F9" s="2756" t="s">
        <v>2857</v>
      </c>
      <c r="G9" s="2757"/>
      <c r="H9" s="2757"/>
      <c r="I9" s="2757"/>
      <c r="J9" s="2758"/>
      <c r="K9" s="1373"/>
      <c r="L9" s="2731"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3"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9"/>
      <c r="B10" s="198" t="s">
        <v>2861</v>
      </c>
      <c r="C10" s="200">
        <f>SUMIF(修正!C59:C119,C8,修正!F59:F119)</f>
        <v>0</v>
      </c>
      <c r="D10" s="200" t="s">
        <v>141</v>
      </c>
      <c r="E10" s="200" t="e">
        <f>ROUND(C11/E7,4)</f>
        <v>#DIV/0!</v>
      </c>
      <c r="F10" s="2756" t="s">
        <v>2862</v>
      </c>
      <c r="G10" s="2757"/>
      <c r="H10" s="2757"/>
      <c r="I10" s="2757"/>
      <c r="J10" s="2758"/>
      <c r="K10" s="1373"/>
      <c r="L10" s="2731"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9"/>
      <c r="B11" s="2759" t="s">
        <v>2864</v>
      </c>
      <c r="C11" s="923">
        <f>C10/4</f>
        <v>0</v>
      </c>
      <c r="D11" s="923" t="s">
        <v>142</v>
      </c>
      <c r="E11" s="923" t="e">
        <f>ROUND(C11/E7,4)</f>
        <v>#DIV/0!</v>
      </c>
      <c r="F11" s="2760" t="s">
        <v>2865</v>
      </c>
      <c r="G11" s="2761"/>
      <c r="H11" s="2761"/>
      <c r="I11" s="2761"/>
      <c r="J11" s="2762"/>
      <c r="K11" s="1373"/>
      <c r="L11" s="2731"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3" t="s">
        <v>2867</v>
      </c>
      <c r="X11" s="1617" t="s">
        <v>2868</v>
      </c>
      <c r="Y11" s="1618">
        <f>$G$3</f>
        <v>5.49</v>
      </c>
      <c r="Z11" s="1618">
        <f t="shared" ref="Z11:AJ11" si="3">$G$3</f>
        <v>5.49</v>
      </c>
      <c r="AA11" s="1618">
        <f t="shared" si="3"/>
        <v>5.49</v>
      </c>
      <c r="AB11" s="1618">
        <f t="shared" si="3"/>
        <v>5.49</v>
      </c>
      <c r="AC11" s="1618">
        <f t="shared" si="3"/>
        <v>5.49</v>
      </c>
      <c r="AD11" s="1618">
        <f t="shared" si="3"/>
        <v>5.49</v>
      </c>
      <c r="AE11" s="1618">
        <f t="shared" si="3"/>
        <v>5.49</v>
      </c>
      <c r="AF11" s="1618">
        <f t="shared" si="3"/>
        <v>5.49</v>
      </c>
      <c r="AG11" s="1618">
        <f t="shared" si="3"/>
        <v>5.49</v>
      </c>
      <c r="AH11" s="1618">
        <f t="shared" si="3"/>
        <v>5.49</v>
      </c>
      <c r="AI11" s="1618">
        <f t="shared" si="3"/>
        <v>5.49</v>
      </c>
      <c r="AJ11" s="1618">
        <f t="shared" si="3"/>
        <v>5.49</v>
      </c>
    </row>
    <row r="12" spans="1:36" ht="25.5" thickBot="1">
      <c r="A12" s="3318" t="s">
        <v>2869</v>
      </c>
      <c r="B12" s="2763" t="s">
        <v>2870</v>
      </c>
      <c r="C12" s="919">
        <f>ROUND(C15*D15*E15*F15*G15*H15*I15*J15,4)</f>
        <v>1</v>
      </c>
      <c r="D12" s="2764" t="s">
        <v>2871</v>
      </c>
      <c r="E12" s="2765"/>
      <c r="F12" s="2765"/>
      <c r="G12" s="2766"/>
      <c r="H12" s="2766"/>
      <c r="I12" s="2766"/>
      <c r="J12" s="2767"/>
      <c r="K12" s="1373"/>
      <c r="L12" s="2768"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3"/>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0"/>
      <c r="B13" s="2769" t="s">
        <v>2874</v>
      </c>
      <c r="C13" s="2770" t="s">
        <v>2875</v>
      </c>
      <c r="D13" s="1811" t="s">
        <v>2876</v>
      </c>
      <c r="E13" s="1811" t="s">
        <v>2877</v>
      </c>
      <c r="F13" s="30" t="s">
        <v>2878</v>
      </c>
      <c r="G13" s="2771" t="s">
        <v>2879</v>
      </c>
      <c r="H13" s="2771" t="s">
        <v>2879</v>
      </c>
      <c r="I13" s="2771" t="s">
        <v>2879</v>
      </c>
      <c r="J13" s="2772" t="s">
        <v>2879</v>
      </c>
      <c r="K13" s="1373"/>
      <c r="L13" s="1373"/>
      <c r="M13" s="1373"/>
      <c r="N13" s="1373"/>
      <c r="O13" s="1373"/>
      <c r="P13" s="1373"/>
      <c r="Q13" s="1373"/>
      <c r="R13" s="1605">
        <v>12</v>
      </c>
      <c r="S13" s="1606"/>
      <c r="T13" s="1605" t="e">
        <f t="shared" si="0"/>
        <v>#DIV/0!</v>
      </c>
      <c r="U13" s="1606"/>
      <c r="V13" s="1605" t="e">
        <f t="shared" si="1"/>
        <v>#DIV/0!</v>
      </c>
      <c r="W13" s="3313"/>
      <c r="X13" s="1619"/>
      <c r="Y13" s="1616">
        <f>(-0.163*(Y12^2)-0.59*Y12+7617)*(10^(-4))/Y11</f>
        <v>0.1387431693989071</v>
      </c>
      <c r="Z13" s="1616">
        <f t="shared" ref="Z13:AJ13" si="5">(-0.163*(Z12^2)-0.59*Z12+7617)*(10^(-4))/Z11</f>
        <v>0.1387431693989071</v>
      </c>
      <c r="AA13" s="1616">
        <f t="shared" si="5"/>
        <v>0.1387431693989071</v>
      </c>
      <c r="AB13" s="1616">
        <f t="shared" si="5"/>
        <v>0.1387431693989071</v>
      </c>
      <c r="AC13" s="1616">
        <f t="shared" si="5"/>
        <v>0.1387431693989071</v>
      </c>
      <c r="AD13" s="1616">
        <f t="shared" si="5"/>
        <v>0.1387431693989071</v>
      </c>
      <c r="AE13" s="1616">
        <f t="shared" si="5"/>
        <v>0.1387431693989071</v>
      </c>
      <c r="AF13" s="1616">
        <f t="shared" si="5"/>
        <v>0.1387431693989071</v>
      </c>
      <c r="AG13" s="1616">
        <f t="shared" si="5"/>
        <v>0.1387431693989071</v>
      </c>
      <c r="AH13" s="1616">
        <f t="shared" si="5"/>
        <v>0.1387431693989071</v>
      </c>
      <c r="AI13" s="1616">
        <f t="shared" si="5"/>
        <v>0.1387431693989071</v>
      </c>
      <c r="AJ13" s="1616">
        <f t="shared" si="5"/>
        <v>0.1387431693989071</v>
      </c>
    </row>
    <row r="14" spans="1:36" ht="15">
      <c r="A14" s="3320"/>
      <c r="B14" s="2773"/>
      <c r="C14" s="2774"/>
      <c r="D14" s="2775"/>
      <c r="E14" s="2775"/>
      <c r="F14" s="2776"/>
      <c r="G14" s="2777" t="s">
        <v>2880</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1"/>
      <c r="B15" s="2781" t="s">
        <v>2881</v>
      </c>
      <c r="C15" s="229">
        <f>IF(C14="有",1.1,1)</f>
        <v>1</v>
      </c>
      <c r="D15" s="229">
        <f>IF(D14="有",1.1,1)</f>
        <v>1</v>
      </c>
      <c r="E15" s="229">
        <f>IF(E14="有",1.1,1)</f>
        <v>1</v>
      </c>
      <c r="F15" s="229">
        <f>IF(F14="500米范围内",1.2,IF(F14="500-1000米",1.1,1))</f>
        <v>1</v>
      </c>
      <c r="G15" s="949">
        <v>1</v>
      </c>
      <c r="H15" s="949">
        <v>1</v>
      </c>
      <c r="I15" s="949">
        <v>1</v>
      </c>
      <c r="J15" s="950">
        <v>1</v>
      </c>
      <c r="K15" s="1373"/>
      <c r="L15" s="2782" t="s">
        <v>2817</v>
      </c>
      <c r="M15" s="920" t="s">
        <v>2882</v>
      </c>
      <c r="N15" s="920" t="s">
        <v>2883</v>
      </c>
      <c r="O15" s="920" t="s">
        <v>2884</v>
      </c>
      <c r="P15" s="2783"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8" t="s">
        <v>2886</v>
      </c>
      <c r="B16" s="2750" t="s">
        <v>2887</v>
      </c>
      <c r="C16" s="1804" t="e">
        <f>ROUND(SUM(G17:J17)/C17,0)</f>
        <v>#DIV/0!</v>
      </c>
      <c r="D16" s="2784" t="s">
        <v>2888</v>
      </c>
      <c r="E16" s="2785"/>
      <c r="F16" s="2786"/>
      <c r="G16" s="2787"/>
      <c r="H16" s="2787"/>
      <c r="I16" s="2787"/>
      <c r="J16" s="2788"/>
      <c r="K16" s="1373"/>
      <c r="L16" s="2789"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9"/>
      <c r="B17" s="2790" t="s">
        <v>2890</v>
      </c>
      <c r="C17" s="924">
        <f>SUMPRODUCT((修正!A2:A5=E2)*(修正!B1:M1=G2)*(修正!B2:M5))</f>
        <v>0</v>
      </c>
      <c r="D17" s="2791"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2894</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2895</v>
      </c>
      <c r="C19" s="927" t="e">
        <f>ROUND(IF(H19="按公示增长率计算",SUMPRODUCT((地价!A3:A23=YEAR(G19)&amp;"-"&amp;ROUNDUP(MONTH(G19)/3,0))*(地价!X2:AB2=E2)*(地价!X3:AB23)),IF(H19="地价指数",M20/M19,(1+I19)^O19)),4)</f>
        <v>#DIV/0!</v>
      </c>
      <c r="D19" s="2802" t="s">
        <v>2896</v>
      </c>
      <c r="E19" s="928">
        <v>41640</v>
      </c>
      <c r="F19" s="2802" t="s">
        <v>2897</v>
      </c>
      <c r="G19" s="929">
        <f>'数据-取费表'!B2</f>
        <v>43296</v>
      </c>
      <c r="H19" s="2803" t="s">
        <v>2898</v>
      </c>
      <c r="I19" s="930" t="str">
        <f>IF(H19="季度增幅（自定义）",SUMIF(N21:N24,E2,O21:O24),"")</f>
        <v/>
      </c>
      <c r="J19" s="2800"/>
      <c r="K19" s="1380"/>
      <c r="L19" s="2804" t="s">
        <v>2899</v>
      </c>
      <c r="M19" s="1737">
        <f>ROUND(SUMIF(地价!B2:F2,E2,地价!B23:F23),0)</f>
        <v>0</v>
      </c>
      <c r="N19" s="2805"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t="e">
        <f>ROUND(POWER(1+G20,J20-I20)*(POWER(1+G20,I20)-1)/(POWER(1+G20,J20)-1),4)</f>
        <v>#DIV/0!</v>
      </c>
      <c r="D20" s="2811" t="s">
        <v>2902</v>
      </c>
      <c r="E20" s="1771">
        <f ca="1">存贷款利率!D4/100</f>
        <v>4.3499999999999997E-2</v>
      </c>
      <c r="F20" s="2811" t="s">
        <v>2893</v>
      </c>
      <c r="G20" s="937">
        <f>SUMIF(M15:P15,E2,M17:P17)</f>
        <v>0</v>
      </c>
      <c r="H20" s="2811" t="s">
        <v>2903</v>
      </c>
      <c r="I20" s="938" t="e">
        <f>SUMIF('数据-取费表'!C6:C15,E2,'数据-取费表'!F6:F15)/COUNTIF('数据-取费表'!C6:C15,E2)</f>
        <v>#DIV/0!</v>
      </c>
      <c r="J20" s="939">
        <f>IF(E2="住宅",70,IF(E2="商业",40,50))</f>
        <v>50</v>
      </c>
      <c r="K20" s="1380"/>
      <c r="L20" s="2812" t="s">
        <v>2904</v>
      </c>
      <c r="M20" s="1738">
        <f>ROUND(SUMPRODUCT((地价!A4:A23=YEAR(G19)&amp;"-"&amp;ROUNDUP(MONTH(G19)/3,0))*(地价!B2:F2=E2)*(地价!B4:F23)),0)</f>
        <v>0</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2908</v>
      </c>
      <c r="C21" s="940">
        <f>IF(B21="容积率修正",IF(G3&lt;=10,D22,J22),C23)</f>
        <v>0</v>
      </c>
      <c r="D21" s="2818"/>
      <c r="E21" s="2818"/>
      <c r="F21" s="2818"/>
      <c r="G21" s="2818"/>
      <c r="H21" s="2818"/>
      <c r="I21" s="2818"/>
      <c r="J21" s="2819"/>
      <c r="K21" s="1380"/>
      <c r="N21" s="2820" t="s">
        <v>2909</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1813" t="s">
        <v>2912</v>
      </c>
      <c r="D22" s="1813">
        <f>IF(E22=G22,F22,IF(G3&lt;=10,ROUND(F22+(H22-F22)*(G3-E22)/(G22-E22),4),"——"))</f>
        <v>0</v>
      </c>
      <c r="E22" s="916">
        <f>ROUNDDOWN(G3,1)</f>
        <v>5.4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2913</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2916</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0</v>
      </c>
      <c r="D24" s="2798"/>
      <c r="E24" s="2828"/>
      <c r="F24" s="2828"/>
      <c r="G24" s="2828"/>
      <c r="H24" s="2828"/>
      <c r="I24" s="2828"/>
      <c r="J24" s="2829"/>
      <c r="K24" s="1380"/>
      <c r="N24" s="2830" t="s">
        <v>2918</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2921</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t="e">
        <f>ROUND(C5*C18*C19*C20*C21*C24,0)</f>
        <v>#DIV/0!</v>
      </c>
      <c r="D29" s="2850"/>
      <c r="E29" s="945" t="e">
        <f>ROUND(C29*D29/10000,0)</f>
        <v>#DIV/0!</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t="e">
        <f>ROUND(IF(E2="工业",C29*M39,C29*M38),0)</f>
        <v>#DIV/0!</v>
      </c>
      <c r="D30" s="2856"/>
      <c r="E30" s="945" t="e">
        <f>ROUND(C30*D30/10000,0)</f>
        <v>#DIV/0!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28" t="s">
        <v>2935</v>
      </c>
      <c r="B33" s="2866" t="s">
        <v>2936</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9"/>
      <c r="B34" s="2770" t="s">
        <v>2937</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9"/>
      <c r="B35" s="2770" t="s">
        <v>2938</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30"/>
      <c r="B36" s="2770" t="s">
        <v>2939</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1812" t="s">
        <v>2948</v>
      </c>
      <c r="C47" s="1812" t="s">
        <v>2949</v>
      </c>
      <c r="D47" s="1812" t="s">
        <v>2950</v>
      </c>
      <c r="E47" s="819" t="s">
        <v>2951</v>
      </c>
      <c r="F47" s="2884" t="s">
        <v>2952</v>
      </c>
      <c r="G47" s="1812" t="s">
        <v>754</v>
      </c>
      <c r="H47" s="2885"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2958</v>
      </c>
      <c r="B51" s="2888" t="s">
        <v>2959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2961</v>
      </c>
      <c r="B53" s="2889" t="s">
        <v>2962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1812"/>
      <c r="C58" s="1812" t="s">
        <v>2949</v>
      </c>
      <c r="D58" s="1812" t="s">
        <v>2950</v>
      </c>
      <c r="E58" s="819" t="s">
        <v>2951</v>
      </c>
      <c r="F58" s="2884" t="s">
        <v>2967</v>
      </c>
      <c r="G58" s="1812" t="s">
        <v>754</v>
      </c>
      <c r="H58" s="2885"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2958</v>
      </c>
      <c r="B62" s="2888" t="s">
        <v>2959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2961</v>
      </c>
      <c r="B64" s="2889" t="s">
        <v>2962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1812"/>
      <c r="C69" s="1812" t="s">
        <v>2949</v>
      </c>
      <c r="D69" s="1812" t="s">
        <v>2950</v>
      </c>
      <c r="E69" s="819" t="s">
        <v>2951</v>
      </c>
      <c r="F69" s="2884" t="s">
        <v>2967</v>
      </c>
      <c r="G69" s="1812" t="s">
        <v>754</v>
      </c>
      <c r="H69" s="2885"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1812"/>
      <c r="C80" s="1812" t="s">
        <v>2949</v>
      </c>
      <c r="D80" s="1812" t="s">
        <v>2950</v>
      </c>
      <c r="E80" s="819" t="s">
        <v>2951</v>
      </c>
      <c r="F80" s="2884" t="s">
        <v>2967</v>
      </c>
      <c r="G80" s="1812" t="s">
        <v>754</v>
      </c>
      <c r="H80" s="2885" t="s">
        <v>2953</v>
      </c>
      <c r="I80" s="181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2957</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2971</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2963</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2964</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2961</v>
      </c>
      <c r="B87" s="2889" t="s">
        <v>2975</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22" t="s">
        <v>2977</v>
      </c>
      <c r="B90" s="3322"/>
      <c r="C90" s="3322"/>
      <c r="D90" s="3322"/>
      <c r="E90" s="3322"/>
      <c r="F90" s="3322"/>
      <c r="G90" s="3322"/>
      <c r="H90" s="3322"/>
      <c r="I90" s="3322"/>
      <c r="J90" s="3322"/>
      <c r="K90" s="2897"/>
      <c r="L90" s="2897"/>
      <c r="M90" s="2897"/>
      <c r="N90" s="2897"/>
    </row>
    <row r="91" spans="1:37">
      <c r="A91" s="3324" t="s">
        <v>2978</v>
      </c>
      <c r="B91" s="3324" t="s">
        <v>2979</v>
      </c>
      <c r="C91" s="2851" t="s">
        <v>2980</v>
      </c>
      <c r="D91" s="2852"/>
      <c r="E91" s="2852"/>
      <c r="F91" s="2852"/>
      <c r="G91" s="2852"/>
      <c r="H91" s="2852"/>
      <c r="I91" s="2852"/>
      <c r="J91" s="2898"/>
      <c r="K91" s="2899"/>
      <c r="L91" s="2899"/>
      <c r="M91" s="2899"/>
      <c r="N91" s="2899"/>
    </row>
    <row r="92" spans="1:37">
      <c r="A92" s="3324"/>
      <c r="B92" s="3324"/>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25"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2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2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2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2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2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26"/>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2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25" t="s">
        <v>2982</v>
      </c>
      <c r="B101" s="2904" t="s">
        <v>2983</v>
      </c>
      <c r="C101" s="2905">
        <f>$G$3</f>
        <v>5.49</v>
      </c>
      <c r="D101" s="2905">
        <f t="shared" ref="D101:N101" si="31">$G$3</f>
        <v>5.49</v>
      </c>
      <c r="E101" s="2905">
        <f t="shared" si="31"/>
        <v>5.49</v>
      </c>
      <c r="F101" s="2905">
        <f t="shared" si="31"/>
        <v>5.49</v>
      </c>
      <c r="G101" s="2905">
        <f t="shared" si="31"/>
        <v>5.49</v>
      </c>
      <c r="H101" s="2905">
        <f t="shared" si="31"/>
        <v>5.49</v>
      </c>
      <c r="I101" s="2905">
        <f t="shared" si="31"/>
        <v>5.49</v>
      </c>
      <c r="J101" s="2905">
        <f t="shared" si="31"/>
        <v>5.49</v>
      </c>
      <c r="K101" s="2905">
        <f t="shared" si="31"/>
        <v>5.49</v>
      </c>
      <c r="L101" s="2905">
        <f t="shared" si="31"/>
        <v>5.49</v>
      </c>
      <c r="M101" s="2905">
        <f t="shared" si="31"/>
        <v>5.49</v>
      </c>
      <c r="N101" s="2905">
        <f t="shared" si="31"/>
        <v>5.49</v>
      </c>
    </row>
    <row r="102" spans="1:14">
      <c r="A102" s="3326"/>
      <c r="B102" s="2900">
        <v>1</v>
      </c>
      <c r="C102" s="2901">
        <f>1.9362/C101</f>
        <v>0.35267759562841527</v>
      </c>
      <c r="D102" s="2901">
        <f>1.9362/D101</f>
        <v>0.35267759562841527</v>
      </c>
      <c r="E102" s="2901">
        <f>1.8629/E101</f>
        <v>0.3393260473588342</v>
      </c>
      <c r="F102" s="2901">
        <f>1.8629/F101</f>
        <v>0.3393260473588342</v>
      </c>
      <c r="G102" s="2901">
        <f>1.8629/G101</f>
        <v>0.3393260473588342</v>
      </c>
      <c r="H102" s="2901">
        <f>1.8629/H101</f>
        <v>0.3393260473588342</v>
      </c>
      <c r="I102" s="2901">
        <f>1.8629/I101</f>
        <v>0.3393260473588342</v>
      </c>
      <c r="J102" s="2901">
        <f>1.942/J101</f>
        <v>0.35373406193078322</v>
      </c>
      <c r="K102" s="2901">
        <f>1.942/K101</f>
        <v>0.35373406193078322</v>
      </c>
      <c r="L102" s="2901">
        <f>1.942/L101</f>
        <v>0.35373406193078322</v>
      </c>
      <c r="M102" s="2901">
        <f>1.942/M101</f>
        <v>0.35373406193078322</v>
      </c>
      <c r="N102" s="2901">
        <f>1.942/N101</f>
        <v>0.35373406193078322</v>
      </c>
    </row>
    <row r="103" spans="1:14">
      <c r="A103" s="3326"/>
      <c r="B103" s="2900">
        <v>2</v>
      </c>
      <c r="C103" s="2901">
        <f>1.4198/C101</f>
        <v>0.25861566484517301</v>
      </c>
      <c r="D103" s="2901">
        <f>1.4198/D101</f>
        <v>0.25861566484517301</v>
      </c>
      <c r="E103" s="2901">
        <f>1.3372/E101</f>
        <v>0.2435701275045537</v>
      </c>
      <c r="F103" s="2901">
        <f>1.3372/F101</f>
        <v>0.2435701275045537</v>
      </c>
      <c r="G103" s="2901">
        <f>1.3372/G101</f>
        <v>0.2435701275045537</v>
      </c>
      <c r="H103" s="2901">
        <f>1.3372/H101</f>
        <v>0.2435701275045537</v>
      </c>
      <c r="I103" s="2901">
        <f>1.3372/I101</f>
        <v>0.2435701275045537</v>
      </c>
      <c r="J103" s="2901">
        <f>1.2799/J101</f>
        <v>0.23313296903460837</v>
      </c>
      <c r="K103" s="2901">
        <f>1.2799/K101</f>
        <v>0.23313296903460837</v>
      </c>
      <c r="L103" s="2901">
        <f>1.2799/L101</f>
        <v>0.23313296903460837</v>
      </c>
      <c r="M103" s="2901">
        <f>1.2799/M101</f>
        <v>0.23313296903460837</v>
      </c>
      <c r="N103" s="2901">
        <f>1.2799/N101</f>
        <v>0.23313296903460837</v>
      </c>
    </row>
    <row r="104" spans="1:14">
      <c r="A104" s="3326"/>
      <c r="B104" s="2900">
        <v>3</v>
      </c>
      <c r="C104" s="2901">
        <f>1.1594/C101</f>
        <v>0.21118397085610199</v>
      </c>
      <c r="D104" s="2901">
        <f>1.1594/D101</f>
        <v>0.21118397085610199</v>
      </c>
      <c r="E104" s="2901">
        <f>1.0788/E101</f>
        <v>0.19650273224043716</v>
      </c>
      <c r="F104" s="2901">
        <f>1.0788/F101</f>
        <v>0.19650273224043716</v>
      </c>
      <c r="G104" s="2901">
        <f>1.0788/G101</f>
        <v>0.19650273224043716</v>
      </c>
      <c r="H104" s="2901">
        <f>1.0788/H101</f>
        <v>0.19650273224043716</v>
      </c>
      <c r="I104" s="2901">
        <f>1.0788/I101</f>
        <v>0.19650273224043716</v>
      </c>
      <c r="J104" s="2901">
        <f>1.0072/J101</f>
        <v>0.18346083788706741</v>
      </c>
      <c r="K104" s="2901">
        <f>1.0072/K101</f>
        <v>0.18346083788706741</v>
      </c>
      <c r="L104" s="2901">
        <f>1.0072/L101</f>
        <v>0.18346083788706741</v>
      </c>
      <c r="M104" s="2901">
        <f>1.0072/M101</f>
        <v>0.18346083788706741</v>
      </c>
      <c r="N104" s="2901">
        <f>1.0072/N101</f>
        <v>0.18346083788706741</v>
      </c>
    </row>
    <row r="105" spans="1:14">
      <c r="A105" s="3326"/>
      <c r="B105" s="2900">
        <v>4</v>
      </c>
      <c r="C105" s="2901">
        <f>0.9622/C101</f>
        <v>0.17526411657559199</v>
      </c>
      <c r="D105" s="2901">
        <f>0.9622/D101</f>
        <v>0.17526411657559199</v>
      </c>
      <c r="E105" s="2901">
        <f>0.8656/E101</f>
        <v>0.15766848816029144</v>
      </c>
      <c r="F105" s="2901">
        <f>0.8656/F101</f>
        <v>0.15766848816029144</v>
      </c>
      <c r="G105" s="2901">
        <f>0.8656/G101</f>
        <v>0.15766848816029144</v>
      </c>
      <c r="H105" s="2901">
        <f>0.8656/H101</f>
        <v>0.15766848816029144</v>
      </c>
      <c r="I105" s="2901">
        <f>0.8656/I101</f>
        <v>0.15766848816029144</v>
      </c>
      <c r="J105" s="2901">
        <f>0.7525/J101</f>
        <v>0.13706739526411657</v>
      </c>
      <c r="K105" s="2901">
        <f>0.7525/K101</f>
        <v>0.13706739526411657</v>
      </c>
      <c r="L105" s="2901">
        <f>0.7525/L101</f>
        <v>0.13706739526411657</v>
      </c>
      <c r="M105" s="2901">
        <f>0.7525/M101</f>
        <v>0.13706739526411657</v>
      </c>
      <c r="N105" s="2901">
        <f>0.7525/N101</f>
        <v>0.13706739526411657</v>
      </c>
    </row>
    <row r="106" spans="1:14">
      <c r="A106" s="3326"/>
      <c r="B106" s="2900">
        <v>5</v>
      </c>
      <c r="C106" s="2901">
        <f>0.8417/C101</f>
        <v>0.15331511839708561</v>
      </c>
      <c r="D106" s="2901">
        <f>0.8417/D101</f>
        <v>0.15331511839708561</v>
      </c>
      <c r="E106" s="2901">
        <f>0.7371/E101</f>
        <v>0.13426229508196721</v>
      </c>
      <c r="F106" s="2901">
        <f>0.7371/F101</f>
        <v>0.13426229508196721</v>
      </c>
      <c r="G106" s="2901">
        <f>0.7371/G101</f>
        <v>0.13426229508196721</v>
      </c>
      <c r="H106" s="2901">
        <f>0.7371/H101</f>
        <v>0.13426229508196721</v>
      </c>
      <c r="I106" s="2901">
        <f>0.7371/I101</f>
        <v>0.13426229508196721</v>
      </c>
      <c r="J106" s="2901">
        <f>0.5659/J101</f>
        <v>0.1030783242258652</v>
      </c>
      <c r="K106" s="2901">
        <f>0.5659/K101</f>
        <v>0.1030783242258652</v>
      </c>
      <c r="L106" s="2901">
        <f>0.5659/L101</f>
        <v>0.1030783242258652</v>
      </c>
      <c r="M106" s="2901">
        <f>0.5659/M101</f>
        <v>0.1030783242258652</v>
      </c>
      <c r="N106" s="2901">
        <f>0.5659/N101</f>
        <v>0.1030783242258652</v>
      </c>
    </row>
    <row r="107" spans="1:14">
      <c r="A107" s="3326"/>
      <c r="B107" s="2900">
        <v>6</v>
      </c>
      <c r="C107" s="2901">
        <f>0.7608/C101</f>
        <v>0.1385792349726776</v>
      </c>
      <c r="D107" s="2901">
        <f>0.7608/D101</f>
        <v>0.1385792349726776</v>
      </c>
      <c r="E107" s="2901">
        <f>0.6482/E101</f>
        <v>0.11806921675774135</v>
      </c>
      <c r="F107" s="2901">
        <f>0.6482/F101</f>
        <v>0.11806921675774135</v>
      </c>
      <c r="G107" s="2901">
        <f>0.6482/G101</f>
        <v>0.11806921675774135</v>
      </c>
      <c r="H107" s="2901">
        <f>0.6482/H101</f>
        <v>0.11806921675774135</v>
      </c>
      <c r="I107" s="2901">
        <f>0.6482/I101</f>
        <v>0.11806921675774135</v>
      </c>
      <c r="J107" s="2901">
        <f>0.4525/J101</f>
        <v>8.242258652094718E-2</v>
      </c>
      <c r="K107" s="2901">
        <f>0.4525/K101</f>
        <v>8.242258652094718E-2</v>
      </c>
      <c r="L107" s="2901">
        <f>0.4525/L101</f>
        <v>8.242258652094718E-2</v>
      </c>
      <c r="M107" s="2901">
        <f>0.4525/M101</f>
        <v>8.242258652094718E-2</v>
      </c>
      <c r="N107" s="2901">
        <f>0.4525/N101</f>
        <v>8.242258652094718E-2</v>
      </c>
    </row>
    <row r="108" spans="1:14">
      <c r="A108" s="3326"/>
      <c r="B108" s="3184" t="s">
        <v>2984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27"/>
      <c r="B109" s="3185"/>
      <c r="C109" s="2903">
        <f>(-0.163*(C108^2)-0.59*C108+7617)*(10^(-4))/C101</f>
        <v>0.1387431693989071</v>
      </c>
      <c r="D109" s="2903">
        <f>(-0.163*(D108^2)-0.59*D108+7617)*(10^(-4))/D101</f>
        <v>0.1387431693989071</v>
      </c>
      <c r="E109" s="2903">
        <f>(-0.161*(E108^2)-7.509*E108+6533)*(10^(-4))/E101</f>
        <v>0.11899817850637522</v>
      </c>
      <c r="F109" s="2903">
        <f>(-0.161*(F108^2)-7.509*F108+6533)*(10^(-4))/F101</f>
        <v>0.11899817850637522</v>
      </c>
      <c r="G109" s="2903">
        <f>(-0.161*(G108^2)-7.509*G108+6533)*(10^(-4))/G101</f>
        <v>0.11899817850637522</v>
      </c>
      <c r="H109" s="2903">
        <f>(-0.161*(H108^2)-7.509*H108+6533)*(10^(-4))/H101</f>
        <v>0.11899817850637522</v>
      </c>
      <c r="I109" s="2903">
        <f>(-0.161*(I108^2)-7.509*I108+6533)*(10^(-4))/I101</f>
        <v>0.11899817850637522</v>
      </c>
      <c r="J109" s="2903">
        <f>(-0.214*(J108^2)-21.991*J108+4665)*(10^(-4))/J101</f>
        <v>8.4972677595628418E-2</v>
      </c>
      <c r="K109" s="2903">
        <f>(-0.214*(K108^2)-21.991*K108+4665)*(10^(-4))/K101</f>
        <v>8.4972677595628418E-2</v>
      </c>
      <c r="L109" s="2903">
        <f>(-0.214*(L108^2)-21.991*L108+4665)*(10^(-4))/L101</f>
        <v>8.4972677595628418E-2</v>
      </c>
      <c r="M109" s="2903">
        <f>(-0.214*(M108^2)-21.991*M108+4665)*(10^(-4))/M101</f>
        <v>8.4972677595628418E-2</v>
      </c>
      <c r="N109" s="2903">
        <f>(-0.214*(N108^2)-21.991*N108+4665)*(10^(-4))/N101</f>
        <v>8.4972677595628418E-2</v>
      </c>
    </row>
    <row r="110" spans="1:14">
      <c r="A110" s="3323" t="s">
        <v>2985</v>
      </c>
      <c r="B110" s="3323"/>
      <c r="C110" s="3323"/>
      <c r="D110" s="3323"/>
      <c r="E110" s="3323"/>
      <c r="F110" s="3323"/>
      <c r="G110" s="3323"/>
      <c r="H110" s="3323"/>
      <c r="I110" s="3323"/>
      <c r="J110" s="3323"/>
      <c r="K110" s="2906"/>
      <c r="L110" s="2906"/>
      <c r="M110" s="2906"/>
      <c r="N110" s="2906"/>
    </row>
    <row r="112" spans="1:14" ht="13.5" thickBot="1"/>
    <row r="113" spans="1:13" ht="25.5" thickBot="1">
      <c r="A113" s="903" t="s">
        <v>2986</v>
      </c>
      <c r="B113" s="1290">
        <f>G3</f>
        <v>5.49</v>
      </c>
      <c r="C113" s="904" t="s">
        <v>2987</v>
      </c>
      <c r="D113" s="905">
        <f>SUMPRODUCT((A115:A118=F113)*(B114:M114=H113)*B115:M118)</f>
        <v>0</v>
      </c>
      <c r="E113" s="2729" t="s">
        <v>2817</v>
      </c>
      <c r="F113" s="2908">
        <f>E2</f>
        <v>0</v>
      </c>
      <c r="G113" s="2729" t="s">
        <v>2818</v>
      </c>
      <c r="H113" s="2908">
        <f>G2</f>
        <v>0</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2882</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2883</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2884</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2885</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1" t="s">
        <v>183</v>
      </c>
      <c r="B18" s="882" t="s">
        <v>560</v>
      </c>
      <c r="C18" s="883" t="s">
        <v>561</v>
      </c>
      <c r="D18" s="884"/>
      <c r="E18" s="882">
        <v>1</v>
      </c>
      <c r="F18" s="885" t="s">
        <v>562</v>
      </c>
      <c r="G18" s="886"/>
      <c r="H18" s="878"/>
      <c r="I18" s="878"/>
    </row>
    <row r="19" spans="1:9" s="887" customFormat="1" ht="19.5" customHeight="1">
      <c r="A19" s="3331"/>
      <c r="B19" s="3331" t="s">
        <v>563</v>
      </c>
      <c r="C19" s="883" t="s">
        <v>564</v>
      </c>
      <c r="D19" s="884"/>
      <c r="E19" s="882">
        <v>0.9</v>
      </c>
      <c r="F19" s="885" t="s">
        <v>565</v>
      </c>
      <c r="G19" s="886"/>
      <c r="H19" s="878"/>
      <c r="I19" s="878"/>
    </row>
    <row r="20" spans="1:9" s="887" customFormat="1" ht="19.5" customHeight="1">
      <c r="A20" s="3331"/>
      <c r="B20" s="3331"/>
      <c r="C20" s="883" t="s">
        <v>566</v>
      </c>
      <c r="D20" s="884"/>
      <c r="E20" s="882">
        <v>1.1000000000000001</v>
      </c>
      <c r="F20" s="885" t="s">
        <v>567</v>
      </c>
      <c r="G20" s="886"/>
      <c r="H20" s="878"/>
      <c r="I20" s="878"/>
    </row>
    <row r="21" spans="1:9" s="887" customFormat="1" ht="19.5" customHeight="1">
      <c r="A21" s="3331"/>
      <c r="B21" s="3331"/>
      <c r="C21" s="883" t="s">
        <v>568</v>
      </c>
      <c r="D21" s="884"/>
      <c r="E21" s="882">
        <v>0.8</v>
      </c>
      <c r="F21" s="885" t="s">
        <v>569</v>
      </c>
      <c r="G21" s="886"/>
      <c r="H21" s="878"/>
      <c r="I21" s="878"/>
    </row>
    <row r="22" spans="1:9" s="887" customFormat="1" ht="19.5" customHeight="1">
      <c r="A22" s="3331"/>
      <c r="B22" s="3331"/>
      <c r="C22" s="883" t="s">
        <v>570</v>
      </c>
      <c r="D22" s="884"/>
      <c r="E22" s="882">
        <v>0.5</v>
      </c>
      <c r="F22" s="885"/>
      <c r="G22" s="886"/>
      <c r="H22" s="878"/>
      <c r="I22" s="878"/>
    </row>
    <row r="23" spans="1:9" s="887" customFormat="1" ht="19.5" customHeight="1">
      <c r="A23" s="3331" t="s">
        <v>184</v>
      </c>
      <c r="B23" s="882" t="s">
        <v>560</v>
      </c>
      <c r="C23" s="883" t="s">
        <v>571</v>
      </c>
      <c r="D23" s="884"/>
      <c r="E23" s="882">
        <v>1</v>
      </c>
      <c r="F23" s="885" t="s">
        <v>572</v>
      </c>
      <c r="G23" s="886"/>
      <c r="H23" s="878"/>
      <c r="I23" s="878"/>
    </row>
    <row r="24" spans="1:9" s="887" customFormat="1" ht="19.5" customHeight="1">
      <c r="A24" s="3331"/>
      <c r="B24" s="3331" t="s">
        <v>563</v>
      </c>
      <c r="C24" s="883" t="s">
        <v>573</v>
      </c>
      <c r="D24" s="884"/>
      <c r="E24" s="882">
        <v>0.5</v>
      </c>
      <c r="F24" s="885"/>
      <c r="G24" s="886"/>
      <c r="H24" s="878"/>
      <c r="I24" s="878"/>
    </row>
    <row r="25" spans="1:9" s="887" customFormat="1" ht="19.5" customHeight="1">
      <c r="A25" s="3331"/>
      <c r="B25" s="3331"/>
      <c r="C25" s="883" t="s">
        <v>574</v>
      </c>
      <c r="D25" s="884"/>
      <c r="E25" s="882">
        <v>1.1000000000000001</v>
      </c>
      <c r="F25" s="885"/>
      <c r="G25" s="886"/>
      <c r="H25" s="878"/>
      <c r="I25" s="878"/>
    </row>
    <row r="26" spans="1:9" s="887" customFormat="1" ht="19.5" customHeight="1">
      <c r="A26" s="3331"/>
      <c r="B26" s="3331"/>
      <c r="C26" s="883" t="s">
        <v>575</v>
      </c>
      <c r="D26" s="884"/>
      <c r="E26" s="882">
        <v>1.1000000000000001</v>
      </c>
      <c r="F26" s="885"/>
      <c r="G26" s="886"/>
      <c r="H26" s="878"/>
      <c r="I26" s="878"/>
    </row>
    <row r="27" spans="1:9" s="887" customFormat="1" ht="19.5" customHeight="1">
      <c r="A27" s="3331"/>
      <c r="B27" s="3331"/>
      <c r="C27" s="883" t="s">
        <v>576</v>
      </c>
      <c r="D27" s="884"/>
      <c r="E27" s="882">
        <v>0.9</v>
      </c>
      <c r="F27" s="885" t="s">
        <v>577</v>
      </c>
      <c r="G27" s="886"/>
      <c r="H27" s="878"/>
      <c r="I27" s="878"/>
    </row>
    <row r="28" spans="1:9" s="887" customFormat="1" ht="19.5" customHeight="1">
      <c r="A28" s="3331"/>
      <c r="B28" s="3331"/>
      <c r="C28" s="883" t="s">
        <v>578</v>
      </c>
      <c r="D28" s="884"/>
      <c r="E28" s="882">
        <v>0.9</v>
      </c>
      <c r="F28" s="885" t="s">
        <v>579</v>
      </c>
      <c r="G28" s="886"/>
      <c r="H28" s="878"/>
      <c r="I28" s="878"/>
    </row>
    <row r="29" spans="1:9" s="887" customFormat="1" ht="19.5" customHeight="1">
      <c r="A29" s="3331"/>
      <c r="B29" s="3331"/>
      <c r="C29" s="883" t="s">
        <v>580</v>
      </c>
      <c r="D29" s="884"/>
      <c r="E29" s="882">
        <v>0.9</v>
      </c>
      <c r="F29" s="885" t="s">
        <v>581</v>
      </c>
      <c r="G29" s="886"/>
      <c r="H29" s="878"/>
      <c r="I29" s="878"/>
    </row>
    <row r="30" spans="1:9" s="887" customFormat="1" ht="19.5" customHeight="1">
      <c r="A30" s="3331"/>
      <c r="B30" s="3331"/>
      <c r="C30" s="883" t="s">
        <v>582</v>
      </c>
      <c r="D30" s="884"/>
      <c r="E30" s="882">
        <v>0.9</v>
      </c>
      <c r="F30" s="885" t="s">
        <v>583</v>
      </c>
      <c r="G30" s="886"/>
      <c r="H30" s="878"/>
      <c r="I30" s="878"/>
    </row>
    <row r="31" spans="1:9" s="887" customFormat="1" ht="19.5" customHeight="1">
      <c r="A31" s="3331"/>
      <c r="B31" s="3331"/>
      <c r="C31" s="883" t="s">
        <v>584</v>
      </c>
      <c r="D31" s="884"/>
      <c r="E31" s="882">
        <v>0.8</v>
      </c>
      <c r="F31" s="885" t="s">
        <v>585</v>
      </c>
      <c r="G31" s="886"/>
      <c r="H31" s="878"/>
      <c r="I31" s="878"/>
    </row>
    <row r="32" spans="1:9" s="887" customFormat="1" ht="19.5" customHeight="1">
      <c r="A32" s="3331"/>
      <c r="B32" s="3331"/>
      <c r="C32" s="883" t="s">
        <v>586</v>
      </c>
      <c r="D32" s="884"/>
      <c r="E32" s="882">
        <v>0.8</v>
      </c>
      <c r="F32" s="885" t="s">
        <v>587</v>
      </c>
      <c r="G32" s="886"/>
      <c r="H32" s="878"/>
      <c r="I32" s="878"/>
    </row>
    <row r="33" spans="1:9" s="887" customFormat="1" ht="19.5" customHeight="1">
      <c r="A33" s="3331" t="s">
        <v>185</v>
      </c>
      <c r="B33" s="882" t="s">
        <v>560</v>
      </c>
      <c r="C33" s="883" t="s">
        <v>588</v>
      </c>
      <c r="D33" s="884"/>
      <c r="E33" s="882">
        <v>1</v>
      </c>
      <c r="F33" s="885" t="s">
        <v>589</v>
      </c>
      <c r="G33" s="886"/>
      <c r="H33" s="878"/>
      <c r="I33" s="878"/>
    </row>
    <row r="34" spans="1:9" s="887" customFormat="1" ht="19.5" customHeight="1">
      <c r="A34" s="3331"/>
      <c r="B34" s="882" t="s">
        <v>563</v>
      </c>
      <c r="C34" s="883" t="s">
        <v>590</v>
      </c>
      <c r="D34" s="884"/>
      <c r="E34" s="882">
        <v>1.5</v>
      </c>
      <c r="F34" s="885" t="s">
        <v>591</v>
      </c>
      <c r="G34" s="886"/>
      <c r="H34" s="878"/>
      <c r="I34" s="878"/>
    </row>
    <row r="35" spans="1:9" s="887" customFormat="1" ht="19.5" customHeight="1">
      <c r="A35" s="3331" t="s">
        <v>186</v>
      </c>
      <c r="B35" s="882" t="s">
        <v>560</v>
      </c>
      <c r="C35" s="883" t="s">
        <v>592</v>
      </c>
      <c r="D35" s="884"/>
      <c r="E35" s="882">
        <v>1</v>
      </c>
      <c r="F35" s="885" t="s">
        <v>593</v>
      </c>
      <c r="G35" s="886"/>
      <c r="H35" s="878"/>
      <c r="I35" s="878"/>
    </row>
    <row r="36" spans="1:9" s="887" customFormat="1" ht="19.5" customHeight="1">
      <c r="A36" s="3331"/>
      <c r="B36" s="3331" t="s">
        <v>563</v>
      </c>
      <c r="C36" s="883" t="s">
        <v>594</v>
      </c>
      <c r="D36" s="884"/>
      <c r="E36" s="882">
        <v>1</v>
      </c>
      <c r="F36" s="885" t="s">
        <v>595</v>
      </c>
      <c r="G36" s="886"/>
      <c r="H36" s="878"/>
      <c r="I36" s="878"/>
    </row>
    <row r="37" spans="1:9" s="887" customFormat="1" ht="19.5" customHeight="1">
      <c r="A37" s="3331"/>
      <c r="B37" s="3331"/>
      <c r="C37" s="883" t="s">
        <v>596</v>
      </c>
      <c r="D37" s="884"/>
      <c r="E37" s="882">
        <v>1.5</v>
      </c>
      <c r="F37" s="885" t="s">
        <v>597</v>
      </c>
      <c r="G37" s="886"/>
      <c r="H37" s="878"/>
      <c r="I37" s="878"/>
    </row>
    <row r="38" spans="1:9" s="887" customFormat="1" ht="19.5" customHeight="1">
      <c r="A38" s="3331"/>
      <c r="B38" s="3331"/>
      <c r="C38" s="883" t="s">
        <v>598</v>
      </c>
      <c r="D38" s="884"/>
      <c r="E38" s="882">
        <v>1</v>
      </c>
      <c r="F38" s="885" t="s">
        <v>599</v>
      </c>
      <c r="G38" s="886"/>
      <c r="H38" s="878"/>
      <c r="I38" s="878"/>
    </row>
    <row r="39" spans="1:9" s="887" customFormat="1" ht="19.5" customHeight="1">
      <c r="A39" s="3331"/>
      <c r="B39" s="33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1" t="s">
        <v>614</v>
      </c>
      <c r="C61" s="818" t="s">
        <v>615</v>
      </c>
      <c r="D61" s="818" t="s">
        <v>616</v>
      </c>
      <c r="E61" s="895">
        <v>0.5</v>
      </c>
      <c r="F61" s="882">
        <v>80</v>
      </c>
    </row>
    <row r="62" spans="1:8" s="878" customFormat="1" ht="24">
      <c r="A62" s="882">
        <v>2</v>
      </c>
      <c r="B62" s="3331"/>
      <c r="C62" s="818" t="s">
        <v>617</v>
      </c>
      <c r="D62" s="818" t="s">
        <v>618</v>
      </c>
      <c r="E62" s="895">
        <v>0.5</v>
      </c>
      <c r="F62" s="882">
        <v>80</v>
      </c>
    </row>
    <row r="63" spans="1:8" s="878" customFormat="1" ht="36">
      <c r="A63" s="882">
        <v>3</v>
      </c>
      <c r="B63" s="3331"/>
      <c r="C63" s="818" t="s">
        <v>619</v>
      </c>
      <c r="D63" s="818" t="s">
        <v>620</v>
      </c>
      <c r="E63" s="895">
        <v>0.5</v>
      </c>
      <c r="F63" s="882">
        <v>80</v>
      </c>
    </row>
    <row r="64" spans="1:8" s="878" customFormat="1" ht="36">
      <c r="A64" s="882">
        <v>4</v>
      </c>
      <c r="B64" s="3331"/>
      <c r="C64" s="818" t="s">
        <v>621</v>
      </c>
      <c r="D64" s="818" t="s">
        <v>622</v>
      </c>
      <c r="E64" s="895">
        <v>0.4</v>
      </c>
      <c r="F64" s="882">
        <v>60</v>
      </c>
    </row>
    <row r="65" spans="1:6" s="878" customFormat="1" ht="36">
      <c r="A65" s="882">
        <v>5</v>
      </c>
      <c r="B65" s="3331"/>
      <c r="C65" s="818" t="s">
        <v>623</v>
      </c>
      <c r="D65" s="818" t="s">
        <v>624</v>
      </c>
      <c r="E65" s="895">
        <v>0.2</v>
      </c>
      <c r="F65" s="882">
        <v>30</v>
      </c>
    </row>
    <row r="66" spans="1:6" s="878" customFormat="1" ht="36">
      <c r="A66" s="882">
        <v>6</v>
      </c>
      <c r="B66" s="3331"/>
      <c r="C66" s="818" t="s">
        <v>625</v>
      </c>
      <c r="D66" s="818" t="s">
        <v>626</v>
      </c>
      <c r="E66" s="895">
        <v>0.3</v>
      </c>
      <c r="F66" s="882">
        <v>50</v>
      </c>
    </row>
    <row r="67" spans="1:6" s="878" customFormat="1" ht="36">
      <c r="A67" s="882">
        <v>7</v>
      </c>
      <c r="B67" s="3331"/>
      <c r="C67" s="818" t="s">
        <v>627</v>
      </c>
      <c r="D67" s="818" t="s">
        <v>628</v>
      </c>
      <c r="E67" s="895">
        <v>0.2</v>
      </c>
      <c r="F67" s="882">
        <v>30</v>
      </c>
    </row>
    <row r="68" spans="1:6" s="878" customFormat="1" ht="36">
      <c r="A68" s="882">
        <v>8</v>
      </c>
      <c r="B68" s="3331"/>
      <c r="C68" s="818" t="s">
        <v>629</v>
      </c>
      <c r="D68" s="818" t="s">
        <v>630</v>
      </c>
      <c r="E68" s="895">
        <v>0.2</v>
      </c>
      <c r="F68" s="882">
        <v>30</v>
      </c>
    </row>
    <row r="69" spans="1:6" s="878" customFormat="1" ht="36">
      <c r="A69" s="882">
        <v>9</v>
      </c>
      <c r="B69" s="3331"/>
      <c r="C69" s="818" t="s">
        <v>631</v>
      </c>
      <c r="D69" s="818" t="s">
        <v>632</v>
      </c>
      <c r="E69" s="895">
        <v>0.2</v>
      </c>
      <c r="F69" s="882">
        <v>30</v>
      </c>
    </row>
    <row r="70" spans="1:6" s="878" customFormat="1" ht="48">
      <c r="A70" s="882">
        <v>10</v>
      </c>
      <c r="B70" s="3331"/>
      <c r="C70" s="818" t="s">
        <v>633</v>
      </c>
      <c r="D70" s="818" t="s">
        <v>634</v>
      </c>
      <c r="E70" s="895">
        <v>0.2</v>
      </c>
      <c r="F70" s="882">
        <v>30</v>
      </c>
    </row>
    <row r="71" spans="1:6" s="878" customFormat="1" ht="48">
      <c r="A71" s="882">
        <v>11</v>
      </c>
      <c r="B71" s="3331"/>
      <c r="C71" s="818" t="s">
        <v>635</v>
      </c>
      <c r="D71" s="818" t="s">
        <v>636</v>
      </c>
      <c r="E71" s="895">
        <v>0.2</v>
      </c>
      <c r="F71" s="882">
        <v>30</v>
      </c>
    </row>
    <row r="72" spans="1:6" s="878" customFormat="1" ht="36">
      <c r="A72" s="882">
        <v>12</v>
      </c>
      <c r="B72" s="3331"/>
      <c r="C72" s="818" t="s">
        <v>637</v>
      </c>
      <c r="D72" s="818" t="s">
        <v>638</v>
      </c>
      <c r="E72" s="895">
        <v>0.5</v>
      </c>
      <c r="F72" s="882">
        <v>80</v>
      </c>
    </row>
    <row r="73" spans="1:6" s="878" customFormat="1" ht="24">
      <c r="A73" s="882">
        <v>13</v>
      </c>
      <c r="B73" s="3331"/>
      <c r="C73" s="818" t="s">
        <v>639</v>
      </c>
      <c r="D73" s="818" t="s">
        <v>640</v>
      </c>
      <c r="E73" s="895">
        <v>0.4</v>
      </c>
      <c r="F73" s="882">
        <v>60</v>
      </c>
    </row>
    <row r="74" spans="1:6" s="878" customFormat="1" ht="24">
      <c r="A74" s="882">
        <v>14</v>
      </c>
      <c r="B74" s="3331"/>
      <c r="C74" s="818" t="s">
        <v>641</v>
      </c>
      <c r="D74" s="818" t="s">
        <v>642</v>
      </c>
      <c r="E74" s="895">
        <v>0.2</v>
      </c>
      <c r="F74" s="882">
        <v>30</v>
      </c>
    </row>
    <row r="75" spans="1:6" s="878" customFormat="1" ht="24">
      <c r="A75" s="882">
        <v>15</v>
      </c>
      <c r="B75" s="3331"/>
      <c r="C75" s="818" t="s">
        <v>643</v>
      </c>
      <c r="D75" s="818" t="s">
        <v>644</v>
      </c>
      <c r="E75" s="895">
        <v>0.2</v>
      </c>
      <c r="F75" s="882">
        <v>30</v>
      </c>
    </row>
    <row r="76" spans="1:6" s="878" customFormat="1" ht="24">
      <c r="A76" s="882">
        <v>16</v>
      </c>
      <c r="B76" s="3331" t="s">
        <v>645</v>
      </c>
      <c r="C76" s="818" t="s">
        <v>646</v>
      </c>
      <c r="D76" s="818" t="s">
        <v>647</v>
      </c>
      <c r="E76" s="895">
        <v>0.5</v>
      </c>
      <c r="F76" s="882">
        <v>80</v>
      </c>
    </row>
    <row r="77" spans="1:6" s="878" customFormat="1" ht="24">
      <c r="A77" s="882">
        <v>17</v>
      </c>
      <c r="B77" s="3331"/>
      <c r="C77" s="818" t="s">
        <v>648</v>
      </c>
      <c r="D77" s="818" t="s">
        <v>649</v>
      </c>
      <c r="E77" s="895">
        <v>0.5</v>
      </c>
      <c r="F77" s="882">
        <v>80</v>
      </c>
    </row>
    <row r="78" spans="1:6" s="878" customFormat="1" ht="24">
      <c r="A78" s="882">
        <v>18</v>
      </c>
      <c r="B78" s="3331"/>
      <c r="C78" s="818" t="s">
        <v>650</v>
      </c>
      <c r="D78" s="818" t="s">
        <v>651</v>
      </c>
      <c r="E78" s="895">
        <v>0.2</v>
      </c>
      <c r="F78" s="882">
        <v>30</v>
      </c>
    </row>
    <row r="79" spans="1:6" s="878" customFormat="1" ht="24">
      <c r="A79" s="882">
        <v>19</v>
      </c>
      <c r="B79" s="3331"/>
      <c r="C79" s="818" t="s">
        <v>652</v>
      </c>
      <c r="D79" s="818" t="s">
        <v>653</v>
      </c>
      <c r="E79" s="895">
        <v>0.5</v>
      </c>
      <c r="F79" s="882">
        <v>80</v>
      </c>
    </row>
    <row r="80" spans="1:6" s="878" customFormat="1" ht="36">
      <c r="A80" s="882">
        <v>20</v>
      </c>
      <c r="B80" s="3331"/>
      <c r="C80" s="818" t="s">
        <v>654</v>
      </c>
      <c r="D80" s="818" t="s">
        <v>655</v>
      </c>
      <c r="E80" s="895">
        <v>0.2</v>
      </c>
      <c r="F80" s="882">
        <v>30</v>
      </c>
    </row>
    <row r="81" spans="1:6" s="878" customFormat="1" ht="36">
      <c r="A81" s="882">
        <v>21</v>
      </c>
      <c r="B81" s="3331"/>
      <c r="C81" s="818" t="s">
        <v>656</v>
      </c>
      <c r="D81" s="818" t="s">
        <v>657</v>
      </c>
      <c r="E81" s="895">
        <v>0.2</v>
      </c>
      <c r="F81" s="882">
        <v>30</v>
      </c>
    </row>
    <row r="82" spans="1:6" s="878" customFormat="1" ht="48">
      <c r="A82" s="882">
        <v>22</v>
      </c>
      <c r="B82" s="3331"/>
      <c r="C82" s="818" t="s">
        <v>658</v>
      </c>
      <c r="D82" s="818" t="s">
        <v>659</v>
      </c>
      <c r="E82" s="895">
        <v>0.2</v>
      </c>
      <c r="F82" s="882">
        <v>30</v>
      </c>
    </row>
    <row r="83" spans="1:6" s="878" customFormat="1" ht="48">
      <c r="A83" s="882">
        <v>23</v>
      </c>
      <c r="B83" s="3331"/>
      <c r="C83" s="818" t="s">
        <v>660</v>
      </c>
      <c r="D83" s="818" t="s">
        <v>661</v>
      </c>
      <c r="E83" s="895">
        <v>0.2</v>
      </c>
      <c r="F83" s="882">
        <v>30</v>
      </c>
    </row>
    <row r="84" spans="1:6" s="878" customFormat="1" ht="36">
      <c r="A84" s="882">
        <v>24</v>
      </c>
      <c r="B84" s="3331"/>
      <c r="C84" s="818" t="s">
        <v>662</v>
      </c>
      <c r="D84" s="818" t="s">
        <v>663</v>
      </c>
      <c r="E84" s="895">
        <v>0.2</v>
      </c>
      <c r="F84" s="882">
        <v>30</v>
      </c>
    </row>
    <row r="85" spans="1:6" s="878" customFormat="1" ht="36">
      <c r="A85" s="882">
        <v>25</v>
      </c>
      <c r="B85" s="3331"/>
      <c r="C85" s="818" t="s">
        <v>664</v>
      </c>
      <c r="D85" s="818" t="s">
        <v>665</v>
      </c>
      <c r="E85" s="895">
        <v>0.5</v>
      </c>
      <c r="F85" s="882">
        <v>80</v>
      </c>
    </row>
    <row r="86" spans="1:6" s="878" customFormat="1" ht="36">
      <c r="A86" s="882">
        <v>26</v>
      </c>
      <c r="B86" s="3331"/>
      <c r="C86" s="818" t="s">
        <v>666</v>
      </c>
      <c r="D86" s="818" t="s">
        <v>667</v>
      </c>
      <c r="E86" s="895">
        <v>0.2</v>
      </c>
      <c r="F86" s="882">
        <v>30</v>
      </c>
    </row>
    <row r="87" spans="1:6" s="878" customFormat="1" ht="36">
      <c r="A87" s="882">
        <v>27</v>
      </c>
      <c r="B87" s="3331"/>
      <c r="C87" s="818" t="s">
        <v>668</v>
      </c>
      <c r="D87" s="818" t="s">
        <v>669</v>
      </c>
      <c r="E87" s="895">
        <v>0.2</v>
      </c>
      <c r="F87" s="882">
        <v>30</v>
      </c>
    </row>
    <row r="88" spans="1:6" s="878" customFormat="1" ht="36">
      <c r="A88" s="882">
        <v>28</v>
      </c>
      <c r="B88" s="3331"/>
      <c r="C88" s="818" t="s">
        <v>670</v>
      </c>
      <c r="D88" s="818" t="s">
        <v>671</v>
      </c>
      <c r="E88" s="895">
        <v>0.2</v>
      </c>
      <c r="F88" s="882">
        <v>30</v>
      </c>
    </row>
    <row r="89" spans="1:6" s="878" customFormat="1" ht="24">
      <c r="A89" s="882">
        <v>29</v>
      </c>
      <c r="B89" s="3331"/>
      <c r="C89" s="818" t="s">
        <v>672</v>
      </c>
      <c r="D89" s="818" t="s">
        <v>673</v>
      </c>
      <c r="E89" s="895">
        <v>0.2</v>
      </c>
      <c r="F89" s="882">
        <v>30</v>
      </c>
    </row>
    <row r="90" spans="1:6" s="878" customFormat="1" ht="24">
      <c r="A90" s="882">
        <v>30</v>
      </c>
      <c r="B90" s="3331"/>
      <c r="C90" s="818" t="s">
        <v>674</v>
      </c>
      <c r="D90" s="818" t="s">
        <v>675</v>
      </c>
      <c r="E90" s="895">
        <v>0.2</v>
      </c>
      <c r="F90" s="882">
        <v>30</v>
      </c>
    </row>
    <row r="91" spans="1:6" s="878" customFormat="1" ht="36">
      <c r="A91" s="882">
        <v>31</v>
      </c>
      <c r="B91" s="3331"/>
      <c r="C91" s="818" t="s">
        <v>676</v>
      </c>
      <c r="D91" s="818" t="s">
        <v>677</v>
      </c>
      <c r="E91" s="895">
        <v>0.2</v>
      </c>
      <c r="F91" s="882">
        <v>30</v>
      </c>
    </row>
    <row r="92" spans="1:6" s="878" customFormat="1" ht="24">
      <c r="A92" s="882">
        <v>32</v>
      </c>
      <c r="B92" s="3331" t="s">
        <v>678</v>
      </c>
      <c r="C92" s="882" t="s">
        <v>679</v>
      </c>
      <c r="D92" s="818" t="s">
        <v>680</v>
      </c>
      <c r="E92" s="895">
        <v>0.2</v>
      </c>
      <c r="F92" s="882">
        <v>30</v>
      </c>
    </row>
    <row r="93" spans="1:6" s="878" customFormat="1" ht="36">
      <c r="A93" s="882">
        <v>33</v>
      </c>
      <c r="B93" s="3331"/>
      <c r="C93" s="882" t="s">
        <v>681</v>
      </c>
      <c r="D93" s="818" t="s">
        <v>682</v>
      </c>
      <c r="E93" s="895">
        <v>0.2</v>
      </c>
      <c r="F93" s="882">
        <v>30</v>
      </c>
    </row>
    <row r="94" spans="1:6" s="878" customFormat="1" ht="48">
      <c r="A94" s="882">
        <v>34</v>
      </c>
      <c r="B94" s="3331"/>
      <c r="C94" s="882" t="s">
        <v>683</v>
      </c>
      <c r="D94" s="818" t="s">
        <v>684</v>
      </c>
      <c r="E94" s="895">
        <v>0.2</v>
      </c>
      <c r="F94" s="882">
        <v>30</v>
      </c>
    </row>
    <row r="95" spans="1:6" s="878" customFormat="1" ht="36">
      <c r="A95" s="882">
        <v>35</v>
      </c>
      <c r="B95" s="3331"/>
      <c r="C95" s="882" t="s">
        <v>685</v>
      </c>
      <c r="D95" s="818" t="s">
        <v>686</v>
      </c>
      <c r="E95" s="895">
        <v>0.2</v>
      </c>
      <c r="F95" s="882">
        <v>30</v>
      </c>
    </row>
    <row r="96" spans="1:6" s="878" customFormat="1" ht="48">
      <c r="A96" s="882">
        <v>36</v>
      </c>
      <c r="B96" s="3331"/>
      <c r="C96" s="818" t="s">
        <v>687</v>
      </c>
      <c r="D96" s="818" t="s">
        <v>688</v>
      </c>
      <c r="E96" s="895">
        <v>0.2</v>
      </c>
      <c r="F96" s="882">
        <v>30</v>
      </c>
    </row>
    <row r="97" spans="1:6" s="878" customFormat="1" ht="36">
      <c r="A97" s="882">
        <v>37</v>
      </c>
      <c r="B97" s="3331"/>
      <c r="C97" s="882" t="s">
        <v>689</v>
      </c>
      <c r="D97" s="818" t="s">
        <v>690</v>
      </c>
      <c r="E97" s="895">
        <v>0.2</v>
      </c>
      <c r="F97" s="882">
        <v>30</v>
      </c>
    </row>
    <row r="98" spans="1:6" s="878" customFormat="1" ht="36">
      <c r="A98" s="882">
        <v>38</v>
      </c>
      <c r="B98" s="3331"/>
      <c r="C98" s="882" t="s">
        <v>691</v>
      </c>
      <c r="D98" s="818" t="s">
        <v>692</v>
      </c>
      <c r="E98" s="895">
        <v>0.2</v>
      </c>
      <c r="F98" s="882">
        <v>30</v>
      </c>
    </row>
    <row r="99" spans="1:6" s="878" customFormat="1" ht="36">
      <c r="A99" s="882">
        <v>39</v>
      </c>
      <c r="B99" s="3331" t="s">
        <v>693</v>
      </c>
      <c r="C99" s="882" t="s">
        <v>694</v>
      </c>
      <c r="D99" s="818" t="s">
        <v>695</v>
      </c>
      <c r="E99" s="895">
        <v>0.3</v>
      </c>
      <c r="F99" s="882">
        <v>50</v>
      </c>
    </row>
    <row r="100" spans="1:6" s="878" customFormat="1" ht="24">
      <c r="A100" s="882">
        <v>40</v>
      </c>
      <c r="B100" s="3331"/>
      <c r="C100" s="882" t="s">
        <v>696</v>
      </c>
      <c r="D100" s="818" t="s">
        <v>697</v>
      </c>
      <c r="E100" s="895">
        <v>0.2</v>
      </c>
      <c r="F100" s="882">
        <v>30</v>
      </c>
    </row>
    <row r="101" spans="1:6" s="878" customFormat="1" ht="36">
      <c r="A101" s="882">
        <v>41</v>
      </c>
      <c r="B101" s="333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1" t="s">
        <v>708</v>
      </c>
      <c r="C105" s="882" t="s">
        <v>709</v>
      </c>
      <c r="D105" s="818" t="s">
        <v>710</v>
      </c>
      <c r="E105" s="895">
        <v>0.2</v>
      </c>
      <c r="F105" s="882">
        <v>30</v>
      </c>
    </row>
    <row r="106" spans="1:6" s="878" customFormat="1" ht="36">
      <c r="A106" s="882">
        <v>46</v>
      </c>
      <c r="B106" s="3331"/>
      <c r="C106" s="882" t="s">
        <v>711</v>
      </c>
      <c r="D106" s="818" t="s">
        <v>712</v>
      </c>
      <c r="E106" s="895">
        <v>0.2</v>
      </c>
      <c r="F106" s="882">
        <v>30</v>
      </c>
    </row>
    <row r="107" spans="1:6" s="878" customFormat="1" ht="36">
      <c r="A107" s="882">
        <v>47</v>
      </c>
      <c r="B107" s="3331" t="s">
        <v>713</v>
      </c>
      <c r="C107" s="882" t="s">
        <v>714</v>
      </c>
      <c r="D107" s="818" t="s">
        <v>715</v>
      </c>
      <c r="E107" s="895">
        <v>0.3</v>
      </c>
      <c r="F107" s="882">
        <v>50</v>
      </c>
    </row>
    <row r="108" spans="1:6" s="878" customFormat="1" ht="36">
      <c r="A108" s="882">
        <v>48</v>
      </c>
      <c r="B108" s="333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1" t="s">
        <v>724</v>
      </c>
      <c r="C111" s="882" t="s">
        <v>725</v>
      </c>
      <c r="D111" s="818" t="s">
        <v>726</v>
      </c>
      <c r="E111" s="895">
        <v>0.2</v>
      </c>
      <c r="F111" s="882">
        <v>30</v>
      </c>
    </row>
    <row r="112" spans="1:6" s="878" customFormat="1" ht="24">
      <c r="A112" s="882">
        <v>52</v>
      </c>
      <c r="B112" s="3331"/>
      <c r="C112" s="882" t="s">
        <v>727</v>
      </c>
      <c r="D112" s="818" t="s">
        <v>728</v>
      </c>
      <c r="E112" s="895">
        <v>0.2</v>
      </c>
      <c r="F112" s="882">
        <v>30</v>
      </c>
    </row>
    <row r="113" spans="1:6" s="878" customFormat="1" ht="24">
      <c r="A113" s="882">
        <v>53</v>
      </c>
      <c r="B113" s="333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1" t="s">
        <v>737</v>
      </c>
      <c r="C116" s="882" t="s">
        <v>738</v>
      </c>
      <c r="D116" s="818" t="s">
        <v>739</v>
      </c>
      <c r="E116" s="895">
        <v>0.2</v>
      </c>
      <c r="F116" s="882">
        <v>30</v>
      </c>
    </row>
    <row r="117" spans="1:6" ht="36">
      <c r="A117" s="882">
        <v>57</v>
      </c>
      <c r="B117" s="333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64"/>
      <c r="B4" s="3026" t="s">
        <v>1630</v>
      </c>
      <c r="C4" s="3026"/>
      <c r="D4" s="3026"/>
      <c r="E4" s="1964"/>
    </row>
    <row r="5" spans="1:5" ht="16.5" thickTop="1">
      <c r="A5" s="1962"/>
      <c r="B5" s="3024" t="s">
        <v>1622</v>
      </c>
      <c r="C5" s="1965" t="s">
        <v>1623</v>
      </c>
      <c r="D5" s="1043">
        <f ca="1">结果表!H101</f>
        <v>45737</v>
      </c>
      <c r="E5" s="1962"/>
    </row>
    <row r="6" spans="1:5" ht="15.75">
      <c r="A6" s="1962"/>
      <c r="B6" s="3024"/>
      <c r="C6" s="1965" t="s">
        <v>1624</v>
      </c>
      <c r="D6" s="1043" t="str">
        <f ca="1">NUMBERSTRING(INT(D5*10000),2)&amp;"元整"</f>
        <v>肆亿伍仟柒佰叁拾柒万元整</v>
      </c>
      <c r="E6" s="1962"/>
    </row>
    <row r="7" spans="1:5" ht="15.75">
      <c r="A7" s="1962"/>
      <c r="B7" s="3029"/>
      <c r="C7" s="1966" t="s">
        <v>1625</v>
      </c>
      <c r="D7" s="1044">
        <f ca="1">结果表!H102</f>
        <v>6303</v>
      </c>
      <c r="E7" s="1962"/>
    </row>
    <row r="8" spans="1:5" ht="15.75">
      <c r="A8" s="1962"/>
      <c r="B8" s="3030" t="str">
        <f>结果表!E103</f>
        <v>2.估价师知悉的法定优先受偿款</v>
      </c>
      <c r="C8" s="1967" t="s">
        <v>1626</v>
      </c>
      <c r="D8" s="1044">
        <f>结果表!H103</f>
        <v>0</v>
      </c>
      <c r="E8" s="1962"/>
    </row>
    <row r="9" spans="1:5" ht="15.75">
      <c r="A9" s="1962"/>
      <c r="B9" s="303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3" t="str">
        <f>结果表!E107</f>
        <v>3.房地产抵押价值</v>
      </c>
      <c r="C13" s="1970" t="s">
        <v>1623</v>
      </c>
      <c r="D13" s="1046">
        <f ca="1">结果表!H107</f>
        <v>45737</v>
      </c>
      <c r="E13" s="1962"/>
    </row>
    <row r="14" spans="1:5" ht="15.75">
      <c r="A14" s="1962"/>
      <c r="B14" s="3024"/>
      <c r="C14" s="1965" t="s">
        <v>1624</v>
      </c>
      <c r="D14" s="1043" t="str">
        <f ca="1">NUMBERSTRING(INT(D13*10000),2)&amp;"元整"</f>
        <v>肆亿伍仟柒佰叁拾柒万元整</v>
      </c>
      <c r="E14" s="1962"/>
    </row>
    <row r="15" spans="1:5" ht="15">
      <c r="A15" s="1962"/>
      <c r="B15" s="3029"/>
      <c r="C15" s="1966" t="s">
        <v>1634</v>
      </c>
      <c r="D15" s="1055">
        <f ca="1">结果表!H108</f>
        <v>6303</v>
      </c>
      <c r="E15" s="1962"/>
    </row>
    <row r="16" spans="1:5" ht="15">
      <c r="A16" s="1962"/>
      <c r="B16" s="3030" t="str">
        <f>结果表!E109</f>
        <v>——</v>
      </c>
      <c r="C16" s="1970" t="s">
        <v>1635</v>
      </c>
      <c r="D16" s="1971" t="str">
        <f>结果表!H109</f>
        <v>——</v>
      </c>
      <c r="E16" s="1962"/>
    </row>
    <row r="17" spans="1:5" ht="15.75">
      <c r="A17" s="1962"/>
      <c r="B17" s="3031"/>
      <c r="C17" s="1965" t="s">
        <v>1636</v>
      </c>
      <c r="D17" s="1043" t="e">
        <f>NUMBERSTRING(INT(D16*10000),2)&amp;"元整"</f>
        <v>#VALUE!</v>
      </c>
      <c r="E17" s="1962"/>
    </row>
    <row r="18" spans="1:5" ht="15">
      <c r="A18" s="1962"/>
      <c r="B18" s="3032"/>
      <c r="C18" s="1966" t="s">
        <v>1625</v>
      </c>
      <c r="D18" s="1055" t="str">
        <f>结果表!H110</f>
        <v>——</v>
      </c>
      <c r="E18" s="1962"/>
    </row>
    <row r="19" spans="1:5" ht="15.75">
      <c r="A19" s="1962"/>
      <c r="B19" s="3023" t="str">
        <f>结果表!E111</f>
        <v>——</v>
      </c>
      <c r="C19" s="1970" t="s">
        <v>1623</v>
      </c>
      <c r="D19" s="1044" t="str">
        <f>结果表!H111</f>
        <v>——</v>
      </c>
      <c r="E19" s="1962"/>
    </row>
    <row r="20" spans="1:5" ht="15.75">
      <c r="A20" s="1962"/>
      <c r="B20" s="3024"/>
      <c r="C20" s="1965" t="s">
        <v>1636</v>
      </c>
      <c r="D20" s="1043" t="e">
        <f>NUMBERSTRING(INT(D19*10000),2)&amp;"元整"</f>
        <v>#VALUE!</v>
      </c>
      <c r="E20" s="1962"/>
    </row>
    <row r="21" spans="1:5" ht="15.75" thickBot="1">
      <c r="A21" s="1962"/>
      <c r="B21" s="302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3008</v>
      </c>
    </row>
    <row r="2" spans="1:5" ht="15.75">
      <c r="A2" s="2915" t="s">
        <v>3000</v>
      </c>
      <c r="B2" s="2916" t="e">
        <f ca="1">SUMIF(B6:B13,"&lt;&gt;#ref!",B6:B13)</f>
        <v>#DIV/0!</v>
      </c>
      <c r="C2" s="2915" t="s">
        <v>3001</v>
      </c>
      <c r="D2" s="2915" t="s">
        <v>3002</v>
      </c>
      <c r="E2" s="2916">
        <f ca="1">SUMIF(E6:E13,"&lt;&gt;#ref!",E6:E13)</f>
        <v>0</v>
      </c>
    </row>
    <row r="3" spans="1:5" ht="15.75">
      <c r="A3" s="2915" t="s">
        <v>3003</v>
      </c>
      <c r="B3" s="2916" t="e">
        <f ca="1">ROUND(B2*10000/E2,0)</f>
        <v>#DIV/0!</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t="e">
        <f ca="1">SUMIF(INDIRECT("'"&amp;A6&amp;"'"&amp;"!A:A"),"总价",INDIRECT("'"&amp;A6&amp;"'"&amp;"!B:B"))</f>
        <v>#DIV/0!</v>
      </c>
      <c r="C6" s="2915" t="s">
        <v>3001</v>
      </c>
      <c r="D6" s="2917"/>
      <c r="E6" s="2580">
        <f ca="1">SUMIF(INDIRECT("'"&amp;A6&amp;"'"&amp;"!C:C"),"建筑面积",INDIRECT("'"&amp;A6&amp;"'"&amp;"!D:D"))</f>
        <v>0</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7" t="s">
        <v>1150</v>
      </c>
      <c r="C1" s="3337"/>
      <c r="D1" s="3337"/>
      <c r="E1" s="3337"/>
      <c r="F1" s="3337"/>
      <c r="G1" s="3336" t="s">
        <v>1151</v>
      </c>
      <c r="H1" s="3336"/>
      <c r="I1" s="3336"/>
      <c r="J1" s="3336"/>
      <c r="K1" s="3336"/>
      <c r="L1" s="3336"/>
      <c r="N1" s="3336" t="s">
        <v>1152</v>
      </c>
      <c r="O1" s="3336"/>
      <c r="P1" s="3336"/>
      <c r="Q1" s="3336"/>
      <c r="R1" s="1449"/>
      <c r="S1" s="3336" t="s">
        <v>1153</v>
      </c>
      <c r="T1" s="3336"/>
      <c r="U1" s="3336"/>
      <c r="V1" s="3336"/>
      <c r="X1" s="3335" t="s">
        <v>1154</v>
      </c>
      <c r="Y1" s="3336"/>
      <c r="Z1" s="3336"/>
      <c r="AA1" s="3336"/>
      <c r="AB1" s="3336"/>
      <c r="AD1" s="3335" t="s">
        <v>1155</v>
      </c>
      <c r="AE1" s="3336"/>
      <c r="AF1" s="3336"/>
      <c r="AG1" s="3336"/>
      <c r="AH1" s="333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3044</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3051</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3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3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43" t="s">
        <v>3011</v>
      </c>
      <c r="D1" s="3344"/>
      <c r="E1" s="3344"/>
      <c r="F1" s="3344"/>
      <c r="G1" s="3344"/>
      <c r="H1" s="3344"/>
      <c r="I1" s="3344"/>
      <c r="J1" s="3344"/>
      <c r="K1" s="3344"/>
      <c r="L1" s="3344"/>
      <c r="M1" s="3344"/>
      <c r="N1" s="3344"/>
      <c r="O1" s="3344"/>
      <c r="P1" s="3344"/>
      <c r="Q1" s="3344"/>
      <c r="R1" s="3344"/>
      <c r="S1" s="334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6"/>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206" t="s">
        <v>33</v>
      </c>
      <c r="D22" s="3207"/>
      <c r="E22" s="3207"/>
      <c r="F22" s="3207"/>
      <c r="G22" s="3207"/>
      <c r="H22" s="3207"/>
      <c r="I22" s="3207"/>
      <c r="J22" s="3207"/>
      <c r="K22" s="3207"/>
      <c r="L22" s="3207"/>
      <c r="M22" s="3207"/>
      <c r="N22" s="3207"/>
      <c r="O22" s="3207"/>
      <c r="P22" s="3207"/>
      <c r="Q22" s="334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59795</v>
      </c>
      <c r="C2" s="2" t="s">
        <v>133</v>
      </c>
      <c r="D2" s="243"/>
      <c r="E2" s="243"/>
      <c r="F2" s="243"/>
      <c r="G2" s="243"/>
    </row>
    <row r="3" spans="1:7" s="244" customFormat="1" ht="18" customHeight="1" thickBot="1">
      <c r="A3" s="247" t="s">
        <v>85</v>
      </c>
      <c r="B3" s="248">
        <f ca="1">ROUND(B2*10000/'数据-汇总表'!E3,0)</f>
        <v>8240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105</v>
      </c>
      <c r="F9" s="265"/>
      <c r="G9" s="270"/>
    </row>
    <row r="10" spans="1:7" s="258" customFormat="1" ht="13.5" customHeight="1">
      <c r="A10" s="953" t="s">
        <v>801</v>
      </c>
      <c r="B10" s="268" t="s">
        <v>94</v>
      </c>
      <c r="C10" s="269">
        <f>ROUND(D10*E10/10000,0)</f>
        <v>762</v>
      </c>
      <c r="D10" s="1035">
        <f>'数据-汇总表'!E6</f>
        <v>72564.650000000038</v>
      </c>
      <c r="E10" s="269">
        <f>'数据-取费表'!B28</f>
        <v>105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1451</v>
      </c>
      <c r="D19" s="1039">
        <f>'数据-汇总表'!E3</f>
        <v>72564.650000000038</v>
      </c>
      <c r="E19" s="255">
        <f>'数据-取费表'!B31</f>
        <v>200</v>
      </c>
      <c r="F19" s="275"/>
      <c r="G19" s="1" t="s">
        <v>1074</v>
      </c>
    </row>
    <row r="20" spans="1:7" s="258" customFormat="1" ht="13.5" customHeight="1">
      <c r="A20" s="951" t="s">
        <v>1057</v>
      </c>
      <c r="B20" s="254" t="s">
        <v>104</v>
      </c>
      <c r="C20" s="276">
        <f>ROUND((C5+C19)*F20,0)</f>
        <v>441</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2166</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141</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2025</v>
      </c>
      <c r="D27" s="279">
        <f>C29</f>
        <v>2.7000000000000001E-3</v>
      </c>
      <c r="E27" s="280" t="s">
        <v>126</v>
      </c>
      <c r="F27" s="290">
        <f>'数据-取费表'!Q16</f>
        <v>0.09</v>
      </c>
      <c r="G27" s="291" t="s">
        <v>1069</v>
      </c>
    </row>
    <row r="28" spans="1:7" s="258" customFormat="1" ht="13.5" customHeight="1">
      <c r="A28" s="954" t="s">
        <v>794</v>
      </c>
      <c r="B28" s="292" t="s">
        <v>1062</v>
      </c>
      <c r="C28" s="293">
        <f>ROUND((C5+C19+C20)*F27*'数据-取费表'!B21/'数据-取费表'!B20,0)</f>
        <v>2025</v>
      </c>
      <c r="D28" s="279"/>
      <c r="E28" s="280"/>
      <c r="F28" s="290"/>
      <c r="G28" s="291"/>
    </row>
    <row r="29" spans="1:7" s="258" customFormat="1" ht="13.5" customHeight="1">
      <c r="A29" s="954" t="s">
        <v>792</v>
      </c>
      <c r="B29" s="292" t="s">
        <v>1063</v>
      </c>
      <c r="C29" s="282">
        <f>ROUND(C21*F27*'数据-取费表'!B21/'数据-取费表'!B20,4)</f>
        <v>2.7000000000000001E-3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29250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26400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23875</v>
      </c>
      <c r="D34" s="261"/>
      <c r="E34" s="264"/>
      <c r="F34" s="301">
        <f>IF('数据-取费表'!B24=0,1,'数据-取费表'!N16)</f>
        <v>1</v>
      </c>
      <c r="G34" s="263" t="s">
        <v>116</v>
      </c>
    </row>
    <row r="35" spans="1:7" ht="13.5" customHeight="1">
      <c r="A35" s="954" t="s">
        <v>796</v>
      </c>
      <c r="B35" s="259" t="s">
        <v>60</v>
      </c>
      <c r="C35" s="264">
        <f>ROUND(C34*F35,0)</f>
        <v>716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1451</v>
      </c>
      <c r="D37" s="261">
        <f>'数据-汇总表'!E3</f>
        <v>72564.650000000038</v>
      </c>
      <c r="E37" s="293">
        <f>'数据-取费表'!B35</f>
        <v>200</v>
      </c>
      <c r="F37" s="303"/>
      <c r="G37" s="305" t="s">
        <v>119</v>
      </c>
    </row>
    <row r="38" spans="1:7" ht="13.5" customHeight="1">
      <c r="A38" s="954" t="s">
        <v>799</v>
      </c>
      <c r="B38" s="259" t="s">
        <v>63</v>
      </c>
      <c r="C38" s="264">
        <f>ROUND(C34*F38,0)</f>
        <v>358</v>
      </c>
      <c r="D38" s="264"/>
      <c r="E38" s="264"/>
      <c r="F38" s="303">
        <f>'数据-取费表'!B36</f>
        <v>1.4999999999999999E-2</v>
      </c>
      <c r="G38" s="263" t="s">
        <v>117</v>
      </c>
    </row>
    <row r="39" spans="1:7" s="258" customFormat="1" ht="13.5" customHeight="1">
      <c r="A39" s="951" t="s">
        <v>783</v>
      </c>
      <c r="B39" s="254" t="s">
        <v>104</v>
      </c>
      <c r="C39" s="276">
        <f>ROUND(C33*F20,0)</f>
        <v>528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1279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1254</v>
      </c>
      <c r="D42" s="282"/>
      <c r="E42" s="282"/>
      <c r="F42" s="283"/>
      <c r="G42" s="3211" t="s">
        <v>121</v>
      </c>
    </row>
    <row r="43" spans="1:7" ht="13.5" customHeight="1">
      <c r="A43" s="954" t="s">
        <v>792</v>
      </c>
      <c r="B43" s="259" t="s">
        <v>1064</v>
      </c>
      <c r="C43" s="282">
        <f ca="1">ROUND(IF('数据-取费表'!B22&lt;=1,C39*F22*'数据-取费表'!B21/2,C39*(POWER((1+F22),'数据-取费表'!B21/2)-1)),0)</f>
        <v>25</v>
      </c>
      <c r="D43" s="282"/>
      <c r="E43" s="282"/>
      <c r="F43" s="283"/>
      <c r="G43" s="3212"/>
    </row>
    <row r="44" spans="1:7" ht="13.5" customHeight="1">
      <c r="A44" s="954" t="s">
        <v>793</v>
      </c>
      <c r="B44" s="259" t="s">
        <v>1066</v>
      </c>
      <c r="C44" s="282">
        <f ca="1">ROUND(IF('数据-取费表'!B22&lt;=1,C40*F22*'数据-取费表'!B21/2,C40*(POWER((1+F22),'数据-取费表'!B21/2)-1)),4)</f>
        <v>1.4E-3</v>
      </c>
      <c r="D44" s="282"/>
      <c r="E44" s="282"/>
      <c r="F44" s="283"/>
      <c r="G44" s="3213"/>
    </row>
    <row r="45" spans="1:7" s="258" customFormat="1" ht="13.5" customHeight="1">
      <c r="A45" s="951" t="s">
        <v>786</v>
      </c>
      <c r="B45" s="288" t="s">
        <v>112</v>
      </c>
      <c r="C45" s="289">
        <f>C46</f>
        <v>2424</v>
      </c>
      <c r="D45" s="279">
        <f>C47</f>
        <v>2.7000000000000001E-3</v>
      </c>
      <c r="E45" s="280" t="s">
        <v>129</v>
      </c>
      <c r="F45" s="290"/>
      <c r="G45" s="291" t="s">
        <v>1072</v>
      </c>
    </row>
    <row r="46" spans="1:7" s="258" customFormat="1" ht="13.5" customHeight="1">
      <c r="A46" s="954" t="s">
        <v>794</v>
      </c>
      <c r="B46" s="292" t="s">
        <v>1065</v>
      </c>
      <c r="C46" s="293">
        <f>ROUND((C33+C39)*F27,0)</f>
        <v>2424</v>
      </c>
      <c r="D46" s="307"/>
      <c r="E46" s="280"/>
      <c r="F46" s="290"/>
      <c r="G46" s="291"/>
    </row>
    <row r="47" spans="1:7" s="258" customFormat="1" ht="13.5" customHeight="1">
      <c r="A47" s="954" t="s">
        <v>792</v>
      </c>
      <c r="B47" s="292" t="s">
        <v>1067</v>
      </c>
      <c r="C47" s="282">
        <f>ROUND(C40*F27,4)</f>
        <v>2.7000000000000001E-3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33566</v>
      </c>
      <c r="D49" s="276"/>
      <c r="E49" s="276"/>
      <c r="F49" s="308"/>
      <c r="G49" s="278" t="s">
        <v>1073</v>
      </c>
    </row>
    <row r="50" spans="1:7" s="302" customFormat="1" ht="24">
      <c r="A50" s="951" t="s">
        <v>789</v>
      </c>
      <c r="B50" s="254" t="s">
        <v>124</v>
      </c>
      <c r="C50" s="276"/>
      <c r="D50" s="276"/>
      <c r="E50" s="276"/>
      <c r="F50" s="308">
        <f>IF('数据-取费表'!B24=0,'数据-取费表'!N16,1)</f>
        <v>0.91</v>
      </c>
      <c r="G50" s="291" t="s">
        <v>125</v>
      </c>
    </row>
    <row r="51" spans="1:7" ht="16.5" customHeight="1">
      <c r="A51" s="951" t="s">
        <v>790</v>
      </c>
      <c r="B51" s="254" t="s">
        <v>132</v>
      </c>
      <c r="C51" s="276">
        <f ca="1">ROUND(C49*F50,0)</f>
        <v>30545</v>
      </c>
      <c r="D51" s="276"/>
      <c r="E51" s="276"/>
      <c r="F51" s="308"/>
      <c r="G51" s="278" t="s">
        <v>64</v>
      </c>
    </row>
    <row r="52" spans="1:7" s="252" customFormat="1" ht="16.5" thickBot="1">
      <c r="A52" s="309" t="s">
        <v>65</v>
      </c>
      <c r="B52" s="310"/>
      <c r="C52" s="311">
        <f ca="1">C31+C51</f>
        <v>59795</v>
      </c>
      <c r="D52" s="310"/>
      <c r="E52" s="310"/>
      <c r="F52" s="310"/>
      <c r="G52" s="312"/>
    </row>
    <row r="55" spans="1:7" ht="15">
      <c r="B55" s="314" t="s">
        <v>66</v>
      </c>
      <c r="C55" s="315"/>
    </row>
    <row r="56" spans="1:7">
      <c r="B56" s="317" t="s">
        <v>67</v>
      </c>
      <c r="C56" s="318">
        <f ca="1">ROUND(C51/C52,3)</f>
        <v>0.51100000000000001</v>
      </c>
    </row>
    <row r="57" spans="1:7">
      <c r="B57" s="317" t="s">
        <v>68</v>
      </c>
      <c r="C57" s="319">
        <f ca="1">1-C56</f>
        <v>0.48899999999999999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6" t="s">
        <v>156</v>
      </c>
      <c r="B1" s="3346"/>
      <c r="C1" s="3346"/>
      <c r="D1" s="3346"/>
      <c r="E1" s="3346"/>
      <c r="F1" s="334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7" t="s">
        <v>169</v>
      </c>
      <c r="B2" s="3347"/>
      <c r="C2" s="3347"/>
      <c r="D2" s="3347"/>
      <c r="E2" s="3347"/>
      <c r="F2" s="334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6" t="s">
        <v>871</v>
      </c>
      <c r="B1" s="334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topLeftCell="D1" workbookViewId="0">
      <selection activeCell="N24" sqref="N24"/>
    </sheetView>
  </sheetViews>
  <sheetFormatPr defaultRowHeight="13.5"/>
  <cols>
    <col min="2" max="2" width="31.625" customWidth="1"/>
    <col min="3" max="3" width="30.75" customWidth="1"/>
    <col min="4" max="5" width="12.875" customWidth="1"/>
    <col min="11" max="11" width="9.5" bestFit="1" customWidth="1"/>
    <col min="15" max="15" width="15.75" customWidth="1"/>
  </cols>
  <sheetData>
    <row r="1" spans="1:18">
      <c r="A1" s="2971" t="s">
        <v>3508</v>
      </c>
      <c r="B1" s="2971" t="s">
        <v>3478</v>
      </c>
      <c r="C1" s="2971" t="s">
        <v>3479</v>
      </c>
      <c r="D1" s="2971" t="s">
        <v>3480</v>
      </c>
      <c r="E1" s="2971" t="s">
        <v>3481</v>
      </c>
      <c r="F1" s="2971" t="s">
        <v>3482</v>
      </c>
      <c r="G1" s="2977" t="s">
        <v>3515</v>
      </c>
      <c r="H1" s="2977" t="s">
        <v>3518</v>
      </c>
      <c r="I1" s="2977" t="s">
        <v>3517</v>
      </c>
      <c r="J1" s="2977" t="s">
        <v>3518</v>
      </c>
      <c r="K1" s="2977" t="s">
        <v>3520</v>
      </c>
      <c r="L1" s="2977" t="s">
        <v>3518</v>
      </c>
    </row>
    <row r="2" spans="1:18">
      <c r="A2" s="2972">
        <v>1</v>
      </c>
      <c r="B2" s="2971" t="s">
        <v>3509</v>
      </c>
      <c r="C2" s="2973" t="s">
        <v>3521</v>
      </c>
      <c r="D2" s="2972">
        <v>1104.17</v>
      </c>
      <c r="E2" s="2972">
        <v>7651.29</v>
      </c>
      <c r="F2" s="2971" t="s">
        <v>3483</v>
      </c>
      <c r="G2" s="2972">
        <f ca="1">K2-I2</f>
        <v>952</v>
      </c>
      <c r="H2" s="2972">
        <f ca="1">L2-J2</f>
        <v>1244</v>
      </c>
      <c r="I2" s="2972">
        <f ca="1">ROUND(K2*成本法!C57,0)</f>
        <v>1247</v>
      </c>
      <c r="J2" s="2972">
        <f ca="1">ROUND(I2*10000/E2,0)</f>
        <v>1630</v>
      </c>
      <c r="K2" s="2972">
        <f ca="1">ROUND(Q30*E2/10000,0)</f>
        <v>2199</v>
      </c>
      <c r="L2" s="2972">
        <f ca="1">Q30</f>
        <v>2874</v>
      </c>
    </row>
    <row r="3" spans="1:18">
      <c r="A3" s="2972">
        <v>2</v>
      </c>
      <c r="B3" s="2971" t="s">
        <v>3510</v>
      </c>
      <c r="C3" s="2972" t="s">
        <v>3063</v>
      </c>
      <c r="D3" s="2972">
        <v>1093</v>
      </c>
      <c r="E3" s="2972">
        <v>7573.92</v>
      </c>
      <c r="F3" s="2971" t="s">
        <v>3484</v>
      </c>
      <c r="G3" s="2972">
        <f ca="1">K3-I3</f>
        <v>943</v>
      </c>
      <c r="H3" s="2972">
        <f ca="1">L3-J3</f>
        <v>1244</v>
      </c>
      <c r="I3" s="2972">
        <f ca="1">ROUND(K3*成本法!$C$57,0)</f>
        <v>1234</v>
      </c>
      <c r="J3" s="2972">
        <v>1630</v>
      </c>
      <c r="K3" s="2972">
        <f ca="1">Q29-K2</f>
        <v>2177</v>
      </c>
      <c r="L3" s="2972">
        <f ca="1">ROUND(K3/E3*10000,0)</f>
        <v>2874</v>
      </c>
      <c r="M3" s="2976" t="s">
        <v>3530</v>
      </c>
      <c r="N3" s="2976" t="s">
        <v>3531</v>
      </c>
      <c r="O3" s="2976" t="s">
        <v>3532</v>
      </c>
      <c r="P3" s="2976" t="s">
        <v>3533</v>
      </c>
      <c r="Q3" s="2976" t="s">
        <v>3534</v>
      </c>
      <c r="R3" s="2976" t="s">
        <v>3520</v>
      </c>
    </row>
    <row r="4" spans="1:18" s="2987" customFormat="1">
      <c r="A4" s="2984"/>
      <c r="B4" s="2975" t="s">
        <v>3638</v>
      </c>
      <c r="C4" s="2984" t="s">
        <v>3065</v>
      </c>
      <c r="D4" s="2984">
        <v>163.54</v>
      </c>
      <c r="E4" s="2984">
        <v>1133.25</v>
      </c>
      <c r="F4" s="2985" t="s">
        <v>3648</v>
      </c>
      <c r="G4" s="2972">
        <f t="shared" ref="G4:G13" ca="1" si="0">K4-I4</f>
        <v>348</v>
      </c>
      <c r="H4" s="2972">
        <f t="shared" ref="H4:H76" ca="1" si="1">L4-J4</f>
        <v>3071</v>
      </c>
      <c r="I4" s="2972">
        <f ca="1">ROUND(K4*成本法!$C$57,0)</f>
        <v>456</v>
      </c>
      <c r="J4" s="2972">
        <f ca="1">ROUND(I4*10000/E4,0)</f>
        <v>4024</v>
      </c>
      <c r="K4" s="2972">
        <f ca="1">ROUND(L4*E4/10000,0)</f>
        <v>804</v>
      </c>
      <c r="L4" s="2972">
        <f t="shared" ref="L4:L13" ca="1" si="2">$Q$16</f>
        <v>7095</v>
      </c>
      <c r="M4" s="2986"/>
      <c r="N4" s="2986"/>
      <c r="O4" s="2986"/>
      <c r="P4" s="2986"/>
      <c r="Q4" s="2986"/>
      <c r="R4" s="2986"/>
    </row>
    <row r="5" spans="1:18" s="2987" customFormat="1">
      <c r="A5" s="2984"/>
      <c r="B5" s="2975" t="s">
        <v>3639</v>
      </c>
      <c r="C5" s="2984" t="s">
        <v>3067</v>
      </c>
      <c r="D5" s="2984">
        <v>13.62</v>
      </c>
      <c r="E5" s="2984">
        <v>94.38</v>
      </c>
      <c r="F5" s="2985" t="s">
        <v>3648</v>
      </c>
      <c r="G5" s="2972">
        <f t="shared" ca="1" si="0"/>
        <v>29</v>
      </c>
      <c r="H5" s="2972">
        <f t="shared" ca="1" si="1"/>
        <v>3071</v>
      </c>
      <c r="I5" s="2972">
        <f ca="1">ROUND(K5*成本法!$C$57,0)</f>
        <v>38</v>
      </c>
      <c r="J5" s="2972">
        <v>4024</v>
      </c>
      <c r="K5" s="2972">
        <f t="shared" ref="K5:K68" ca="1" si="3">ROUND(L5*E5/10000,0)</f>
        <v>67</v>
      </c>
      <c r="L5" s="2972">
        <f t="shared" ca="1" si="2"/>
        <v>7095</v>
      </c>
      <c r="M5" s="2986"/>
      <c r="N5" s="2986"/>
      <c r="O5" s="2986"/>
      <c r="P5" s="2986"/>
      <c r="Q5" s="2986"/>
      <c r="R5" s="2986"/>
    </row>
    <row r="6" spans="1:18" s="2987" customFormat="1">
      <c r="A6" s="2984"/>
      <c r="B6" s="2975" t="s">
        <v>3640</v>
      </c>
      <c r="C6" s="2984" t="s">
        <v>3069</v>
      </c>
      <c r="D6" s="2984">
        <v>203.12</v>
      </c>
      <c r="E6" s="2984">
        <v>1407.52</v>
      </c>
      <c r="F6" s="2985" t="s">
        <v>3648</v>
      </c>
      <c r="G6" s="2972">
        <f t="shared" ca="1" si="0"/>
        <v>433</v>
      </c>
      <c r="H6" s="2972">
        <f t="shared" ca="1" si="1"/>
        <v>3071</v>
      </c>
      <c r="I6" s="2972">
        <f ca="1">ROUND(K6*成本法!$C$57,0)</f>
        <v>566</v>
      </c>
      <c r="J6" s="2972">
        <v>4024</v>
      </c>
      <c r="K6" s="2972">
        <f t="shared" ca="1" si="3"/>
        <v>999</v>
      </c>
      <c r="L6" s="2972">
        <f t="shared" ca="1" si="2"/>
        <v>7095</v>
      </c>
      <c r="M6" s="2986"/>
      <c r="N6" s="2986"/>
      <c r="O6" s="2986"/>
      <c r="P6" s="2986"/>
      <c r="Q6" s="2986"/>
      <c r="R6" s="2986"/>
    </row>
    <row r="7" spans="1:18" s="2987" customFormat="1">
      <c r="A7" s="2984"/>
      <c r="B7" s="2975" t="s">
        <v>3641</v>
      </c>
      <c r="C7" s="2984" t="s">
        <v>3071</v>
      </c>
      <c r="D7" s="2984">
        <v>246.45</v>
      </c>
      <c r="E7" s="2984">
        <v>1707.77</v>
      </c>
      <c r="F7" s="2985" t="s">
        <v>3648</v>
      </c>
      <c r="G7" s="2972">
        <f t="shared" ca="1" si="0"/>
        <v>525</v>
      </c>
      <c r="H7" s="2972">
        <f t="shared" ca="1" si="1"/>
        <v>3071</v>
      </c>
      <c r="I7" s="2972">
        <f ca="1">ROUND(K7*成本法!$C$57,0)</f>
        <v>687</v>
      </c>
      <c r="J7" s="2972">
        <v>4024</v>
      </c>
      <c r="K7" s="2972">
        <f t="shared" ca="1" si="3"/>
        <v>1212</v>
      </c>
      <c r="L7" s="2972">
        <f t="shared" ca="1" si="2"/>
        <v>7095</v>
      </c>
      <c r="M7" s="2986"/>
      <c r="N7" s="2986"/>
      <c r="O7" s="2986"/>
      <c r="P7" s="2986"/>
      <c r="Q7" s="2986"/>
      <c r="R7" s="2986"/>
    </row>
    <row r="8" spans="1:18" s="2987" customFormat="1">
      <c r="A8" s="2984"/>
      <c r="B8" s="2975" t="s">
        <v>3642</v>
      </c>
      <c r="C8" s="2984" t="s">
        <v>3073</v>
      </c>
      <c r="D8" s="2984">
        <v>177.5</v>
      </c>
      <c r="E8" s="2984">
        <v>1229.97</v>
      </c>
      <c r="F8" s="2985" t="s">
        <v>3649</v>
      </c>
      <c r="G8" s="2972">
        <f t="shared" ca="1" si="0"/>
        <v>378</v>
      </c>
      <c r="H8" s="2972">
        <f t="shared" ca="1" si="1"/>
        <v>3071</v>
      </c>
      <c r="I8" s="2972">
        <f ca="1">ROUND(K8*成本法!$C$57,0)</f>
        <v>495</v>
      </c>
      <c r="J8" s="2972">
        <v>4024</v>
      </c>
      <c r="K8" s="2972">
        <f t="shared" ca="1" si="3"/>
        <v>873</v>
      </c>
      <c r="L8" s="2972">
        <f t="shared" ca="1" si="2"/>
        <v>7095</v>
      </c>
      <c r="M8" s="2986"/>
      <c r="N8" s="2986"/>
      <c r="O8" s="2986"/>
      <c r="P8" s="2986"/>
      <c r="Q8" s="2986"/>
      <c r="R8" s="2986"/>
    </row>
    <row r="9" spans="1:18" s="2987" customFormat="1">
      <c r="A9" s="2984"/>
      <c r="B9" s="2975" t="s">
        <v>3643</v>
      </c>
      <c r="C9" s="2984" t="s">
        <v>3075</v>
      </c>
      <c r="D9" s="2984">
        <v>77.209999999999994</v>
      </c>
      <c r="E9" s="2984">
        <v>535.04999999999995</v>
      </c>
      <c r="F9" s="2985" t="s">
        <v>3649</v>
      </c>
      <c r="G9" s="2972">
        <f t="shared" ca="1" si="0"/>
        <v>165</v>
      </c>
      <c r="H9" s="2972">
        <f t="shared" ca="1" si="1"/>
        <v>3071</v>
      </c>
      <c r="I9" s="2972">
        <f ca="1">ROUND(K9*成本法!$C$57,0)</f>
        <v>215</v>
      </c>
      <c r="J9" s="2972">
        <v>4024</v>
      </c>
      <c r="K9" s="2972">
        <f t="shared" ca="1" si="3"/>
        <v>380</v>
      </c>
      <c r="L9" s="2972">
        <f t="shared" ca="1" si="2"/>
        <v>7095</v>
      </c>
      <c r="M9" s="2986"/>
      <c r="N9" s="2986"/>
      <c r="O9" s="2986"/>
      <c r="P9" s="2986"/>
      <c r="Q9" s="2986"/>
      <c r="R9" s="2986"/>
    </row>
    <row r="10" spans="1:18" s="2987" customFormat="1">
      <c r="A10" s="2984"/>
      <c r="B10" s="2975" t="s">
        <v>3644</v>
      </c>
      <c r="C10" s="2984" t="s">
        <v>3077</v>
      </c>
      <c r="D10" s="2984">
        <v>98.17</v>
      </c>
      <c r="E10" s="2984">
        <v>680.24</v>
      </c>
      <c r="F10" s="2985" t="s">
        <v>3649</v>
      </c>
      <c r="G10" s="2972">
        <f t="shared" ca="1" si="0"/>
        <v>209</v>
      </c>
      <c r="H10" s="2972">
        <f t="shared" ca="1" si="1"/>
        <v>3071</v>
      </c>
      <c r="I10" s="2972">
        <f ca="1">ROUND(K10*成本法!$C$57,0)</f>
        <v>274</v>
      </c>
      <c r="J10" s="2972">
        <v>4024</v>
      </c>
      <c r="K10" s="2972">
        <f t="shared" ca="1" si="3"/>
        <v>483</v>
      </c>
      <c r="L10" s="2972">
        <f t="shared" ca="1" si="2"/>
        <v>7095</v>
      </c>
      <c r="M10" s="2986"/>
      <c r="N10" s="2986"/>
      <c r="O10" s="2986"/>
      <c r="P10" s="2986"/>
      <c r="Q10" s="2986"/>
      <c r="R10" s="2986"/>
    </row>
    <row r="11" spans="1:18" s="2987" customFormat="1">
      <c r="A11" s="2984"/>
      <c r="B11" s="2975" t="s">
        <v>3645</v>
      </c>
      <c r="C11" s="2984" t="s">
        <v>3079</v>
      </c>
      <c r="D11" s="2984">
        <v>229.85</v>
      </c>
      <c r="E11" s="2984">
        <v>1592.71</v>
      </c>
      <c r="F11" s="2985" t="s">
        <v>3649</v>
      </c>
      <c r="G11" s="2972">
        <f t="shared" ca="1" si="0"/>
        <v>489</v>
      </c>
      <c r="H11" s="2972">
        <f t="shared" ca="1" si="1"/>
        <v>3071</v>
      </c>
      <c r="I11" s="2972">
        <f ca="1">ROUND(K11*成本法!$C$57,0)</f>
        <v>641</v>
      </c>
      <c r="J11" s="2972">
        <v>4024</v>
      </c>
      <c r="K11" s="2972">
        <f t="shared" ca="1" si="3"/>
        <v>1130</v>
      </c>
      <c r="L11" s="2972">
        <f t="shared" ca="1" si="2"/>
        <v>7095</v>
      </c>
      <c r="M11" s="2986"/>
      <c r="N11" s="2986"/>
      <c r="O11" s="2986"/>
      <c r="P11" s="2986"/>
      <c r="Q11" s="2986"/>
      <c r="R11" s="2986"/>
    </row>
    <row r="12" spans="1:18" s="2987" customFormat="1">
      <c r="A12" s="2984"/>
      <c r="B12" s="2975" t="s">
        <v>3646</v>
      </c>
      <c r="C12" s="2984" t="s">
        <v>3081</v>
      </c>
      <c r="D12" s="2984">
        <v>19.27</v>
      </c>
      <c r="E12" s="2984">
        <v>133.5</v>
      </c>
      <c r="F12" s="2985" t="s">
        <v>3649</v>
      </c>
      <c r="G12" s="2972">
        <f t="shared" ca="1" si="0"/>
        <v>41</v>
      </c>
      <c r="H12" s="2972">
        <f t="shared" ca="1" si="1"/>
        <v>3071</v>
      </c>
      <c r="I12" s="2972">
        <f ca="1">ROUND(K12*成本法!$C$57,0)</f>
        <v>54</v>
      </c>
      <c r="J12" s="2972">
        <v>4024</v>
      </c>
      <c r="K12" s="2972">
        <f t="shared" ca="1" si="3"/>
        <v>95</v>
      </c>
      <c r="L12" s="2972">
        <f t="shared" ca="1" si="2"/>
        <v>7095</v>
      </c>
      <c r="M12" s="2986"/>
      <c r="N12" s="2986"/>
      <c r="O12" s="2986"/>
      <c r="P12" s="2986"/>
      <c r="Q12" s="2986"/>
      <c r="R12" s="2986"/>
    </row>
    <row r="13" spans="1:18" s="2987" customFormat="1">
      <c r="A13" s="2984"/>
      <c r="B13" s="2975" t="s">
        <v>3647</v>
      </c>
      <c r="C13" s="2984" t="s">
        <v>3083</v>
      </c>
      <c r="D13" s="2984">
        <v>193.35</v>
      </c>
      <c r="E13" s="2984">
        <v>1339.83</v>
      </c>
      <c r="F13" s="2985" t="s">
        <v>3649</v>
      </c>
      <c r="G13" s="2972">
        <f t="shared" ca="1" si="0"/>
        <v>412</v>
      </c>
      <c r="H13" s="2972">
        <f t="shared" ca="1" si="1"/>
        <v>3071</v>
      </c>
      <c r="I13" s="2972">
        <f ca="1">ROUND(K13*成本法!$C$57,0)</f>
        <v>539</v>
      </c>
      <c r="J13" s="2972">
        <v>4024</v>
      </c>
      <c r="K13" s="2972">
        <f t="shared" ca="1" si="3"/>
        <v>951</v>
      </c>
      <c r="L13" s="2972">
        <f t="shared" ca="1" si="2"/>
        <v>7095</v>
      </c>
      <c r="M13" s="2986"/>
      <c r="N13" s="2986"/>
      <c r="O13" s="2986"/>
      <c r="P13" s="2986"/>
      <c r="Q13" s="2986"/>
      <c r="R13" s="2986"/>
    </row>
    <row r="14" spans="1:18">
      <c r="A14" s="2972">
        <v>3</v>
      </c>
      <c r="B14" s="2972" t="s">
        <v>3084</v>
      </c>
      <c r="C14" s="2972" t="s">
        <v>3085</v>
      </c>
      <c r="D14" s="2972">
        <v>77.010000000000005</v>
      </c>
      <c r="E14" s="2972">
        <v>533.66999999999996</v>
      </c>
      <c r="F14" s="2971" t="s">
        <v>3485</v>
      </c>
      <c r="G14" s="2972">
        <f t="shared" ref="G14:G77" ca="1" si="4">K14-I14</f>
        <v>164</v>
      </c>
      <c r="H14" s="2972">
        <f t="shared" ca="1" si="1"/>
        <v>3071</v>
      </c>
      <c r="I14" s="2972">
        <f ca="1">ROUND(K14*成本法!$C$57,0)</f>
        <v>215</v>
      </c>
      <c r="J14" s="2972">
        <v>4024</v>
      </c>
      <c r="K14" s="2972">
        <f t="shared" ca="1" si="3"/>
        <v>379</v>
      </c>
      <c r="L14" s="2972">
        <f ca="1">$Q$16</f>
        <v>7095</v>
      </c>
      <c r="M14" s="2976" t="s">
        <v>3522</v>
      </c>
      <c r="N14">
        <v>1.04</v>
      </c>
      <c r="O14" s="2976" t="s">
        <v>3527</v>
      </c>
      <c r="P14">
        <f>SUM(E78:E106)</f>
        <v>15724.320000000003</v>
      </c>
      <c r="Q14">
        <f ca="1">ROUND(Q16*1.04,0)</f>
        <v>7379</v>
      </c>
      <c r="R14">
        <f ca="1">N18-R15-R16</f>
        <v>11602</v>
      </c>
    </row>
    <row r="15" spans="1:18">
      <c r="A15" s="2972">
        <v>4</v>
      </c>
      <c r="B15" s="2972" t="s">
        <v>3086</v>
      </c>
      <c r="C15" s="2972" t="s">
        <v>3087</v>
      </c>
      <c r="D15" s="2972">
        <v>48.68</v>
      </c>
      <c r="E15" s="2972">
        <v>337.31</v>
      </c>
      <c r="F15" s="2971" t="s">
        <v>3485</v>
      </c>
      <c r="G15" s="2972">
        <f t="shared" ca="1" si="4"/>
        <v>103</v>
      </c>
      <c r="H15" s="2972">
        <f t="shared" ca="1" si="1"/>
        <v>3071</v>
      </c>
      <c r="I15" s="2972">
        <f ca="1">ROUND(K15*成本法!$C$57,0)</f>
        <v>136</v>
      </c>
      <c r="J15" s="2972">
        <v>4024</v>
      </c>
      <c r="K15" s="2972">
        <f t="shared" ca="1" si="3"/>
        <v>239</v>
      </c>
      <c r="L15" s="2972">
        <f t="shared" ref="L15:L52" ca="1" si="5">$Q$16</f>
        <v>7095</v>
      </c>
      <c r="M15" s="2976" t="s">
        <v>3523</v>
      </c>
      <c r="N15">
        <v>1.02</v>
      </c>
      <c r="O15" s="2976" t="s">
        <v>3528</v>
      </c>
      <c r="P15">
        <f>SUM(E53:E77)</f>
        <v>15361.199999999999</v>
      </c>
      <c r="Q15">
        <f ca="1">ROUND(Q16*1.02,0)</f>
        <v>7237</v>
      </c>
      <c r="R15">
        <f ca="1">ROUND(Q15*P15/10000,0)</f>
        <v>11117</v>
      </c>
    </row>
    <row r="16" spans="1:18">
      <c r="A16" s="2972">
        <v>5</v>
      </c>
      <c r="B16" s="2972" t="s">
        <v>3088</v>
      </c>
      <c r="C16" s="2972" t="s">
        <v>3089</v>
      </c>
      <c r="D16" s="2972">
        <v>27.42</v>
      </c>
      <c r="E16" s="2972">
        <v>189.98</v>
      </c>
      <c r="F16" s="2971" t="s">
        <v>3485</v>
      </c>
      <c r="G16" s="2972">
        <f t="shared" ca="1" si="4"/>
        <v>58</v>
      </c>
      <c r="H16" s="2972">
        <f t="shared" ca="1" si="1"/>
        <v>3071</v>
      </c>
      <c r="I16" s="2972">
        <f ca="1">ROUND(K16*成本法!$C$57,0)</f>
        <v>77</v>
      </c>
      <c r="J16" s="2972">
        <v>4024</v>
      </c>
      <c r="K16" s="2972">
        <f t="shared" ca="1" si="3"/>
        <v>135</v>
      </c>
      <c r="L16" s="2972">
        <f t="shared" ca="1" si="5"/>
        <v>7095</v>
      </c>
      <c r="M16" s="2976" t="s">
        <v>3524</v>
      </c>
      <c r="N16">
        <v>1</v>
      </c>
      <c r="O16" s="2976" t="s">
        <v>3529</v>
      </c>
      <c r="P16">
        <f>SUM(E4:E52)</f>
        <v>26253.919999999987</v>
      </c>
      <c r="Q16">
        <f ca="1">P26</f>
        <v>7095</v>
      </c>
      <c r="R16">
        <f ca="1">ROUND(Q16*P16/10000,0)</f>
        <v>18627</v>
      </c>
    </row>
    <row r="17" spans="1:18">
      <c r="A17" s="2972">
        <v>6</v>
      </c>
      <c r="B17" s="2972" t="s">
        <v>3090</v>
      </c>
      <c r="C17" s="2972" t="s">
        <v>3091</v>
      </c>
      <c r="D17" s="2972">
        <v>22.35</v>
      </c>
      <c r="E17" s="2972">
        <v>154.85</v>
      </c>
      <c r="F17" s="2971" t="s">
        <v>3485</v>
      </c>
      <c r="G17" s="2972">
        <f t="shared" ca="1" si="4"/>
        <v>48</v>
      </c>
      <c r="H17" s="2972">
        <f t="shared" ca="1" si="1"/>
        <v>3071</v>
      </c>
      <c r="I17" s="2972">
        <f ca="1">ROUND(K17*成本法!$C$57,0)</f>
        <v>62</v>
      </c>
      <c r="J17" s="2972">
        <v>4024</v>
      </c>
      <c r="K17" s="2972">
        <f t="shared" ca="1" si="3"/>
        <v>110</v>
      </c>
      <c r="L17" s="2972">
        <f t="shared" ca="1" si="5"/>
        <v>7095</v>
      </c>
      <c r="M17" s="2976" t="s">
        <v>3525</v>
      </c>
      <c r="N17">
        <f ca="1">ROUND(N18/'数据-汇总表'!F19*10000,0)</f>
        <v>7211</v>
      </c>
      <c r="P17">
        <f>P14+P15+P16</f>
        <v>57339.439999999988</v>
      </c>
      <c r="R17">
        <f ca="1">SUM(R14:R16)</f>
        <v>41346</v>
      </c>
    </row>
    <row r="18" spans="1:18">
      <c r="A18" s="2972">
        <v>7</v>
      </c>
      <c r="B18" s="2972" t="s">
        <v>3092</v>
      </c>
      <c r="C18" s="2972" t="s">
        <v>3093</v>
      </c>
      <c r="D18" s="2972">
        <v>57.95</v>
      </c>
      <c r="E18" s="2972">
        <v>401.57</v>
      </c>
      <c r="F18" s="2971" t="s">
        <v>3485</v>
      </c>
      <c r="G18" s="2972">
        <f t="shared" ca="1" si="4"/>
        <v>123</v>
      </c>
      <c r="H18" s="2972">
        <f t="shared" ca="1" si="1"/>
        <v>3071</v>
      </c>
      <c r="I18" s="2972">
        <f ca="1">ROUND(K18*成本法!$C$57,0)</f>
        <v>162</v>
      </c>
      <c r="J18" s="2972">
        <v>4024</v>
      </c>
      <c r="K18" s="2972">
        <f t="shared" ca="1" si="3"/>
        <v>285</v>
      </c>
      <c r="L18" s="2972">
        <f t="shared" ca="1" si="5"/>
        <v>7095</v>
      </c>
      <c r="M18" s="2976" t="s">
        <v>3526</v>
      </c>
      <c r="N18">
        <f ca="1">N20</f>
        <v>41346</v>
      </c>
      <c r="O18" s="2976" t="s">
        <v>3873</v>
      </c>
    </row>
    <row r="19" spans="1:18">
      <c r="A19" s="2972">
        <v>8</v>
      </c>
      <c r="B19" s="2972" t="s">
        <v>3094</v>
      </c>
      <c r="C19" s="2972" t="s">
        <v>3095</v>
      </c>
      <c r="D19" s="2972">
        <v>48.51</v>
      </c>
      <c r="E19" s="2972">
        <v>336.14</v>
      </c>
      <c r="F19" s="2971" t="s">
        <v>3485</v>
      </c>
      <c r="G19" s="2972">
        <f t="shared" ca="1" si="4"/>
        <v>103</v>
      </c>
      <c r="H19" s="2972">
        <f t="shared" ca="1" si="1"/>
        <v>3071</v>
      </c>
      <c r="I19" s="2972">
        <f ca="1">ROUND(K19*成本法!$C$57,0)</f>
        <v>135</v>
      </c>
      <c r="J19" s="2972">
        <v>4024</v>
      </c>
      <c r="K19" s="2972">
        <f t="shared" ca="1" si="3"/>
        <v>238</v>
      </c>
      <c r="L19" s="2972">
        <f t="shared" ca="1" si="5"/>
        <v>7095</v>
      </c>
      <c r="M19" s="2976" t="s">
        <v>3875</v>
      </c>
      <c r="N19" s="3021">
        <f ca="1">ROUND('收益法（汇总）'!B6/'收益法（汇总）'!B2,4)</f>
        <v>0.90400000000000003</v>
      </c>
    </row>
    <row r="20" spans="1:18">
      <c r="A20" s="2972">
        <v>9</v>
      </c>
      <c r="B20" s="2972" t="s">
        <v>3096</v>
      </c>
      <c r="C20" s="2972" t="s">
        <v>3097</v>
      </c>
      <c r="D20" s="2972">
        <v>58.21</v>
      </c>
      <c r="E20" s="2972">
        <v>403.36</v>
      </c>
      <c r="F20" s="2971" t="s">
        <v>3485</v>
      </c>
      <c r="G20" s="2972">
        <f t="shared" ca="1" si="4"/>
        <v>124</v>
      </c>
      <c r="H20" s="2972">
        <f t="shared" ca="1" si="1"/>
        <v>3071</v>
      </c>
      <c r="I20" s="2972">
        <f ca="1">ROUND(K20*成本法!$C$57,0)</f>
        <v>162</v>
      </c>
      <c r="J20" s="2972">
        <v>4024</v>
      </c>
      <c r="K20" s="2972">
        <f t="shared" ca="1" si="3"/>
        <v>286</v>
      </c>
      <c r="L20" s="2972">
        <f t="shared" ca="1" si="5"/>
        <v>7095</v>
      </c>
      <c r="M20" s="2976" t="s">
        <v>3876</v>
      </c>
      <c r="N20">
        <f ca="1">ROUND(结果表!G19*面积明细!N19,0)</f>
        <v>41346</v>
      </c>
    </row>
    <row r="21" spans="1:18">
      <c r="A21" s="2972">
        <v>10</v>
      </c>
      <c r="B21" s="2972" t="s">
        <v>3098</v>
      </c>
      <c r="C21" s="2972" t="s">
        <v>3099</v>
      </c>
      <c r="D21" s="2972">
        <v>22.4</v>
      </c>
      <c r="E21" s="2972">
        <v>155.22999999999999</v>
      </c>
      <c r="F21" s="2971" t="s">
        <v>3485</v>
      </c>
      <c r="G21" s="2972">
        <f t="shared" ca="1" si="4"/>
        <v>48</v>
      </c>
      <c r="H21" s="2972">
        <f t="shared" ca="1" si="1"/>
        <v>3071</v>
      </c>
      <c r="I21" s="2972">
        <f ca="1">ROUND(K21*成本法!$C$57,0)</f>
        <v>62</v>
      </c>
      <c r="J21" s="2972">
        <v>4024</v>
      </c>
      <c r="K21" s="2972">
        <f t="shared" ca="1" si="3"/>
        <v>110</v>
      </c>
      <c r="L21" s="2972">
        <f t="shared" ca="1" si="5"/>
        <v>7095</v>
      </c>
    </row>
    <row r="22" spans="1:18">
      <c r="A22" s="2972">
        <v>11</v>
      </c>
      <c r="B22" s="2972" t="s">
        <v>3100</v>
      </c>
      <c r="C22" s="2972" t="s">
        <v>3101</v>
      </c>
      <c r="D22" s="2972">
        <v>39.159999999999997</v>
      </c>
      <c r="E22" s="2972">
        <v>271.39</v>
      </c>
      <c r="F22" s="2971" t="s">
        <v>3485</v>
      </c>
      <c r="G22" s="2972">
        <f t="shared" ca="1" si="4"/>
        <v>84</v>
      </c>
      <c r="H22" s="2972">
        <f t="shared" ca="1" si="1"/>
        <v>3071</v>
      </c>
      <c r="I22" s="2972">
        <f ca="1">ROUND(K22*成本法!$C$57,0)</f>
        <v>109</v>
      </c>
      <c r="J22" s="2972">
        <v>4024</v>
      </c>
      <c r="K22" s="2972">
        <f t="shared" ca="1" si="3"/>
        <v>193</v>
      </c>
      <c r="L22" s="2972">
        <f t="shared" ca="1" si="5"/>
        <v>7095</v>
      </c>
    </row>
    <row r="23" spans="1:18">
      <c r="A23" s="2972">
        <v>12</v>
      </c>
      <c r="B23" s="2972" t="s">
        <v>3102</v>
      </c>
      <c r="C23" s="2972" t="s">
        <v>3103</v>
      </c>
      <c r="D23" s="2972">
        <v>27.46</v>
      </c>
      <c r="E23" s="2972">
        <v>190.28</v>
      </c>
      <c r="F23" s="2971" t="s">
        <v>3485</v>
      </c>
      <c r="G23" s="2972">
        <f t="shared" ca="1" si="4"/>
        <v>58</v>
      </c>
      <c r="H23" s="2972">
        <f t="shared" ca="1" si="1"/>
        <v>3071</v>
      </c>
      <c r="I23" s="2972">
        <f ca="1">ROUND(K23*成本法!$C$57,0)</f>
        <v>77</v>
      </c>
      <c r="J23" s="2972">
        <v>4024</v>
      </c>
      <c r="K23" s="2972">
        <f t="shared" ca="1" si="3"/>
        <v>135</v>
      </c>
      <c r="L23" s="2972">
        <f t="shared" ca="1" si="5"/>
        <v>7095</v>
      </c>
      <c r="P23" s="2976" t="s">
        <v>3874</v>
      </c>
    </row>
    <row r="24" spans="1:18">
      <c r="A24" s="2972">
        <v>13</v>
      </c>
      <c r="B24" s="2972" t="s">
        <v>3104</v>
      </c>
      <c r="C24" s="2972" t="s">
        <v>3105</v>
      </c>
      <c r="D24" s="2972">
        <v>109.74</v>
      </c>
      <c r="E24" s="2972">
        <v>760.46</v>
      </c>
      <c r="F24" s="2971" t="s">
        <v>3485</v>
      </c>
      <c r="G24" s="2972">
        <f t="shared" ca="1" si="4"/>
        <v>234</v>
      </c>
      <c r="H24" s="2972">
        <f t="shared" ca="1" si="1"/>
        <v>3071</v>
      </c>
      <c r="I24" s="2972">
        <f ca="1">ROUND(K24*成本法!$C$57,0)</f>
        <v>306</v>
      </c>
      <c r="J24" s="2972">
        <v>4024</v>
      </c>
      <c r="K24" s="2972">
        <f t="shared" ca="1" si="3"/>
        <v>540</v>
      </c>
      <c r="L24" s="2972">
        <f t="shared" ca="1" si="5"/>
        <v>7095</v>
      </c>
    </row>
    <row r="25" spans="1:18">
      <c r="A25" s="2972">
        <v>14</v>
      </c>
      <c r="B25" s="2972" t="s">
        <v>3106</v>
      </c>
      <c r="C25" s="2972" t="s">
        <v>3107</v>
      </c>
      <c r="D25" s="2972">
        <v>76.680000000000007</v>
      </c>
      <c r="E25" s="2972">
        <v>531.33000000000004</v>
      </c>
      <c r="F25" s="2971" t="s">
        <v>3485</v>
      </c>
      <c r="G25" s="2972">
        <f t="shared" ca="1" si="4"/>
        <v>163</v>
      </c>
      <c r="H25" s="2972">
        <f t="shared" ca="1" si="1"/>
        <v>3071</v>
      </c>
      <c r="I25" s="2972">
        <f ca="1">ROUND(K25*成本法!$C$57,0)</f>
        <v>214</v>
      </c>
      <c r="J25" s="2972">
        <v>4024</v>
      </c>
      <c r="K25" s="2972">
        <f t="shared" ca="1" si="3"/>
        <v>377</v>
      </c>
      <c r="L25" s="2972">
        <f t="shared" ca="1" si="5"/>
        <v>7095</v>
      </c>
    </row>
    <row r="26" spans="1:18">
      <c r="A26" s="2972">
        <v>15</v>
      </c>
      <c r="B26" s="2972" t="s">
        <v>3108</v>
      </c>
      <c r="C26" s="2972" t="s">
        <v>3109</v>
      </c>
      <c r="D26" s="2972">
        <v>68</v>
      </c>
      <c r="E26" s="2972">
        <v>471.2</v>
      </c>
      <c r="F26" s="2971" t="s">
        <v>3485</v>
      </c>
      <c r="G26" s="2972">
        <f t="shared" ca="1" si="4"/>
        <v>145</v>
      </c>
      <c r="H26" s="2972">
        <f t="shared" ca="1" si="1"/>
        <v>3071</v>
      </c>
      <c r="I26" s="2972">
        <f ca="1">ROUND(K26*成本法!$C$57,0)</f>
        <v>189</v>
      </c>
      <c r="J26" s="2972">
        <v>4024</v>
      </c>
      <c r="K26" s="2972">
        <f t="shared" ca="1" si="3"/>
        <v>334</v>
      </c>
      <c r="L26" s="2972">
        <f t="shared" ca="1" si="5"/>
        <v>7095</v>
      </c>
      <c r="P26">
        <f ca="1">ROUND(N18/(26253.92+15361.2*1.02+15724.32*1.04)*10000,0)</f>
        <v>7095</v>
      </c>
    </row>
    <row r="27" spans="1:18">
      <c r="A27" s="2972">
        <v>16</v>
      </c>
      <c r="B27" s="2972" t="s">
        <v>3110</v>
      </c>
      <c r="C27" s="2972" t="s">
        <v>3111</v>
      </c>
      <c r="D27" s="2972">
        <v>192.82</v>
      </c>
      <c r="E27" s="2972">
        <v>1336.12</v>
      </c>
      <c r="F27" s="2971" t="s">
        <v>3485</v>
      </c>
      <c r="G27" s="2972">
        <f t="shared" ca="1" si="4"/>
        <v>410</v>
      </c>
      <c r="H27" s="2972">
        <f t="shared" ca="1" si="1"/>
        <v>3071</v>
      </c>
      <c r="I27" s="2972">
        <f ca="1">ROUND(K27*成本法!$C$57,0)</f>
        <v>538</v>
      </c>
      <c r="J27" s="2972">
        <v>4024</v>
      </c>
      <c r="K27" s="2972">
        <f t="shared" ca="1" si="3"/>
        <v>948</v>
      </c>
      <c r="L27" s="2972">
        <f t="shared" ca="1" si="5"/>
        <v>7095</v>
      </c>
      <c r="O27" s="2976" t="s">
        <v>3877</v>
      </c>
      <c r="P27">
        <f ca="1">SUM(K4:K106)</f>
        <v>41361</v>
      </c>
    </row>
    <row r="28" spans="1:18">
      <c r="A28" s="2972">
        <v>17</v>
      </c>
      <c r="B28" s="2972" t="s">
        <v>3112</v>
      </c>
      <c r="C28" s="2972" t="s">
        <v>3113</v>
      </c>
      <c r="D28" s="2972">
        <v>10.1</v>
      </c>
      <c r="E28" s="2972">
        <v>70</v>
      </c>
      <c r="F28" s="2971" t="s">
        <v>3485</v>
      </c>
      <c r="G28" s="2972">
        <f t="shared" ca="1" si="4"/>
        <v>22</v>
      </c>
      <c r="H28" s="2972">
        <f t="shared" ca="1" si="1"/>
        <v>3071</v>
      </c>
      <c r="I28" s="2972">
        <f ca="1">ROUND(K28*成本法!$C$57,0)</f>
        <v>28</v>
      </c>
      <c r="J28" s="2972">
        <v>4024</v>
      </c>
      <c r="K28" s="2972">
        <f t="shared" ca="1" si="3"/>
        <v>50</v>
      </c>
      <c r="L28" s="2972">
        <f t="shared" ca="1" si="5"/>
        <v>7095</v>
      </c>
    </row>
    <row r="29" spans="1:18">
      <c r="A29" s="2972">
        <v>18</v>
      </c>
      <c r="B29" s="2972" t="s">
        <v>3114</v>
      </c>
      <c r="C29" s="2972" t="s">
        <v>3115</v>
      </c>
      <c r="D29" s="2972">
        <v>177.89</v>
      </c>
      <c r="E29" s="2972">
        <v>1232.6500000000001</v>
      </c>
      <c r="F29" s="2971" t="s">
        <v>3486</v>
      </c>
      <c r="G29" s="2972">
        <f t="shared" ca="1" si="4"/>
        <v>379</v>
      </c>
      <c r="H29" s="2972">
        <f t="shared" ca="1" si="1"/>
        <v>3071</v>
      </c>
      <c r="I29" s="2972">
        <f ca="1">ROUND(K29*成本法!$C$57,0)</f>
        <v>496</v>
      </c>
      <c r="J29" s="2972">
        <v>4024</v>
      </c>
      <c r="K29" s="2972">
        <f t="shared" ca="1" si="3"/>
        <v>875</v>
      </c>
      <c r="L29" s="2972">
        <f t="shared" ca="1" si="5"/>
        <v>7095</v>
      </c>
      <c r="P29" s="2976" t="s">
        <v>3871</v>
      </c>
      <c r="Q29">
        <f ca="1">结果表!G19-P27</f>
        <v>4376</v>
      </c>
    </row>
    <row r="30" spans="1:18">
      <c r="A30" s="2972">
        <v>19</v>
      </c>
      <c r="B30" s="2972" t="s">
        <v>3116</v>
      </c>
      <c r="C30" s="2972" t="s">
        <v>3117</v>
      </c>
      <c r="D30" s="2972">
        <v>92.65</v>
      </c>
      <c r="E30" s="2972">
        <v>642</v>
      </c>
      <c r="F30" s="2971" t="s">
        <v>3486</v>
      </c>
      <c r="G30" s="2972">
        <f t="shared" ca="1" si="4"/>
        <v>197</v>
      </c>
      <c r="H30" s="2972">
        <f t="shared" ca="1" si="1"/>
        <v>3071</v>
      </c>
      <c r="I30" s="2972">
        <f ca="1">ROUND(K30*成本法!$C$57,0)</f>
        <v>258</v>
      </c>
      <c r="J30" s="2972">
        <v>4024</v>
      </c>
      <c r="K30" s="2972">
        <f t="shared" ca="1" si="3"/>
        <v>455</v>
      </c>
      <c r="L30" s="2972">
        <f t="shared" ca="1" si="5"/>
        <v>7095</v>
      </c>
      <c r="P30" s="2976" t="s">
        <v>3872</v>
      </c>
      <c r="Q30">
        <f ca="1">ROUND(Q29*10000/'收益法 (车库)'!F7,0)</f>
        <v>2874</v>
      </c>
    </row>
    <row r="31" spans="1:18">
      <c r="A31" s="2972">
        <v>20</v>
      </c>
      <c r="B31" s="2972" t="s">
        <v>3118</v>
      </c>
      <c r="C31" s="2972" t="s">
        <v>3119</v>
      </c>
      <c r="D31" s="2972">
        <v>14.78</v>
      </c>
      <c r="E31" s="2972">
        <v>102.42</v>
      </c>
      <c r="F31" s="2971" t="s">
        <v>3486</v>
      </c>
      <c r="G31" s="2972">
        <f t="shared" ca="1" si="4"/>
        <v>32</v>
      </c>
      <c r="H31" s="2972">
        <f t="shared" ca="1" si="1"/>
        <v>3071</v>
      </c>
      <c r="I31" s="2972">
        <f ca="1">ROUND(K31*成本法!$C$57,0)</f>
        <v>41</v>
      </c>
      <c r="J31" s="2972">
        <v>4024</v>
      </c>
      <c r="K31" s="2972">
        <f t="shared" ca="1" si="3"/>
        <v>73</v>
      </c>
      <c r="L31" s="2972">
        <f t="shared" ca="1" si="5"/>
        <v>7095</v>
      </c>
    </row>
    <row r="32" spans="1:18">
      <c r="A32" s="2972">
        <v>21</v>
      </c>
      <c r="B32" s="2972" t="s">
        <v>3120</v>
      </c>
      <c r="C32" s="2972" t="s">
        <v>3121</v>
      </c>
      <c r="D32" s="2972">
        <v>10.34</v>
      </c>
      <c r="E32" s="2972">
        <v>71.66</v>
      </c>
      <c r="F32" s="2971" t="s">
        <v>3486</v>
      </c>
      <c r="G32" s="2972">
        <f t="shared" ca="1" si="4"/>
        <v>22</v>
      </c>
      <c r="H32" s="2972">
        <f t="shared" ca="1" si="1"/>
        <v>3071</v>
      </c>
      <c r="I32" s="2972">
        <f ca="1">ROUND(K32*成本法!$C$57,0)</f>
        <v>29</v>
      </c>
      <c r="J32" s="2972">
        <v>4024</v>
      </c>
      <c r="K32" s="2972">
        <f t="shared" ca="1" si="3"/>
        <v>51</v>
      </c>
      <c r="L32" s="2972">
        <f t="shared" ca="1" si="5"/>
        <v>7095</v>
      </c>
    </row>
    <row r="33" spans="1:16">
      <c r="A33" s="2972">
        <v>22</v>
      </c>
      <c r="B33" s="2972" t="s">
        <v>3122</v>
      </c>
      <c r="C33" s="2972" t="s">
        <v>3123</v>
      </c>
      <c r="D33" s="2972">
        <v>55.49</v>
      </c>
      <c r="E33" s="2972">
        <v>384.52</v>
      </c>
      <c r="F33" s="2971" t="s">
        <v>3487</v>
      </c>
      <c r="G33" s="2972">
        <f t="shared" ca="1" si="4"/>
        <v>118</v>
      </c>
      <c r="H33" s="2972">
        <f t="shared" ca="1" si="1"/>
        <v>3071</v>
      </c>
      <c r="I33" s="2972">
        <f ca="1">ROUND(K33*成本法!$C$57,0)</f>
        <v>155</v>
      </c>
      <c r="J33" s="2972">
        <v>4024</v>
      </c>
      <c r="K33" s="2972">
        <f t="shared" ca="1" si="3"/>
        <v>273</v>
      </c>
      <c r="L33" s="2972">
        <f t="shared" ca="1" si="5"/>
        <v>7095</v>
      </c>
    </row>
    <row r="34" spans="1:16">
      <c r="A34" s="2972">
        <v>23</v>
      </c>
      <c r="B34" s="2972" t="s">
        <v>3124</v>
      </c>
      <c r="C34" s="2972" t="s">
        <v>3125</v>
      </c>
      <c r="D34" s="2972">
        <v>98.99</v>
      </c>
      <c r="E34" s="2972">
        <v>685.96</v>
      </c>
      <c r="F34" s="2971" t="s">
        <v>3487</v>
      </c>
      <c r="G34" s="2972">
        <f t="shared" ca="1" si="4"/>
        <v>211</v>
      </c>
      <c r="H34" s="2972">
        <f t="shared" ca="1" si="1"/>
        <v>3071</v>
      </c>
      <c r="I34" s="2972">
        <f ca="1">ROUND(K34*成本法!$C$57,0)</f>
        <v>276</v>
      </c>
      <c r="J34" s="2972">
        <v>4024</v>
      </c>
      <c r="K34" s="2972">
        <f t="shared" ca="1" si="3"/>
        <v>487</v>
      </c>
      <c r="L34" s="2972">
        <f t="shared" ca="1" si="5"/>
        <v>7095</v>
      </c>
      <c r="O34">
        <f>SUM(E4:E13)</f>
        <v>9854.2199999999993</v>
      </c>
      <c r="P34">
        <f ca="1">SUM(K4:K13)</f>
        <v>6994</v>
      </c>
    </row>
    <row r="35" spans="1:16">
      <c r="A35" s="2972">
        <v>24</v>
      </c>
      <c r="B35" s="2972" t="s">
        <v>3126</v>
      </c>
      <c r="C35" s="2972" t="s">
        <v>3127</v>
      </c>
      <c r="D35" s="2972">
        <v>67.69</v>
      </c>
      <c r="E35" s="2972">
        <v>469.05</v>
      </c>
      <c r="F35" s="2971" t="s">
        <v>3487</v>
      </c>
      <c r="G35" s="2972">
        <f t="shared" ca="1" si="4"/>
        <v>144</v>
      </c>
      <c r="H35" s="2972">
        <f t="shared" ca="1" si="1"/>
        <v>3071</v>
      </c>
      <c r="I35" s="2972">
        <f ca="1">ROUND(K35*成本法!$C$57,0)</f>
        <v>189</v>
      </c>
      <c r="J35" s="2972">
        <v>4024</v>
      </c>
      <c r="K35" s="2972">
        <f t="shared" ca="1" si="3"/>
        <v>333</v>
      </c>
      <c r="L35" s="2972">
        <f t="shared" ca="1" si="5"/>
        <v>7095</v>
      </c>
      <c r="P35">
        <f ca="1">P34/K107</f>
        <v>0.15291776898353632</v>
      </c>
    </row>
    <row r="36" spans="1:16">
      <c r="A36" s="2972">
        <v>25</v>
      </c>
      <c r="B36" s="2972" t="s">
        <v>3128</v>
      </c>
      <c r="C36" s="2972" t="s">
        <v>3129</v>
      </c>
      <c r="D36" s="2972">
        <v>63.81</v>
      </c>
      <c r="E36" s="2972">
        <v>442.19</v>
      </c>
      <c r="F36" s="2971" t="s">
        <v>3487</v>
      </c>
      <c r="G36" s="2972">
        <f t="shared" ca="1" si="4"/>
        <v>136</v>
      </c>
      <c r="H36" s="2972">
        <f t="shared" ca="1" si="1"/>
        <v>3071</v>
      </c>
      <c r="I36" s="2972">
        <f ca="1">ROUND(K36*成本法!$C$57,0)</f>
        <v>178</v>
      </c>
      <c r="J36" s="2972">
        <v>4024</v>
      </c>
      <c r="K36" s="2972">
        <f t="shared" ca="1" si="3"/>
        <v>314</v>
      </c>
      <c r="L36" s="2972">
        <f t="shared" ca="1" si="5"/>
        <v>7095</v>
      </c>
    </row>
    <row r="37" spans="1:16">
      <c r="A37" s="2972">
        <v>26</v>
      </c>
      <c r="B37" s="2972" t="s">
        <v>3130</v>
      </c>
      <c r="C37" s="2972" t="s">
        <v>3131</v>
      </c>
      <c r="D37" s="2972">
        <v>10.15</v>
      </c>
      <c r="E37" s="2972">
        <v>70.3</v>
      </c>
      <c r="F37" s="2971" t="s">
        <v>3487</v>
      </c>
      <c r="G37" s="2972">
        <f t="shared" ca="1" si="4"/>
        <v>22</v>
      </c>
      <c r="H37" s="2972">
        <f t="shared" ca="1" si="1"/>
        <v>3071</v>
      </c>
      <c r="I37" s="2972">
        <f ca="1">ROUND(K37*成本法!$C$57,0)</f>
        <v>28</v>
      </c>
      <c r="J37" s="2972">
        <v>4024</v>
      </c>
      <c r="K37" s="2972">
        <f t="shared" ca="1" si="3"/>
        <v>50</v>
      </c>
      <c r="L37" s="2972">
        <f t="shared" ca="1" si="5"/>
        <v>7095</v>
      </c>
    </row>
    <row r="38" spans="1:16">
      <c r="A38" s="2972">
        <v>27</v>
      </c>
      <c r="B38" s="2972" t="s">
        <v>3132</v>
      </c>
      <c r="C38" s="2972" t="s">
        <v>3133</v>
      </c>
      <c r="D38" s="2972">
        <v>55.49</v>
      </c>
      <c r="E38" s="2972">
        <v>384.52</v>
      </c>
      <c r="F38" s="2971" t="s">
        <v>3488</v>
      </c>
      <c r="G38" s="2972">
        <f t="shared" ca="1" si="4"/>
        <v>118</v>
      </c>
      <c r="H38" s="2972">
        <f t="shared" ca="1" si="1"/>
        <v>3071</v>
      </c>
      <c r="I38" s="2972">
        <f ca="1">ROUND(K38*成本法!$C$57,0)</f>
        <v>155</v>
      </c>
      <c r="J38" s="2972">
        <v>4024</v>
      </c>
      <c r="K38" s="2972">
        <f t="shared" ca="1" si="3"/>
        <v>273</v>
      </c>
      <c r="L38" s="2972">
        <f t="shared" ca="1" si="5"/>
        <v>7095</v>
      </c>
    </row>
    <row r="39" spans="1:16">
      <c r="A39" s="2972">
        <v>28</v>
      </c>
      <c r="B39" s="2972" t="s">
        <v>3134</v>
      </c>
      <c r="C39" s="2972" t="s">
        <v>3135</v>
      </c>
      <c r="D39" s="2972">
        <v>98.99</v>
      </c>
      <c r="E39" s="2972">
        <v>685.96</v>
      </c>
      <c r="F39" s="2971" t="s">
        <v>3488</v>
      </c>
      <c r="G39" s="2972">
        <f t="shared" ca="1" si="4"/>
        <v>211</v>
      </c>
      <c r="H39" s="2972">
        <f t="shared" ca="1" si="1"/>
        <v>3071</v>
      </c>
      <c r="I39" s="2972">
        <f ca="1">ROUND(K39*成本法!$C$57,0)</f>
        <v>276</v>
      </c>
      <c r="J39" s="2972">
        <v>4024</v>
      </c>
      <c r="K39" s="2972">
        <f t="shared" ca="1" si="3"/>
        <v>487</v>
      </c>
      <c r="L39" s="2972">
        <f t="shared" ca="1" si="5"/>
        <v>7095</v>
      </c>
    </row>
    <row r="40" spans="1:16">
      <c r="A40" s="2972">
        <v>29</v>
      </c>
      <c r="B40" s="2972" t="s">
        <v>3136</v>
      </c>
      <c r="C40" s="2972" t="s">
        <v>3137</v>
      </c>
      <c r="D40" s="2972">
        <v>67.69</v>
      </c>
      <c r="E40" s="2972">
        <v>469.05</v>
      </c>
      <c r="F40" s="2971" t="s">
        <v>3488</v>
      </c>
      <c r="G40" s="2972">
        <f t="shared" ca="1" si="4"/>
        <v>144</v>
      </c>
      <c r="H40" s="2972">
        <f t="shared" ca="1" si="1"/>
        <v>3071</v>
      </c>
      <c r="I40" s="2972">
        <f ca="1">ROUND(K40*成本法!$C$57,0)</f>
        <v>189</v>
      </c>
      <c r="J40" s="2972">
        <v>4024</v>
      </c>
      <c r="K40" s="2972">
        <f t="shared" ca="1" si="3"/>
        <v>333</v>
      </c>
      <c r="L40" s="2972">
        <f t="shared" ca="1" si="5"/>
        <v>7095</v>
      </c>
    </row>
    <row r="41" spans="1:16">
      <c r="A41" s="2972">
        <v>30</v>
      </c>
      <c r="B41" s="2972" t="s">
        <v>3138</v>
      </c>
      <c r="C41" s="2972" t="s">
        <v>3139</v>
      </c>
      <c r="D41" s="2972">
        <v>63.81</v>
      </c>
      <c r="E41" s="2972">
        <v>442.19</v>
      </c>
      <c r="F41" s="2971" t="s">
        <v>3488</v>
      </c>
      <c r="G41" s="2972">
        <f t="shared" ca="1" si="4"/>
        <v>136</v>
      </c>
      <c r="H41" s="2972">
        <f t="shared" ca="1" si="1"/>
        <v>3071</v>
      </c>
      <c r="I41" s="2972">
        <f ca="1">ROUND(K41*成本法!$C$57,0)</f>
        <v>178</v>
      </c>
      <c r="J41" s="2972">
        <v>4024</v>
      </c>
      <c r="K41" s="2972">
        <f t="shared" ca="1" si="3"/>
        <v>314</v>
      </c>
      <c r="L41" s="2972">
        <f t="shared" ca="1" si="5"/>
        <v>7095</v>
      </c>
    </row>
    <row r="42" spans="1:16">
      <c r="A42" s="2972">
        <v>31</v>
      </c>
      <c r="B42" s="2972" t="s">
        <v>3140</v>
      </c>
      <c r="C42" s="2972" t="s">
        <v>3141</v>
      </c>
      <c r="D42" s="2972">
        <v>10.15</v>
      </c>
      <c r="E42" s="2972">
        <v>70.3</v>
      </c>
      <c r="F42" s="2971" t="s">
        <v>3488</v>
      </c>
      <c r="G42" s="2972">
        <f t="shared" ca="1" si="4"/>
        <v>22</v>
      </c>
      <c r="H42" s="2972">
        <f t="shared" ca="1" si="1"/>
        <v>3071</v>
      </c>
      <c r="I42" s="2972">
        <f ca="1">ROUND(K42*成本法!$C$57,0)</f>
        <v>28</v>
      </c>
      <c r="J42" s="2972">
        <v>4024</v>
      </c>
      <c r="K42" s="2972">
        <f t="shared" ca="1" si="3"/>
        <v>50</v>
      </c>
      <c r="L42" s="2972">
        <f t="shared" ca="1" si="5"/>
        <v>7095</v>
      </c>
    </row>
    <row r="43" spans="1:16">
      <c r="A43" s="2972">
        <v>32</v>
      </c>
      <c r="B43" s="2972" t="s">
        <v>3142</v>
      </c>
      <c r="C43" s="2972" t="s">
        <v>3143</v>
      </c>
      <c r="D43" s="2972">
        <v>55.49</v>
      </c>
      <c r="E43" s="2972">
        <v>384.52</v>
      </c>
      <c r="F43" s="2971" t="s">
        <v>3489</v>
      </c>
      <c r="G43" s="2972">
        <f t="shared" ca="1" si="4"/>
        <v>118</v>
      </c>
      <c r="H43" s="2972">
        <f t="shared" ca="1" si="1"/>
        <v>3071</v>
      </c>
      <c r="I43" s="2972">
        <f ca="1">ROUND(K43*成本法!$C$57,0)</f>
        <v>155</v>
      </c>
      <c r="J43" s="2972">
        <v>4024</v>
      </c>
      <c r="K43" s="2972">
        <f t="shared" ca="1" si="3"/>
        <v>273</v>
      </c>
      <c r="L43" s="2972">
        <f t="shared" ca="1" si="5"/>
        <v>7095</v>
      </c>
    </row>
    <row r="44" spans="1:16">
      <c r="A44" s="2972">
        <v>33</v>
      </c>
      <c r="B44" s="2972" t="s">
        <v>3144</v>
      </c>
      <c r="C44" s="2972" t="s">
        <v>3145</v>
      </c>
      <c r="D44" s="2972">
        <v>98.99</v>
      </c>
      <c r="E44" s="2972">
        <v>685.96</v>
      </c>
      <c r="F44" s="2971" t="s">
        <v>3489</v>
      </c>
      <c r="G44" s="2972">
        <f t="shared" ca="1" si="4"/>
        <v>211</v>
      </c>
      <c r="H44" s="2972">
        <f t="shared" ca="1" si="1"/>
        <v>3071</v>
      </c>
      <c r="I44" s="2972">
        <f ca="1">ROUND(K44*成本法!$C$57,0)</f>
        <v>276</v>
      </c>
      <c r="J44" s="2972">
        <v>4024</v>
      </c>
      <c r="K44" s="2972">
        <f t="shared" ca="1" si="3"/>
        <v>487</v>
      </c>
      <c r="L44" s="2972">
        <f t="shared" ca="1" si="5"/>
        <v>7095</v>
      </c>
    </row>
    <row r="45" spans="1:16">
      <c r="A45" s="2972">
        <v>34</v>
      </c>
      <c r="B45" s="2972" t="s">
        <v>3146</v>
      </c>
      <c r="C45" s="2972" t="s">
        <v>3147</v>
      </c>
      <c r="D45" s="2972">
        <v>67.69</v>
      </c>
      <c r="E45" s="2972">
        <v>469.05</v>
      </c>
      <c r="F45" s="2971" t="s">
        <v>3489</v>
      </c>
      <c r="G45" s="2972">
        <f t="shared" ca="1" si="4"/>
        <v>144</v>
      </c>
      <c r="H45" s="2972">
        <f t="shared" ca="1" si="1"/>
        <v>3071</v>
      </c>
      <c r="I45" s="2972">
        <f ca="1">ROUND(K45*成本法!$C$57,0)</f>
        <v>189</v>
      </c>
      <c r="J45" s="2972">
        <v>4024</v>
      </c>
      <c r="K45" s="2972">
        <f t="shared" ca="1" si="3"/>
        <v>333</v>
      </c>
      <c r="L45" s="2972">
        <f t="shared" ca="1" si="5"/>
        <v>7095</v>
      </c>
    </row>
    <row r="46" spans="1:16">
      <c r="A46" s="2972">
        <v>35</v>
      </c>
      <c r="B46" s="2972" t="s">
        <v>3148</v>
      </c>
      <c r="C46" s="2972" t="s">
        <v>3149</v>
      </c>
      <c r="D46" s="2972">
        <v>63.81</v>
      </c>
      <c r="E46" s="2972">
        <v>442.19</v>
      </c>
      <c r="F46" s="2971" t="s">
        <v>3489</v>
      </c>
      <c r="G46" s="2972">
        <f t="shared" ca="1" si="4"/>
        <v>136</v>
      </c>
      <c r="H46" s="2972">
        <f t="shared" ca="1" si="1"/>
        <v>3071</v>
      </c>
      <c r="I46" s="2972">
        <f ca="1">ROUND(K46*成本法!$C$57,0)</f>
        <v>178</v>
      </c>
      <c r="J46" s="2972">
        <v>4024</v>
      </c>
      <c r="K46" s="2972">
        <f t="shared" ca="1" si="3"/>
        <v>314</v>
      </c>
      <c r="L46" s="2972">
        <f t="shared" ca="1" si="5"/>
        <v>7095</v>
      </c>
    </row>
    <row r="47" spans="1:16">
      <c r="A47" s="2972">
        <v>36</v>
      </c>
      <c r="B47" s="2972" t="s">
        <v>3150</v>
      </c>
      <c r="C47" s="2972" t="s">
        <v>3151</v>
      </c>
      <c r="D47" s="2972">
        <v>10.15</v>
      </c>
      <c r="E47" s="2972">
        <v>70.3</v>
      </c>
      <c r="F47" s="2971" t="s">
        <v>3489</v>
      </c>
      <c r="G47" s="2972">
        <f t="shared" ca="1" si="4"/>
        <v>22</v>
      </c>
      <c r="H47" s="2972">
        <f t="shared" ca="1" si="1"/>
        <v>3071</v>
      </c>
      <c r="I47" s="2972">
        <f ca="1">ROUND(K47*成本法!$C$57,0)</f>
        <v>28</v>
      </c>
      <c r="J47" s="2972">
        <v>4024</v>
      </c>
      <c r="K47" s="2972">
        <f t="shared" ca="1" si="3"/>
        <v>50</v>
      </c>
      <c r="L47" s="2972">
        <f t="shared" ca="1" si="5"/>
        <v>7095</v>
      </c>
    </row>
    <row r="48" spans="1:16">
      <c r="A48" s="2972">
        <v>37</v>
      </c>
      <c r="B48" s="2972" t="s">
        <v>3152</v>
      </c>
      <c r="C48" s="2972" t="s">
        <v>3153</v>
      </c>
      <c r="D48" s="2972">
        <v>55.49</v>
      </c>
      <c r="E48" s="2972">
        <v>384.52</v>
      </c>
      <c r="F48" s="2971" t="s">
        <v>3490</v>
      </c>
      <c r="G48" s="2972">
        <f t="shared" ca="1" si="4"/>
        <v>118</v>
      </c>
      <c r="H48" s="2972">
        <f t="shared" ca="1" si="1"/>
        <v>3071</v>
      </c>
      <c r="I48" s="2972">
        <f ca="1">ROUND(K48*成本法!$C$57,0)</f>
        <v>155</v>
      </c>
      <c r="J48" s="2972">
        <v>4024</v>
      </c>
      <c r="K48" s="2972">
        <f t="shared" ca="1" si="3"/>
        <v>273</v>
      </c>
      <c r="L48" s="2972">
        <f t="shared" ca="1" si="5"/>
        <v>7095</v>
      </c>
    </row>
    <row r="49" spans="1:12">
      <c r="A49" s="2972">
        <v>38</v>
      </c>
      <c r="B49" s="2972" t="s">
        <v>3154</v>
      </c>
      <c r="C49" s="2972" t="s">
        <v>3155</v>
      </c>
      <c r="D49" s="2972">
        <v>98.99</v>
      </c>
      <c r="E49" s="2972">
        <v>685.96</v>
      </c>
      <c r="F49" s="2971" t="s">
        <v>3490</v>
      </c>
      <c r="G49" s="2972">
        <f t="shared" ca="1" si="4"/>
        <v>211</v>
      </c>
      <c r="H49" s="2972">
        <f t="shared" ca="1" si="1"/>
        <v>3071</v>
      </c>
      <c r="I49" s="2972">
        <f ca="1">ROUND(K49*成本法!$C$57,0)</f>
        <v>276</v>
      </c>
      <c r="J49" s="2972">
        <v>4024</v>
      </c>
      <c r="K49" s="2972">
        <f t="shared" ca="1" si="3"/>
        <v>487</v>
      </c>
      <c r="L49" s="2972">
        <f t="shared" ca="1" si="5"/>
        <v>7095</v>
      </c>
    </row>
    <row r="50" spans="1:12">
      <c r="A50" s="2972">
        <v>39</v>
      </c>
      <c r="B50" s="2972" t="s">
        <v>3156</v>
      </c>
      <c r="C50" s="2972" t="s">
        <v>3157</v>
      </c>
      <c r="D50" s="2972">
        <v>67.69</v>
      </c>
      <c r="E50" s="2972">
        <v>469.05</v>
      </c>
      <c r="F50" s="2971" t="s">
        <v>3490</v>
      </c>
      <c r="G50" s="2972">
        <f t="shared" ca="1" si="4"/>
        <v>144</v>
      </c>
      <c r="H50" s="2972">
        <f t="shared" ca="1" si="1"/>
        <v>3071</v>
      </c>
      <c r="I50" s="2972">
        <f ca="1">ROUND(K50*成本法!$C$57,0)</f>
        <v>189</v>
      </c>
      <c r="J50" s="2972">
        <v>4024</v>
      </c>
      <c r="K50" s="2972">
        <f t="shared" ca="1" si="3"/>
        <v>333</v>
      </c>
      <c r="L50" s="2972">
        <f t="shared" ca="1" si="5"/>
        <v>7095</v>
      </c>
    </row>
    <row r="51" spans="1:12">
      <c r="A51" s="2972">
        <v>40</v>
      </c>
      <c r="B51" s="2972" t="s">
        <v>3158</v>
      </c>
      <c r="C51" s="2972" t="s">
        <v>3159</v>
      </c>
      <c r="D51" s="2972">
        <v>63.81</v>
      </c>
      <c r="E51" s="2972">
        <v>442.19</v>
      </c>
      <c r="F51" s="2971" t="s">
        <v>3490</v>
      </c>
      <c r="G51" s="2972">
        <f t="shared" ca="1" si="4"/>
        <v>136</v>
      </c>
      <c r="H51" s="2972">
        <f t="shared" ca="1" si="1"/>
        <v>3071</v>
      </c>
      <c r="I51" s="2972">
        <f ca="1">ROUND(K51*成本法!$C$57,0)</f>
        <v>178</v>
      </c>
      <c r="J51" s="2972">
        <v>4024</v>
      </c>
      <c r="K51" s="2972">
        <f t="shared" ca="1" si="3"/>
        <v>314</v>
      </c>
      <c r="L51" s="2972">
        <f t="shared" ca="1" si="5"/>
        <v>7095</v>
      </c>
    </row>
    <row r="52" spans="1:12">
      <c r="A52" s="2972">
        <v>41</v>
      </c>
      <c r="B52" s="2972" t="s">
        <v>3160</v>
      </c>
      <c r="C52" s="2972" t="s">
        <v>3161</v>
      </c>
      <c r="D52" s="2972">
        <v>10.15</v>
      </c>
      <c r="E52" s="2972">
        <v>70.3</v>
      </c>
      <c r="F52" s="2971" t="s">
        <v>3490</v>
      </c>
      <c r="G52" s="2972">
        <f t="shared" ca="1" si="4"/>
        <v>22</v>
      </c>
      <c r="H52" s="2972">
        <f t="shared" ca="1" si="1"/>
        <v>3071</v>
      </c>
      <c r="I52" s="2972">
        <f ca="1">ROUND(K52*成本法!$C$57,0)</f>
        <v>28</v>
      </c>
      <c r="J52" s="2972">
        <v>4024</v>
      </c>
      <c r="K52" s="2972">
        <f t="shared" ca="1" si="3"/>
        <v>50</v>
      </c>
      <c r="L52" s="2972">
        <f t="shared" ca="1" si="5"/>
        <v>7095</v>
      </c>
    </row>
    <row r="53" spans="1:12">
      <c r="A53" s="2972">
        <v>42</v>
      </c>
      <c r="B53" s="2972" t="s">
        <v>3162</v>
      </c>
      <c r="C53" s="2972" t="s">
        <v>3163</v>
      </c>
      <c r="D53" s="2972">
        <v>55.49</v>
      </c>
      <c r="E53" s="2972">
        <v>384.52</v>
      </c>
      <c r="F53" s="2971" t="s">
        <v>3491</v>
      </c>
      <c r="G53" s="2972">
        <f t="shared" ca="1" si="4"/>
        <v>120</v>
      </c>
      <c r="H53" s="2972">
        <f t="shared" ca="1" si="1"/>
        <v>3128</v>
      </c>
      <c r="I53" s="2972">
        <f ca="1">ROUND(K53*成本法!$C$57,0)</f>
        <v>158</v>
      </c>
      <c r="J53" s="2972">
        <f ca="1">ROUND(I53*10000/E53,0)</f>
        <v>4109</v>
      </c>
      <c r="K53" s="2972">
        <f t="shared" ca="1" si="3"/>
        <v>278</v>
      </c>
      <c r="L53" s="2972">
        <f ca="1">$Q$15</f>
        <v>7237</v>
      </c>
    </row>
    <row r="54" spans="1:12">
      <c r="A54" s="2972">
        <v>43</v>
      </c>
      <c r="B54" s="2972" t="s">
        <v>3164</v>
      </c>
      <c r="C54" s="2972" t="s">
        <v>3165</v>
      </c>
      <c r="D54" s="2972">
        <v>98.99</v>
      </c>
      <c r="E54" s="2972">
        <v>685.96</v>
      </c>
      <c r="F54" s="2971" t="s">
        <v>3491</v>
      </c>
      <c r="G54" s="2972">
        <f t="shared" ca="1" si="4"/>
        <v>215</v>
      </c>
      <c r="H54" s="2972">
        <f t="shared" ca="1" si="1"/>
        <v>3128</v>
      </c>
      <c r="I54" s="2972">
        <f ca="1">ROUND(K54*成本法!$C$57,0)</f>
        <v>281</v>
      </c>
      <c r="J54" s="2972">
        <v>4109</v>
      </c>
      <c r="K54" s="2972">
        <f t="shared" ca="1" si="3"/>
        <v>496</v>
      </c>
      <c r="L54" s="2972">
        <f t="shared" ref="L54:L77" ca="1" si="6">$Q$15</f>
        <v>7237</v>
      </c>
    </row>
    <row r="55" spans="1:12">
      <c r="A55" s="2972">
        <v>44</v>
      </c>
      <c r="B55" s="2972" t="s">
        <v>3166</v>
      </c>
      <c r="C55" s="2972" t="s">
        <v>3167</v>
      </c>
      <c r="D55" s="2972">
        <v>67.69</v>
      </c>
      <c r="E55" s="2972">
        <v>469.05</v>
      </c>
      <c r="F55" s="2971" t="s">
        <v>3491</v>
      </c>
      <c r="G55" s="2972">
        <f t="shared" ca="1" si="4"/>
        <v>147</v>
      </c>
      <c r="H55" s="2972">
        <f t="shared" ca="1" si="1"/>
        <v>3128</v>
      </c>
      <c r="I55" s="2972">
        <f ca="1">ROUND(K55*成本法!$C$57,0)</f>
        <v>192</v>
      </c>
      <c r="J55" s="2972">
        <v>4109</v>
      </c>
      <c r="K55" s="2972">
        <f t="shared" ca="1" si="3"/>
        <v>339</v>
      </c>
      <c r="L55" s="2972">
        <f t="shared" ca="1" si="6"/>
        <v>7237</v>
      </c>
    </row>
    <row r="56" spans="1:12">
      <c r="A56" s="2972">
        <v>45</v>
      </c>
      <c r="B56" s="2972" t="s">
        <v>3168</v>
      </c>
      <c r="C56" s="2972" t="s">
        <v>3169</v>
      </c>
      <c r="D56" s="2972">
        <v>63.81</v>
      </c>
      <c r="E56" s="2972">
        <v>442.19</v>
      </c>
      <c r="F56" s="2971" t="s">
        <v>3491</v>
      </c>
      <c r="G56" s="2972">
        <f t="shared" ca="1" si="4"/>
        <v>139</v>
      </c>
      <c r="H56" s="2972">
        <f t="shared" ca="1" si="1"/>
        <v>3128</v>
      </c>
      <c r="I56" s="2972">
        <f ca="1">ROUND(K56*成本法!$C$57,0)</f>
        <v>181</v>
      </c>
      <c r="J56" s="2972">
        <v>4109</v>
      </c>
      <c r="K56" s="2972">
        <f t="shared" ca="1" si="3"/>
        <v>320</v>
      </c>
      <c r="L56" s="2972">
        <f t="shared" ca="1" si="6"/>
        <v>7237</v>
      </c>
    </row>
    <row r="57" spans="1:12">
      <c r="A57" s="2972">
        <v>46</v>
      </c>
      <c r="B57" s="2972" t="s">
        <v>3170</v>
      </c>
      <c r="C57" s="2972" t="s">
        <v>3171</v>
      </c>
      <c r="D57" s="2972">
        <v>10.15</v>
      </c>
      <c r="E57" s="2972">
        <v>70.3</v>
      </c>
      <c r="F57" s="2971" t="s">
        <v>3491</v>
      </c>
      <c r="G57" s="2972">
        <f t="shared" ca="1" si="4"/>
        <v>22</v>
      </c>
      <c r="H57" s="2972">
        <f t="shared" ca="1" si="1"/>
        <v>3128</v>
      </c>
      <c r="I57" s="2972">
        <f ca="1">ROUND(K57*成本法!$C$57,0)</f>
        <v>29</v>
      </c>
      <c r="J57" s="2972">
        <v>4109</v>
      </c>
      <c r="K57" s="2972">
        <f t="shared" ca="1" si="3"/>
        <v>51</v>
      </c>
      <c r="L57" s="2972">
        <f t="shared" ca="1" si="6"/>
        <v>7237</v>
      </c>
    </row>
    <row r="58" spans="1:12">
      <c r="A58" s="2972">
        <v>47</v>
      </c>
      <c r="B58" s="2972" t="s">
        <v>3172</v>
      </c>
      <c r="C58" s="2972" t="s">
        <v>3173</v>
      </c>
      <c r="D58" s="2972">
        <v>55.49</v>
      </c>
      <c r="E58" s="2972">
        <v>384.52</v>
      </c>
      <c r="F58" s="2971" t="s">
        <v>3492</v>
      </c>
      <c r="G58" s="2972">
        <f t="shared" ca="1" si="4"/>
        <v>120</v>
      </c>
      <c r="H58" s="2972">
        <f t="shared" ca="1" si="1"/>
        <v>3128</v>
      </c>
      <c r="I58" s="2972">
        <f ca="1">ROUND(K58*成本法!$C$57,0)</f>
        <v>158</v>
      </c>
      <c r="J58" s="2972">
        <v>4109</v>
      </c>
      <c r="K58" s="2972">
        <f t="shared" ca="1" si="3"/>
        <v>278</v>
      </c>
      <c r="L58" s="2972">
        <f t="shared" ca="1" si="6"/>
        <v>7237</v>
      </c>
    </row>
    <row r="59" spans="1:12">
      <c r="A59" s="2972">
        <v>48</v>
      </c>
      <c r="B59" s="2972" t="s">
        <v>3174</v>
      </c>
      <c r="C59" s="2972" t="s">
        <v>3175</v>
      </c>
      <c r="D59" s="2972">
        <v>98.99</v>
      </c>
      <c r="E59" s="2972">
        <v>685.96</v>
      </c>
      <c r="F59" s="2971" t="s">
        <v>3492</v>
      </c>
      <c r="G59" s="2972">
        <f t="shared" ca="1" si="4"/>
        <v>215</v>
      </c>
      <c r="H59" s="2972">
        <f t="shared" ca="1" si="1"/>
        <v>3128</v>
      </c>
      <c r="I59" s="2972">
        <f ca="1">ROUND(K59*成本法!$C$57,0)</f>
        <v>281</v>
      </c>
      <c r="J59" s="2972">
        <v>4109</v>
      </c>
      <c r="K59" s="2972">
        <f t="shared" ca="1" si="3"/>
        <v>496</v>
      </c>
      <c r="L59" s="2972">
        <f t="shared" ca="1" si="6"/>
        <v>7237</v>
      </c>
    </row>
    <row r="60" spans="1:12">
      <c r="A60" s="2972">
        <v>49</v>
      </c>
      <c r="B60" s="2972" t="s">
        <v>3176</v>
      </c>
      <c r="C60" s="2972" t="s">
        <v>3177</v>
      </c>
      <c r="D60" s="2972">
        <v>67.69</v>
      </c>
      <c r="E60" s="2972">
        <v>469.05</v>
      </c>
      <c r="F60" s="2971" t="s">
        <v>3492</v>
      </c>
      <c r="G60" s="2972">
        <f t="shared" ca="1" si="4"/>
        <v>147</v>
      </c>
      <c r="H60" s="2972">
        <f t="shared" ca="1" si="1"/>
        <v>3128</v>
      </c>
      <c r="I60" s="2972">
        <f ca="1">ROUND(K60*成本法!$C$57,0)</f>
        <v>192</v>
      </c>
      <c r="J60" s="2972">
        <v>4109</v>
      </c>
      <c r="K60" s="2972">
        <f t="shared" ca="1" si="3"/>
        <v>339</v>
      </c>
      <c r="L60" s="2972">
        <f t="shared" ca="1" si="6"/>
        <v>7237</v>
      </c>
    </row>
    <row r="61" spans="1:12">
      <c r="A61" s="2972">
        <v>50</v>
      </c>
      <c r="B61" s="2972" t="s">
        <v>3178</v>
      </c>
      <c r="C61" s="2972" t="s">
        <v>3179</v>
      </c>
      <c r="D61" s="2972">
        <v>63.81</v>
      </c>
      <c r="E61" s="2972">
        <v>442.19</v>
      </c>
      <c r="F61" s="2971" t="s">
        <v>3492</v>
      </c>
      <c r="G61" s="2972">
        <f t="shared" ca="1" si="4"/>
        <v>139</v>
      </c>
      <c r="H61" s="2972">
        <f t="shared" ca="1" si="1"/>
        <v>3128</v>
      </c>
      <c r="I61" s="2972">
        <f ca="1">ROUND(K61*成本法!$C$57,0)</f>
        <v>181</v>
      </c>
      <c r="J61" s="2972">
        <v>4109</v>
      </c>
      <c r="K61" s="2972">
        <f t="shared" ca="1" si="3"/>
        <v>320</v>
      </c>
      <c r="L61" s="2972">
        <f t="shared" ca="1" si="6"/>
        <v>7237</v>
      </c>
    </row>
    <row r="62" spans="1:12">
      <c r="A62" s="2972">
        <v>51</v>
      </c>
      <c r="B62" s="2972" t="s">
        <v>3180</v>
      </c>
      <c r="C62" s="2972" t="s">
        <v>3181</v>
      </c>
      <c r="D62" s="2972">
        <v>10.15</v>
      </c>
      <c r="E62" s="2972">
        <v>70.3</v>
      </c>
      <c r="F62" s="2971" t="s">
        <v>3492</v>
      </c>
      <c r="G62" s="2972">
        <f t="shared" ca="1" si="4"/>
        <v>22</v>
      </c>
      <c r="H62" s="2972">
        <f t="shared" ca="1" si="1"/>
        <v>3128</v>
      </c>
      <c r="I62" s="2972">
        <f ca="1">ROUND(K62*成本法!$C$57,0)</f>
        <v>29</v>
      </c>
      <c r="J62" s="2972">
        <v>4109</v>
      </c>
      <c r="K62" s="2972">
        <f t="shared" ca="1" si="3"/>
        <v>51</v>
      </c>
      <c r="L62" s="2972">
        <f t="shared" ca="1" si="6"/>
        <v>7237</v>
      </c>
    </row>
    <row r="63" spans="1:12">
      <c r="A63" s="2972">
        <v>52</v>
      </c>
      <c r="B63" s="2972" t="s">
        <v>3182</v>
      </c>
      <c r="C63" s="2972" t="s">
        <v>3183</v>
      </c>
      <c r="D63" s="2972">
        <v>137.11000000000001</v>
      </c>
      <c r="E63" s="2972">
        <v>950.07</v>
      </c>
      <c r="F63" s="2971" t="s">
        <v>3493</v>
      </c>
      <c r="G63" s="2972">
        <f t="shared" ca="1" si="4"/>
        <v>298</v>
      </c>
      <c r="H63" s="2972">
        <f t="shared" ca="1" si="1"/>
        <v>3128</v>
      </c>
      <c r="I63" s="2972">
        <f ca="1">ROUND(K63*成本法!$C$57,0)</f>
        <v>390</v>
      </c>
      <c r="J63" s="2972">
        <v>4109</v>
      </c>
      <c r="K63" s="2972">
        <f t="shared" ca="1" si="3"/>
        <v>688</v>
      </c>
      <c r="L63" s="2972">
        <f t="shared" ca="1" si="6"/>
        <v>7237</v>
      </c>
    </row>
    <row r="64" spans="1:12">
      <c r="A64" s="2972">
        <v>53</v>
      </c>
      <c r="B64" s="2972" t="s">
        <v>3184</v>
      </c>
      <c r="C64" s="2972" t="s">
        <v>3185</v>
      </c>
      <c r="D64" s="2972">
        <v>148.88</v>
      </c>
      <c r="E64" s="2972">
        <v>1031.6500000000001</v>
      </c>
      <c r="F64" s="2971" t="s">
        <v>3493</v>
      </c>
      <c r="G64" s="2972">
        <f t="shared" ca="1" si="4"/>
        <v>323</v>
      </c>
      <c r="H64" s="2972">
        <f t="shared" ca="1" si="1"/>
        <v>3128</v>
      </c>
      <c r="I64" s="2972">
        <f ca="1">ROUND(K64*成本法!$C$57,0)</f>
        <v>424</v>
      </c>
      <c r="J64" s="2972">
        <v>4109</v>
      </c>
      <c r="K64" s="2972">
        <f t="shared" ca="1" si="3"/>
        <v>747</v>
      </c>
      <c r="L64" s="2972">
        <f t="shared" ca="1" si="6"/>
        <v>7237</v>
      </c>
    </row>
    <row r="65" spans="1:12">
      <c r="A65" s="2972">
        <v>54</v>
      </c>
      <c r="B65" s="2972" t="s">
        <v>3186</v>
      </c>
      <c r="C65" s="2972" t="s">
        <v>3187</v>
      </c>
      <c r="D65" s="2972">
        <v>10.15</v>
      </c>
      <c r="E65" s="2972">
        <v>70.3</v>
      </c>
      <c r="F65" s="2971" t="s">
        <v>3493</v>
      </c>
      <c r="G65" s="2972">
        <f t="shared" ca="1" si="4"/>
        <v>22</v>
      </c>
      <c r="H65" s="2972">
        <f t="shared" ca="1" si="1"/>
        <v>3128</v>
      </c>
      <c r="I65" s="2972">
        <f ca="1">ROUND(K65*成本法!$C$57,0)</f>
        <v>29</v>
      </c>
      <c r="J65" s="2972">
        <v>4109</v>
      </c>
      <c r="K65" s="2972">
        <f t="shared" ca="1" si="3"/>
        <v>51</v>
      </c>
      <c r="L65" s="2972">
        <f t="shared" ca="1" si="6"/>
        <v>7237</v>
      </c>
    </row>
    <row r="66" spans="1:12">
      <c r="A66" s="2972">
        <v>55</v>
      </c>
      <c r="B66" s="2972" t="s">
        <v>3190</v>
      </c>
      <c r="C66" s="2972" t="s">
        <v>3191</v>
      </c>
      <c r="D66" s="2972">
        <v>148.88</v>
      </c>
      <c r="E66" s="2972">
        <v>1031.6500000000001</v>
      </c>
      <c r="F66" s="2971" t="s">
        <v>3494</v>
      </c>
      <c r="G66" s="2972">
        <f t="shared" ca="1" si="4"/>
        <v>323</v>
      </c>
      <c r="H66" s="2972">
        <f t="shared" ca="1" si="1"/>
        <v>3128</v>
      </c>
      <c r="I66" s="2972">
        <f ca="1">ROUND(K66*成本法!$C$57,0)</f>
        <v>424</v>
      </c>
      <c r="J66" s="2972">
        <v>4109</v>
      </c>
      <c r="K66" s="2972">
        <f t="shared" ca="1" si="3"/>
        <v>747</v>
      </c>
      <c r="L66" s="2972">
        <f t="shared" ca="1" si="6"/>
        <v>7237</v>
      </c>
    </row>
    <row r="67" spans="1:12">
      <c r="A67" s="2972">
        <v>56</v>
      </c>
      <c r="B67" s="2972" t="s">
        <v>3192</v>
      </c>
      <c r="C67" s="2972" t="s">
        <v>3193</v>
      </c>
      <c r="D67" s="2972">
        <v>10.15</v>
      </c>
      <c r="E67" s="2972">
        <v>70.3</v>
      </c>
      <c r="F67" s="2971" t="s">
        <v>3494</v>
      </c>
      <c r="G67" s="2972">
        <f t="shared" ca="1" si="4"/>
        <v>22</v>
      </c>
      <c r="H67" s="2972">
        <f t="shared" ca="1" si="1"/>
        <v>3128</v>
      </c>
      <c r="I67" s="2972">
        <f ca="1">ROUND(K67*成本法!$C$57,0)</f>
        <v>29</v>
      </c>
      <c r="J67" s="2972">
        <v>4109</v>
      </c>
      <c r="K67" s="2972">
        <f t="shared" ca="1" si="3"/>
        <v>51</v>
      </c>
      <c r="L67" s="2972">
        <f t="shared" ca="1" si="6"/>
        <v>7237</v>
      </c>
    </row>
    <row r="68" spans="1:12">
      <c r="A68" s="2972">
        <v>57</v>
      </c>
      <c r="B68" s="2972" t="s">
        <v>3194</v>
      </c>
      <c r="C68" s="2972" t="s">
        <v>3195</v>
      </c>
      <c r="D68" s="2972">
        <v>137.11000000000001</v>
      </c>
      <c r="E68" s="2972">
        <v>950.07</v>
      </c>
      <c r="F68" s="2971" t="s">
        <v>3495</v>
      </c>
      <c r="G68" s="2972">
        <f t="shared" ca="1" si="4"/>
        <v>298</v>
      </c>
      <c r="H68" s="2972">
        <f t="shared" ca="1" si="1"/>
        <v>3128</v>
      </c>
      <c r="I68" s="2972">
        <f ca="1">ROUND(K68*成本法!$C$57,0)</f>
        <v>390</v>
      </c>
      <c r="J68" s="2972">
        <v>4109</v>
      </c>
      <c r="K68" s="2972">
        <f t="shared" ca="1" si="3"/>
        <v>688</v>
      </c>
      <c r="L68" s="2972">
        <f t="shared" ca="1" si="6"/>
        <v>7237</v>
      </c>
    </row>
    <row r="69" spans="1:12">
      <c r="A69" s="2972">
        <v>58</v>
      </c>
      <c r="B69" s="2972" t="s">
        <v>3196</v>
      </c>
      <c r="C69" s="2972" t="s">
        <v>3197</v>
      </c>
      <c r="D69" s="2972">
        <v>148.88</v>
      </c>
      <c r="E69" s="2972">
        <v>1031.6500000000001</v>
      </c>
      <c r="F69" s="2971" t="s">
        <v>3495</v>
      </c>
      <c r="G69" s="2972">
        <f t="shared" ca="1" si="4"/>
        <v>323</v>
      </c>
      <c r="H69" s="2972">
        <f t="shared" ca="1" si="1"/>
        <v>3128</v>
      </c>
      <c r="I69" s="2972">
        <f ca="1">ROUND(K69*成本法!$C$57,0)</f>
        <v>424</v>
      </c>
      <c r="J69" s="2972">
        <v>4109</v>
      </c>
      <c r="K69" s="2972">
        <f t="shared" ref="K69:K106" ca="1" si="7">ROUND(L69*E69/10000,0)</f>
        <v>747</v>
      </c>
      <c r="L69" s="2972">
        <f t="shared" ca="1" si="6"/>
        <v>7237</v>
      </c>
    </row>
    <row r="70" spans="1:12">
      <c r="A70" s="2972">
        <v>59</v>
      </c>
      <c r="B70" s="2972" t="s">
        <v>3198</v>
      </c>
      <c r="C70" s="2972" t="s">
        <v>3199</v>
      </c>
      <c r="D70" s="2972">
        <v>10.15</v>
      </c>
      <c r="E70" s="2972">
        <v>70.3</v>
      </c>
      <c r="F70" s="2971" t="s">
        <v>3495</v>
      </c>
      <c r="G70" s="2972">
        <f t="shared" ca="1" si="4"/>
        <v>22</v>
      </c>
      <c r="H70" s="2972">
        <f t="shared" ca="1" si="1"/>
        <v>3128</v>
      </c>
      <c r="I70" s="2972">
        <f ca="1">ROUND(K70*成本法!$C$57,0)</f>
        <v>29</v>
      </c>
      <c r="J70" s="2972">
        <v>4109</v>
      </c>
      <c r="K70" s="2972">
        <f t="shared" ca="1" si="7"/>
        <v>51</v>
      </c>
      <c r="L70" s="2972">
        <f t="shared" ca="1" si="6"/>
        <v>7237</v>
      </c>
    </row>
    <row r="71" spans="1:12">
      <c r="A71" s="2972">
        <v>60</v>
      </c>
      <c r="B71" s="2972" t="s">
        <v>3200</v>
      </c>
      <c r="C71" s="2972" t="s">
        <v>3201</v>
      </c>
      <c r="D71" s="2972">
        <v>137.11000000000001</v>
      </c>
      <c r="E71" s="2972">
        <v>950.07</v>
      </c>
      <c r="F71" s="2971" t="s">
        <v>3496</v>
      </c>
      <c r="G71" s="2972">
        <f t="shared" ca="1" si="4"/>
        <v>298</v>
      </c>
      <c r="H71" s="2972">
        <f t="shared" ca="1" si="1"/>
        <v>3128</v>
      </c>
      <c r="I71" s="2972">
        <f ca="1">ROUND(K71*成本法!$C$57,0)</f>
        <v>390</v>
      </c>
      <c r="J71" s="2972">
        <v>4109</v>
      </c>
      <c r="K71" s="2972">
        <f t="shared" ca="1" si="7"/>
        <v>688</v>
      </c>
      <c r="L71" s="2972">
        <f t="shared" ca="1" si="6"/>
        <v>7237</v>
      </c>
    </row>
    <row r="72" spans="1:12">
      <c r="A72" s="2972">
        <v>61</v>
      </c>
      <c r="B72" s="2972" t="s">
        <v>3202</v>
      </c>
      <c r="C72" s="2972" t="s">
        <v>3203</v>
      </c>
      <c r="D72" s="2972">
        <v>148.88</v>
      </c>
      <c r="E72" s="2972">
        <v>1031.6500000000001</v>
      </c>
      <c r="F72" s="2971" t="s">
        <v>3496</v>
      </c>
      <c r="G72" s="2972">
        <f t="shared" ca="1" si="4"/>
        <v>323</v>
      </c>
      <c r="H72" s="2972">
        <f t="shared" ca="1" si="1"/>
        <v>3128</v>
      </c>
      <c r="I72" s="2972">
        <f ca="1">ROUND(K72*成本法!$C$57,0)</f>
        <v>424</v>
      </c>
      <c r="J72" s="2972">
        <v>4109</v>
      </c>
      <c r="K72" s="2972">
        <f t="shared" ca="1" si="7"/>
        <v>747</v>
      </c>
      <c r="L72" s="2972">
        <f t="shared" ca="1" si="6"/>
        <v>7237</v>
      </c>
    </row>
    <row r="73" spans="1:12">
      <c r="A73" s="2972">
        <v>62</v>
      </c>
      <c r="B73" s="2972" t="s">
        <v>3204</v>
      </c>
      <c r="C73" s="2972" t="s">
        <v>3205</v>
      </c>
      <c r="D73" s="2972">
        <v>10.15</v>
      </c>
      <c r="E73" s="2972">
        <v>70.3</v>
      </c>
      <c r="F73" s="2971" t="s">
        <v>3496</v>
      </c>
      <c r="G73" s="2972">
        <f t="shared" ca="1" si="4"/>
        <v>22</v>
      </c>
      <c r="H73" s="2972">
        <f t="shared" ca="1" si="1"/>
        <v>3128</v>
      </c>
      <c r="I73" s="2972">
        <f ca="1">ROUND(K73*成本法!$C$57,0)</f>
        <v>29</v>
      </c>
      <c r="J73" s="2972">
        <v>4109</v>
      </c>
      <c r="K73" s="2972">
        <f t="shared" ca="1" si="7"/>
        <v>51</v>
      </c>
      <c r="L73" s="2972">
        <f t="shared" ca="1" si="6"/>
        <v>7237</v>
      </c>
    </row>
    <row r="74" spans="1:12">
      <c r="A74" s="2972">
        <v>63</v>
      </c>
      <c r="B74" s="2972" t="s">
        <v>3206</v>
      </c>
      <c r="C74" s="2972" t="s">
        <v>3207</v>
      </c>
      <c r="D74" s="2972">
        <v>138.29</v>
      </c>
      <c r="E74" s="2972">
        <v>958.29</v>
      </c>
      <c r="F74" s="2971" t="s">
        <v>3497</v>
      </c>
      <c r="G74" s="2972">
        <f t="shared" ca="1" si="4"/>
        <v>301</v>
      </c>
      <c r="H74" s="2972">
        <f t="shared" ca="1" si="1"/>
        <v>3128</v>
      </c>
      <c r="I74" s="2972">
        <f ca="1">ROUND(K74*成本法!$C$57,0)</f>
        <v>393</v>
      </c>
      <c r="J74" s="2972">
        <v>4109</v>
      </c>
      <c r="K74" s="2972">
        <f t="shared" ca="1" si="7"/>
        <v>694</v>
      </c>
      <c r="L74" s="2972">
        <f t="shared" ca="1" si="6"/>
        <v>7237</v>
      </c>
    </row>
    <row r="75" spans="1:12">
      <c r="A75" s="2972">
        <v>64</v>
      </c>
      <c r="B75" s="2972" t="s">
        <v>3208</v>
      </c>
      <c r="C75" s="2972" t="s">
        <v>3209</v>
      </c>
      <c r="D75" s="2972">
        <v>150.16999999999999</v>
      </c>
      <c r="E75" s="2972">
        <v>1040.58</v>
      </c>
      <c r="F75" s="2971" t="s">
        <v>3497</v>
      </c>
      <c r="G75" s="2972">
        <f t="shared" ca="1" si="4"/>
        <v>326</v>
      </c>
      <c r="H75" s="2972">
        <f t="shared" ca="1" si="1"/>
        <v>3128</v>
      </c>
      <c r="I75" s="2972">
        <f ca="1">ROUND(K75*成本法!$C$57,0)</f>
        <v>427</v>
      </c>
      <c r="J75" s="2972">
        <v>4109</v>
      </c>
      <c r="K75" s="2972">
        <f t="shared" ca="1" si="7"/>
        <v>753</v>
      </c>
      <c r="L75" s="2972">
        <f t="shared" ca="1" si="6"/>
        <v>7237</v>
      </c>
    </row>
    <row r="76" spans="1:12">
      <c r="A76" s="2972">
        <v>65</v>
      </c>
      <c r="B76" s="2972" t="s">
        <v>3210</v>
      </c>
      <c r="C76" s="2972" t="s">
        <v>3211</v>
      </c>
      <c r="D76" s="2972">
        <v>138.38999999999999</v>
      </c>
      <c r="E76" s="2972">
        <v>958.98</v>
      </c>
      <c r="F76" s="2971" t="s">
        <v>3498</v>
      </c>
      <c r="G76" s="2972">
        <f t="shared" ca="1" si="4"/>
        <v>301</v>
      </c>
      <c r="H76" s="2972">
        <f t="shared" ca="1" si="1"/>
        <v>3128</v>
      </c>
      <c r="I76" s="2972">
        <f ca="1">ROUND(K76*成本法!$C$57,0)</f>
        <v>393</v>
      </c>
      <c r="J76" s="2972">
        <v>4109</v>
      </c>
      <c r="K76" s="2972">
        <f t="shared" ca="1" si="7"/>
        <v>694</v>
      </c>
      <c r="L76" s="2972">
        <f t="shared" ca="1" si="6"/>
        <v>7237</v>
      </c>
    </row>
    <row r="77" spans="1:12">
      <c r="A77" s="2972">
        <v>66</v>
      </c>
      <c r="B77" s="2972" t="s">
        <v>3212</v>
      </c>
      <c r="C77" s="2972" t="s">
        <v>3213</v>
      </c>
      <c r="D77" s="2972">
        <v>150.27000000000001</v>
      </c>
      <c r="E77" s="2972">
        <v>1041.3</v>
      </c>
      <c r="F77" s="2971" t="s">
        <v>3498</v>
      </c>
      <c r="G77" s="2972">
        <f t="shared" ca="1" si="4"/>
        <v>326</v>
      </c>
      <c r="H77" s="2972">
        <f t="shared" ref="H77:H106" ca="1" si="8">L77-J77</f>
        <v>3128</v>
      </c>
      <c r="I77" s="2972">
        <f ca="1">ROUND(K77*成本法!$C$57,0)</f>
        <v>428</v>
      </c>
      <c r="J77" s="2972">
        <v>4109</v>
      </c>
      <c r="K77" s="2972">
        <f t="shared" ca="1" si="7"/>
        <v>754</v>
      </c>
      <c r="L77" s="2972">
        <f t="shared" ca="1" si="6"/>
        <v>7237</v>
      </c>
    </row>
    <row r="78" spans="1:12">
      <c r="A78" s="2972">
        <v>67</v>
      </c>
      <c r="B78" s="2972" t="s">
        <v>3214</v>
      </c>
      <c r="C78" s="2972" t="s">
        <v>3215</v>
      </c>
      <c r="D78" s="2972">
        <v>136.26</v>
      </c>
      <c r="E78" s="2972">
        <v>944.22</v>
      </c>
      <c r="F78" s="2971" t="s">
        <v>3499</v>
      </c>
      <c r="G78" s="2972">
        <f t="shared" ref="G78:G106" ca="1" si="9">K78-I78</f>
        <v>302</v>
      </c>
      <c r="H78" s="2972">
        <f t="shared" ca="1" si="8"/>
        <v>3196</v>
      </c>
      <c r="I78" s="2972">
        <f ca="1">ROUND(K78*成本法!$C$57,0)</f>
        <v>395</v>
      </c>
      <c r="J78" s="2972">
        <f t="shared" ref="J78" ca="1" si="10">ROUND(I78*10000/E78,0)</f>
        <v>4183</v>
      </c>
      <c r="K78" s="2972">
        <f t="shared" ca="1" si="7"/>
        <v>697</v>
      </c>
      <c r="L78" s="2972">
        <f ca="1">$Q$14</f>
        <v>7379</v>
      </c>
    </row>
    <row r="79" spans="1:12">
      <c r="A79" s="2972">
        <v>68</v>
      </c>
      <c r="B79" s="2972" t="s">
        <v>3216</v>
      </c>
      <c r="C79" s="2972" t="s">
        <v>3217</v>
      </c>
      <c r="D79" s="2972">
        <v>147.96</v>
      </c>
      <c r="E79" s="2972">
        <v>1025.27</v>
      </c>
      <c r="F79" s="2971" t="s">
        <v>3499</v>
      </c>
      <c r="G79" s="2972">
        <f t="shared" ca="1" si="9"/>
        <v>328</v>
      </c>
      <c r="H79" s="2972">
        <f t="shared" ca="1" si="8"/>
        <v>3196</v>
      </c>
      <c r="I79" s="2972">
        <f ca="1">ROUND(K79*成本法!$C$57,0)</f>
        <v>429</v>
      </c>
      <c r="J79" s="2972">
        <v>4183</v>
      </c>
      <c r="K79" s="2972">
        <f t="shared" ca="1" si="7"/>
        <v>757</v>
      </c>
      <c r="L79" s="2972">
        <f t="shared" ref="L79:L106" ca="1" si="11">$Q$14</f>
        <v>7379</v>
      </c>
    </row>
    <row r="80" spans="1:12">
      <c r="A80" s="2972">
        <v>69</v>
      </c>
      <c r="B80" s="2972" t="s">
        <v>3218</v>
      </c>
      <c r="C80" s="2972" t="s">
        <v>3219</v>
      </c>
      <c r="D80" s="2972">
        <v>18.829999999999998</v>
      </c>
      <c r="E80" s="2972">
        <v>130.47999999999999</v>
      </c>
      <c r="F80" s="2971" t="s">
        <v>3499</v>
      </c>
      <c r="G80" s="2972">
        <f t="shared" ca="1" si="9"/>
        <v>42</v>
      </c>
      <c r="H80" s="2972">
        <f t="shared" ca="1" si="8"/>
        <v>3196</v>
      </c>
      <c r="I80" s="2972">
        <f ca="1">ROUND(K80*成本法!$C$57,0)</f>
        <v>54</v>
      </c>
      <c r="J80" s="2972">
        <v>4183</v>
      </c>
      <c r="K80" s="2972">
        <f t="shared" ca="1" si="7"/>
        <v>96</v>
      </c>
      <c r="L80" s="2972">
        <f t="shared" ca="1" si="11"/>
        <v>7379</v>
      </c>
    </row>
    <row r="81" spans="1:12">
      <c r="A81" s="2972">
        <v>70</v>
      </c>
      <c r="B81" s="2972" t="s">
        <v>3220</v>
      </c>
      <c r="C81" s="2972" t="s">
        <v>3221</v>
      </c>
      <c r="D81" s="2972">
        <v>136.26</v>
      </c>
      <c r="E81" s="2972">
        <v>944.22</v>
      </c>
      <c r="F81" s="2971" t="s">
        <v>3500</v>
      </c>
      <c r="G81" s="2972">
        <f t="shared" ca="1" si="9"/>
        <v>302</v>
      </c>
      <c r="H81" s="2972">
        <f t="shared" ca="1" si="8"/>
        <v>3196</v>
      </c>
      <c r="I81" s="2972">
        <f ca="1">ROUND(K81*成本法!$C$57,0)</f>
        <v>395</v>
      </c>
      <c r="J81" s="2972">
        <v>4183</v>
      </c>
      <c r="K81" s="2972">
        <f t="shared" ca="1" si="7"/>
        <v>697</v>
      </c>
      <c r="L81" s="2972">
        <f t="shared" ca="1" si="11"/>
        <v>7379</v>
      </c>
    </row>
    <row r="82" spans="1:12">
      <c r="A82" s="2972">
        <v>71</v>
      </c>
      <c r="B82" s="2972" t="s">
        <v>3222</v>
      </c>
      <c r="C82" s="2972" t="s">
        <v>3223</v>
      </c>
      <c r="D82" s="2972">
        <v>147.96</v>
      </c>
      <c r="E82" s="2972">
        <v>1025.27</v>
      </c>
      <c r="F82" s="2971" t="s">
        <v>3500</v>
      </c>
      <c r="G82" s="2972">
        <f t="shared" ca="1" si="9"/>
        <v>328</v>
      </c>
      <c r="H82" s="2972">
        <f t="shared" ca="1" si="8"/>
        <v>3196</v>
      </c>
      <c r="I82" s="2972">
        <f ca="1">ROUND(K82*成本法!$C$57,0)</f>
        <v>429</v>
      </c>
      <c r="J82" s="2972">
        <v>4183</v>
      </c>
      <c r="K82" s="2972">
        <f t="shared" ca="1" si="7"/>
        <v>757</v>
      </c>
      <c r="L82" s="2972">
        <f t="shared" ca="1" si="11"/>
        <v>7379</v>
      </c>
    </row>
    <row r="83" spans="1:12">
      <c r="A83" s="2972">
        <v>72</v>
      </c>
      <c r="B83" s="2972" t="s">
        <v>3224</v>
      </c>
      <c r="C83" s="2972" t="s">
        <v>3225</v>
      </c>
      <c r="D83" s="2972">
        <v>18.829999999999998</v>
      </c>
      <c r="E83" s="2972">
        <v>130.47999999999999</v>
      </c>
      <c r="F83" s="2971" t="s">
        <v>3500</v>
      </c>
      <c r="G83" s="2972">
        <f t="shared" ca="1" si="9"/>
        <v>42</v>
      </c>
      <c r="H83" s="2972">
        <f t="shared" ca="1" si="8"/>
        <v>3196</v>
      </c>
      <c r="I83" s="2972">
        <f ca="1">ROUND(K83*成本法!$C$57,0)</f>
        <v>54</v>
      </c>
      <c r="J83" s="2972">
        <v>4183</v>
      </c>
      <c r="K83" s="2972">
        <f t="shared" ca="1" si="7"/>
        <v>96</v>
      </c>
      <c r="L83" s="2972">
        <f t="shared" ca="1" si="11"/>
        <v>7379</v>
      </c>
    </row>
    <row r="84" spans="1:12">
      <c r="A84" s="2972">
        <v>73</v>
      </c>
      <c r="B84" s="2972" t="s">
        <v>3226</v>
      </c>
      <c r="C84" s="2972" t="s">
        <v>3227</v>
      </c>
      <c r="D84" s="2972">
        <v>136.26</v>
      </c>
      <c r="E84" s="2972">
        <v>944.22</v>
      </c>
      <c r="F84" s="2971" t="s">
        <v>3501</v>
      </c>
      <c r="G84" s="2972">
        <f t="shared" ca="1" si="9"/>
        <v>302</v>
      </c>
      <c r="H84" s="2972">
        <f t="shared" ca="1" si="8"/>
        <v>3196</v>
      </c>
      <c r="I84" s="2972">
        <f ca="1">ROUND(K84*成本法!$C$57,0)</f>
        <v>395</v>
      </c>
      <c r="J84" s="2972">
        <v>4183</v>
      </c>
      <c r="K84" s="2972">
        <f t="shared" ca="1" si="7"/>
        <v>697</v>
      </c>
      <c r="L84" s="2972">
        <f t="shared" ca="1" si="11"/>
        <v>7379</v>
      </c>
    </row>
    <row r="85" spans="1:12">
      <c r="A85" s="2972">
        <v>74</v>
      </c>
      <c r="B85" s="2972" t="s">
        <v>3228</v>
      </c>
      <c r="C85" s="2972" t="s">
        <v>3229</v>
      </c>
      <c r="D85" s="2972">
        <v>147.96</v>
      </c>
      <c r="E85" s="2972">
        <v>1025.27</v>
      </c>
      <c r="F85" s="2971" t="s">
        <v>3501</v>
      </c>
      <c r="G85" s="2972">
        <f t="shared" ca="1" si="9"/>
        <v>328</v>
      </c>
      <c r="H85" s="2972">
        <f t="shared" ca="1" si="8"/>
        <v>3196</v>
      </c>
      <c r="I85" s="2972">
        <f ca="1">ROUND(K85*成本法!$C$57,0)</f>
        <v>429</v>
      </c>
      <c r="J85" s="2972">
        <v>4183</v>
      </c>
      <c r="K85" s="2972">
        <f t="shared" ca="1" si="7"/>
        <v>757</v>
      </c>
      <c r="L85" s="2972">
        <f t="shared" ca="1" si="11"/>
        <v>7379</v>
      </c>
    </row>
    <row r="86" spans="1:12">
      <c r="A86" s="2972">
        <v>75</v>
      </c>
      <c r="B86" s="2972" t="s">
        <v>3230</v>
      </c>
      <c r="C86" s="2972" t="s">
        <v>3231</v>
      </c>
      <c r="D86" s="2972">
        <v>18.829999999999998</v>
      </c>
      <c r="E86" s="2972">
        <v>130.47999999999999</v>
      </c>
      <c r="F86" s="2971" t="s">
        <v>3501</v>
      </c>
      <c r="G86" s="2972">
        <f t="shared" ca="1" si="9"/>
        <v>42</v>
      </c>
      <c r="H86" s="2972">
        <f t="shared" ca="1" si="8"/>
        <v>3196</v>
      </c>
      <c r="I86" s="2972">
        <f ca="1">ROUND(K86*成本法!$C$57,0)</f>
        <v>54</v>
      </c>
      <c r="J86" s="2972">
        <v>4183</v>
      </c>
      <c r="K86" s="2972">
        <f t="shared" ca="1" si="7"/>
        <v>96</v>
      </c>
      <c r="L86" s="2972">
        <f t="shared" ca="1" si="11"/>
        <v>7379</v>
      </c>
    </row>
    <row r="87" spans="1:12">
      <c r="A87" s="2972">
        <v>76</v>
      </c>
      <c r="B87" s="2972" t="s">
        <v>3232</v>
      </c>
      <c r="C87" s="2972" t="s">
        <v>3233</v>
      </c>
      <c r="D87" s="2972">
        <v>136.26</v>
      </c>
      <c r="E87" s="2972">
        <v>944.22</v>
      </c>
      <c r="F87" s="2971" t="s">
        <v>3502</v>
      </c>
      <c r="G87" s="2972">
        <f t="shared" ca="1" si="9"/>
        <v>302</v>
      </c>
      <c r="H87" s="2972">
        <f t="shared" ca="1" si="8"/>
        <v>3196</v>
      </c>
      <c r="I87" s="2972">
        <f ca="1">ROUND(K87*成本法!$C$57,0)</f>
        <v>395</v>
      </c>
      <c r="J87" s="2972">
        <v>4183</v>
      </c>
      <c r="K87" s="2972">
        <f t="shared" ca="1" si="7"/>
        <v>697</v>
      </c>
      <c r="L87" s="2972">
        <f t="shared" ca="1" si="11"/>
        <v>7379</v>
      </c>
    </row>
    <row r="88" spans="1:12">
      <c r="A88" s="2972">
        <v>77</v>
      </c>
      <c r="B88" s="2972" t="s">
        <v>3234</v>
      </c>
      <c r="C88" s="2972" t="s">
        <v>3235</v>
      </c>
      <c r="D88" s="2972">
        <v>147.96</v>
      </c>
      <c r="E88" s="2972">
        <v>1025.27</v>
      </c>
      <c r="F88" s="2971" t="s">
        <v>3502</v>
      </c>
      <c r="G88" s="2972">
        <f t="shared" ca="1" si="9"/>
        <v>328</v>
      </c>
      <c r="H88" s="2972">
        <f t="shared" ca="1" si="8"/>
        <v>3196</v>
      </c>
      <c r="I88" s="2972">
        <f ca="1">ROUND(K88*成本法!$C$57,0)</f>
        <v>429</v>
      </c>
      <c r="J88" s="2972">
        <v>4183</v>
      </c>
      <c r="K88" s="2972">
        <f t="shared" ca="1" si="7"/>
        <v>757</v>
      </c>
      <c r="L88" s="2972">
        <f t="shared" ca="1" si="11"/>
        <v>7379</v>
      </c>
    </row>
    <row r="89" spans="1:12">
      <c r="A89" s="2972">
        <v>78</v>
      </c>
      <c r="B89" s="2972" t="s">
        <v>3236</v>
      </c>
      <c r="C89" s="2972" t="s">
        <v>3237</v>
      </c>
      <c r="D89" s="2972">
        <v>18.829999999999998</v>
      </c>
      <c r="E89" s="2972">
        <v>130.47999999999999</v>
      </c>
      <c r="F89" s="2971" t="s">
        <v>3502</v>
      </c>
      <c r="G89" s="2972">
        <f t="shared" ca="1" si="9"/>
        <v>42</v>
      </c>
      <c r="H89" s="2972">
        <f t="shared" ca="1" si="8"/>
        <v>3196</v>
      </c>
      <c r="I89" s="2972">
        <f ca="1">ROUND(K89*成本法!$C$57,0)</f>
        <v>54</v>
      </c>
      <c r="J89" s="2972">
        <v>4183</v>
      </c>
      <c r="K89" s="2972">
        <f t="shared" ca="1" si="7"/>
        <v>96</v>
      </c>
      <c r="L89" s="2972">
        <f t="shared" ca="1" si="11"/>
        <v>7379</v>
      </c>
    </row>
    <row r="90" spans="1:12">
      <c r="A90" s="2972">
        <v>79</v>
      </c>
      <c r="B90" s="2972" t="s">
        <v>3238</v>
      </c>
      <c r="C90" s="2972" t="s">
        <v>3239</v>
      </c>
      <c r="D90" s="2972">
        <v>136.26</v>
      </c>
      <c r="E90" s="2972">
        <v>944.22</v>
      </c>
      <c r="F90" s="2971" t="s">
        <v>3503</v>
      </c>
      <c r="G90" s="2972">
        <f t="shared" ca="1" si="9"/>
        <v>302</v>
      </c>
      <c r="H90" s="2972">
        <f t="shared" ca="1" si="8"/>
        <v>3196</v>
      </c>
      <c r="I90" s="2972">
        <f ca="1">ROUND(K90*成本法!$C$57,0)</f>
        <v>395</v>
      </c>
      <c r="J90" s="2972">
        <v>4183</v>
      </c>
      <c r="K90" s="2972">
        <f t="shared" ca="1" si="7"/>
        <v>697</v>
      </c>
      <c r="L90" s="2972">
        <f t="shared" ca="1" si="11"/>
        <v>7379</v>
      </c>
    </row>
    <row r="91" spans="1:12">
      <c r="A91" s="2972">
        <v>80</v>
      </c>
      <c r="B91" s="2972" t="s">
        <v>3240</v>
      </c>
      <c r="C91" s="2972" t="s">
        <v>3241</v>
      </c>
      <c r="D91" s="2972">
        <v>147.96</v>
      </c>
      <c r="E91" s="2972">
        <v>1025.27</v>
      </c>
      <c r="F91" s="2971" t="s">
        <v>3503</v>
      </c>
      <c r="G91" s="2972">
        <f t="shared" ca="1" si="9"/>
        <v>328</v>
      </c>
      <c r="H91" s="2972">
        <f t="shared" ca="1" si="8"/>
        <v>3196</v>
      </c>
      <c r="I91" s="2972">
        <f ca="1">ROUND(K91*成本法!$C$57,0)</f>
        <v>429</v>
      </c>
      <c r="J91" s="2972">
        <v>4183</v>
      </c>
      <c r="K91" s="2972">
        <f t="shared" ca="1" si="7"/>
        <v>757</v>
      </c>
      <c r="L91" s="2972">
        <f t="shared" ca="1" si="11"/>
        <v>7379</v>
      </c>
    </row>
    <row r="92" spans="1:12">
      <c r="A92" s="2972">
        <v>81</v>
      </c>
      <c r="B92" s="2972" t="s">
        <v>3242</v>
      </c>
      <c r="C92" s="2972" t="s">
        <v>3243</v>
      </c>
      <c r="D92" s="2972">
        <v>18.829999999999998</v>
      </c>
      <c r="E92" s="2972">
        <v>130.47999999999999</v>
      </c>
      <c r="F92" s="2971" t="s">
        <v>3503</v>
      </c>
      <c r="G92" s="2972">
        <f t="shared" ca="1" si="9"/>
        <v>42</v>
      </c>
      <c r="H92" s="2972">
        <f t="shared" ca="1" si="8"/>
        <v>3196</v>
      </c>
      <c r="I92" s="2972">
        <f ca="1">ROUND(K92*成本法!$C$57,0)</f>
        <v>54</v>
      </c>
      <c r="J92" s="2972">
        <v>4183</v>
      </c>
      <c r="K92" s="2972">
        <f t="shared" ca="1" si="7"/>
        <v>96</v>
      </c>
      <c r="L92" s="2972">
        <f t="shared" ca="1" si="11"/>
        <v>7379</v>
      </c>
    </row>
    <row r="93" spans="1:12">
      <c r="A93" s="2972">
        <v>82</v>
      </c>
      <c r="B93" s="2972" t="s">
        <v>3244</v>
      </c>
      <c r="C93" s="2972" t="s">
        <v>3245</v>
      </c>
      <c r="D93" s="2972">
        <v>226.4</v>
      </c>
      <c r="E93" s="2972">
        <v>1568.83</v>
      </c>
      <c r="F93" s="2971" t="s">
        <v>3504</v>
      </c>
      <c r="G93" s="2972">
        <f t="shared" ca="1" si="9"/>
        <v>501</v>
      </c>
      <c r="H93" s="2972">
        <f t="shared" ca="1" si="8"/>
        <v>3196</v>
      </c>
      <c r="I93" s="2972">
        <f ca="1">ROUND(K93*成本法!$C$57,0)</f>
        <v>657</v>
      </c>
      <c r="J93" s="2972">
        <v>4183</v>
      </c>
      <c r="K93" s="2972">
        <f t="shared" ca="1" si="7"/>
        <v>1158</v>
      </c>
      <c r="L93" s="2972">
        <f t="shared" ca="1" si="11"/>
        <v>7379</v>
      </c>
    </row>
    <row r="94" spans="1:12">
      <c r="A94" s="2972">
        <v>83</v>
      </c>
      <c r="B94" s="2972" t="s">
        <v>3246</v>
      </c>
      <c r="C94" s="2972" t="s">
        <v>3247</v>
      </c>
      <c r="D94" s="2972">
        <v>48.54</v>
      </c>
      <c r="E94" s="2972">
        <v>336.37</v>
      </c>
      <c r="F94" s="2971" t="s">
        <v>3504</v>
      </c>
      <c r="G94" s="2972">
        <f t="shared" ca="1" si="9"/>
        <v>107</v>
      </c>
      <c r="H94" s="2972">
        <f t="shared" ca="1" si="8"/>
        <v>3196</v>
      </c>
      <c r="I94" s="2972">
        <f ca="1">ROUND(K94*成本法!$C$57,0)</f>
        <v>141</v>
      </c>
      <c r="J94" s="2972">
        <v>4183</v>
      </c>
      <c r="K94" s="2972">
        <f t="shared" ca="1" si="7"/>
        <v>248</v>
      </c>
      <c r="L94" s="2972">
        <f t="shared" ca="1" si="11"/>
        <v>7379</v>
      </c>
    </row>
    <row r="95" spans="1:12">
      <c r="A95" s="2972">
        <v>84</v>
      </c>
      <c r="B95" s="2972" t="s">
        <v>3248</v>
      </c>
      <c r="C95" s="2972" t="s">
        <v>3249</v>
      </c>
      <c r="D95" s="2972">
        <v>19.14</v>
      </c>
      <c r="E95" s="2972">
        <v>132.62</v>
      </c>
      <c r="F95" s="2971" t="s">
        <v>3504</v>
      </c>
      <c r="G95" s="2972">
        <f t="shared" ca="1" si="9"/>
        <v>42</v>
      </c>
      <c r="H95" s="2972">
        <f t="shared" ca="1" si="8"/>
        <v>3196</v>
      </c>
      <c r="I95" s="2972">
        <f ca="1">ROUND(K95*成本法!$C$57,0)</f>
        <v>56</v>
      </c>
      <c r="J95" s="2972">
        <v>4183</v>
      </c>
      <c r="K95" s="2972">
        <f t="shared" ca="1" si="7"/>
        <v>98</v>
      </c>
      <c r="L95" s="2972">
        <f t="shared" ca="1" si="11"/>
        <v>7379</v>
      </c>
    </row>
    <row r="96" spans="1:12">
      <c r="A96" s="2972">
        <v>85</v>
      </c>
      <c r="B96" s="2972" t="s">
        <v>3250</v>
      </c>
      <c r="C96" s="2972" t="s">
        <v>3251</v>
      </c>
      <c r="D96" s="2972">
        <v>66.680000000000007</v>
      </c>
      <c r="E96" s="2972">
        <v>462.03</v>
      </c>
      <c r="F96" s="2971" t="s">
        <v>3505</v>
      </c>
      <c r="G96" s="2972">
        <f t="shared" ca="1" si="9"/>
        <v>148</v>
      </c>
      <c r="H96" s="2972">
        <f t="shared" ca="1" si="8"/>
        <v>3196</v>
      </c>
      <c r="I96" s="2972">
        <f ca="1">ROUND(K96*成本法!$C$57,0)</f>
        <v>193</v>
      </c>
      <c r="J96" s="2972">
        <v>4183</v>
      </c>
      <c r="K96" s="2972">
        <f t="shared" ca="1" si="7"/>
        <v>341</v>
      </c>
      <c r="L96" s="2972">
        <f t="shared" ca="1" si="11"/>
        <v>7379</v>
      </c>
    </row>
    <row r="97" spans="1:12">
      <c r="A97" s="2972">
        <v>86</v>
      </c>
      <c r="B97" s="2972" t="s">
        <v>3252</v>
      </c>
      <c r="C97" s="2972" t="s">
        <v>3253</v>
      </c>
      <c r="D97" s="2972">
        <v>18.829999999999998</v>
      </c>
      <c r="E97" s="2972">
        <v>130.49</v>
      </c>
      <c r="F97" s="2971" t="s">
        <v>3505</v>
      </c>
      <c r="G97" s="2972">
        <f t="shared" ca="1" si="9"/>
        <v>42</v>
      </c>
      <c r="H97" s="2972">
        <f t="shared" ca="1" si="8"/>
        <v>3196</v>
      </c>
      <c r="I97" s="2972">
        <f ca="1">ROUND(K97*成本法!$C$57,0)</f>
        <v>54</v>
      </c>
      <c r="J97" s="2972">
        <v>4183</v>
      </c>
      <c r="K97" s="2972">
        <f t="shared" ca="1" si="7"/>
        <v>96</v>
      </c>
      <c r="L97" s="2972">
        <f t="shared" ca="1" si="11"/>
        <v>7379</v>
      </c>
    </row>
    <row r="98" spans="1:12">
      <c r="A98" s="2972">
        <v>87</v>
      </c>
      <c r="B98" s="2972" t="s">
        <v>3254</v>
      </c>
      <c r="C98" s="2972" t="s">
        <v>3255</v>
      </c>
      <c r="D98" s="2972">
        <v>44.97</v>
      </c>
      <c r="E98" s="2972">
        <v>311.61</v>
      </c>
      <c r="F98" s="2971" t="s">
        <v>3505</v>
      </c>
      <c r="G98" s="2972">
        <f t="shared" ca="1" si="9"/>
        <v>100</v>
      </c>
      <c r="H98" s="2972">
        <f t="shared" ca="1" si="8"/>
        <v>3196</v>
      </c>
      <c r="I98" s="2972">
        <f ca="1">ROUND(K98*成本法!$C$57,0)</f>
        <v>130</v>
      </c>
      <c r="J98" s="2972">
        <v>4183</v>
      </c>
      <c r="K98" s="2972">
        <f t="shared" ca="1" si="7"/>
        <v>230</v>
      </c>
      <c r="L98" s="2972">
        <f t="shared" ca="1" si="11"/>
        <v>7379</v>
      </c>
    </row>
    <row r="99" spans="1:12">
      <c r="A99" s="2972">
        <v>88</v>
      </c>
      <c r="B99" s="2972" t="s">
        <v>3256</v>
      </c>
      <c r="C99" s="2972" t="s">
        <v>3257</v>
      </c>
      <c r="D99" s="2972">
        <v>18.829999999999998</v>
      </c>
      <c r="E99" s="2972">
        <v>130.49</v>
      </c>
      <c r="F99" s="2971" t="s">
        <v>3505</v>
      </c>
      <c r="G99" s="2972">
        <f t="shared" ca="1" si="9"/>
        <v>42</v>
      </c>
      <c r="H99" s="2972">
        <f t="shared" ca="1" si="8"/>
        <v>3196</v>
      </c>
      <c r="I99" s="2972">
        <f ca="1">ROUND(K99*成本法!$C$57,0)</f>
        <v>54</v>
      </c>
      <c r="J99" s="2972">
        <v>4183</v>
      </c>
      <c r="K99" s="2972">
        <f t="shared" ca="1" si="7"/>
        <v>96</v>
      </c>
      <c r="L99" s="2972">
        <f t="shared" ca="1" si="11"/>
        <v>7379</v>
      </c>
    </row>
    <row r="100" spans="1:12">
      <c r="A100" s="2972">
        <v>89</v>
      </c>
      <c r="B100" s="2972" t="s">
        <v>3258</v>
      </c>
      <c r="C100" s="2972" t="s">
        <v>3259</v>
      </c>
      <c r="D100" s="2972">
        <v>82.13</v>
      </c>
      <c r="E100" s="2972">
        <v>569.14</v>
      </c>
      <c r="F100" s="2971" t="s">
        <v>3505</v>
      </c>
      <c r="G100" s="2972">
        <f t="shared" ca="1" si="9"/>
        <v>182</v>
      </c>
      <c r="H100" s="2972">
        <f t="shared" ca="1" si="8"/>
        <v>3196</v>
      </c>
      <c r="I100" s="2972">
        <f ca="1">ROUND(K100*成本法!$C$57,0)</f>
        <v>238</v>
      </c>
      <c r="J100" s="2972">
        <v>4183</v>
      </c>
      <c r="K100" s="2972">
        <f t="shared" ca="1" si="7"/>
        <v>420</v>
      </c>
      <c r="L100" s="2972">
        <f t="shared" ca="1" si="11"/>
        <v>7379</v>
      </c>
    </row>
    <row r="101" spans="1:12">
      <c r="A101" s="2972">
        <v>90</v>
      </c>
      <c r="B101" s="2972" t="s">
        <v>3260</v>
      </c>
      <c r="C101" s="2972" t="s">
        <v>3261</v>
      </c>
      <c r="D101" s="2972">
        <v>20.67</v>
      </c>
      <c r="E101" s="2972">
        <v>143.24</v>
      </c>
      <c r="F101" s="2971" t="s">
        <v>3505</v>
      </c>
      <c r="G101" s="2972">
        <f t="shared" ca="1" si="9"/>
        <v>46</v>
      </c>
      <c r="H101" s="2972">
        <f t="shared" ca="1" si="8"/>
        <v>3196</v>
      </c>
      <c r="I101" s="2972">
        <f ca="1">ROUND(K101*成本法!$C$57,0)</f>
        <v>60</v>
      </c>
      <c r="J101" s="2972">
        <v>4183</v>
      </c>
      <c r="K101" s="2972">
        <f t="shared" ca="1" si="7"/>
        <v>106</v>
      </c>
      <c r="L101" s="2972">
        <f t="shared" ca="1" si="11"/>
        <v>7379</v>
      </c>
    </row>
    <row r="102" spans="1:12">
      <c r="A102" s="2972">
        <v>91</v>
      </c>
      <c r="B102" s="2972" t="s">
        <v>3262</v>
      </c>
      <c r="C102" s="2972" t="s">
        <v>3263</v>
      </c>
      <c r="D102" s="2972">
        <v>73.900000000000006</v>
      </c>
      <c r="E102" s="2972">
        <v>512.11</v>
      </c>
      <c r="F102" s="2971" t="s">
        <v>3506</v>
      </c>
      <c r="G102" s="2972">
        <f t="shared" ca="1" si="9"/>
        <v>164</v>
      </c>
      <c r="H102" s="2972">
        <f t="shared" ca="1" si="8"/>
        <v>3196</v>
      </c>
      <c r="I102" s="2972">
        <f ca="1">ROUND(K102*成本法!$C$57,0)</f>
        <v>214</v>
      </c>
      <c r="J102" s="2972">
        <v>4183</v>
      </c>
      <c r="K102" s="2972">
        <f t="shared" ca="1" si="7"/>
        <v>378</v>
      </c>
      <c r="L102" s="2972">
        <f t="shared" ca="1" si="11"/>
        <v>7379</v>
      </c>
    </row>
    <row r="103" spans="1:12">
      <c r="A103" s="2972">
        <v>92</v>
      </c>
      <c r="B103" s="2972" t="s">
        <v>3264</v>
      </c>
      <c r="C103" s="2972" t="s">
        <v>3265</v>
      </c>
      <c r="D103" s="2972">
        <v>19.46</v>
      </c>
      <c r="E103" s="2972">
        <v>134.87</v>
      </c>
      <c r="F103" s="2971" t="s">
        <v>3506</v>
      </c>
      <c r="G103" s="2972">
        <f t="shared" ca="1" si="9"/>
        <v>43</v>
      </c>
      <c r="H103" s="2972">
        <f t="shared" ca="1" si="8"/>
        <v>3196</v>
      </c>
      <c r="I103" s="2972">
        <f ca="1">ROUND(K103*成本法!$C$57,0)</f>
        <v>57</v>
      </c>
      <c r="J103" s="2972">
        <v>4183</v>
      </c>
      <c r="K103" s="2972">
        <f t="shared" ca="1" si="7"/>
        <v>100</v>
      </c>
      <c r="L103" s="2972">
        <f t="shared" ca="1" si="11"/>
        <v>7379</v>
      </c>
    </row>
    <row r="104" spans="1:12">
      <c r="A104" s="2972">
        <v>93</v>
      </c>
      <c r="B104" s="2972" t="s">
        <v>3266</v>
      </c>
      <c r="C104" s="2972" t="s">
        <v>3267</v>
      </c>
      <c r="D104" s="2972">
        <v>19.46</v>
      </c>
      <c r="E104" s="2972">
        <v>134.87</v>
      </c>
      <c r="F104" s="2971" t="s">
        <v>3506</v>
      </c>
      <c r="G104" s="2972">
        <f t="shared" ca="1" si="9"/>
        <v>43</v>
      </c>
      <c r="H104" s="2972">
        <f t="shared" ca="1" si="8"/>
        <v>3196</v>
      </c>
      <c r="I104" s="2972">
        <f ca="1">ROUND(K104*成本法!$C$57,0)</f>
        <v>57</v>
      </c>
      <c r="J104" s="2972">
        <v>4183</v>
      </c>
      <c r="K104" s="2972">
        <f t="shared" ca="1" si="7"/>
        <v>100</v>
      </c>
      <c r="L104" s="2972">
        <f t="shared" ca="1" si="11"/>
        <v>7379</v>
      </c>
    </row>
    <row r="105" spans="1:12">
      <c r="A105" s="2972">
        <v>94</v>
      </c>
      <c r="B105" s="2972" t="s">
        <v>3268</v>
      </c>
      <c r="C105" s="2972" t="s">
        <v>3269</v>
      </c>
      <c r="D105" s="2972">
        <v>73.900000000000006</v>
      </c>
      <c r="E105" s="2972">
        <v>512.11</v>
      </c>
      <c r="F105" s="2971" t="s">
        <v>3506</v>
      </c>
      <c r="G105" s="2972">
        <f t="shared" ca="1" si="9"/>
        <v>164</v>
      </c>
      <c r="H105" s="2972">
        <f t="shared" ca="1" si="8"/>
        <v>3196</v>
      </c>
      <c r="I105" s="2972">
        <f ca="1">ROUND(K105*成本法!$C$57,0)</f>
        <v>214</v>
      </c>
      <c r="J105" s="2972">
        <v>4183</v>
      </c>
      <c r="K105" s="2972">
        <f t="shared" ca="1" si="7"/>
        <v>378</v>
      </c>
      <c r="L105" s="2972">
        <f t="shared" ca="1" si="11"/>
        <v>7379</v>
      </c>
    </row>
    <row r="106" spans="1:12">
      <c r="A106" s="2972">
        <v>95</v>
      </c>
      <c r="B106" s="2972" t="s">
        <v>3270</v>
      </c>
      <c r="C106" s="2972" t="s">
        <v>3271</v>
      </c>
      <c r="D106" s="2972">
        <f>21.02-0.04</f>
        <v>20.98</v>
      </c>
      <c r="E106" s="2972">
        <v>145.69</v>
      </c>
      <c r="F106" s="2971" t="s">
        <v>3506</v>
      </c>
      <c r="G106" s="2972">
        <f t="shared" ca="1" si="9"/>
        <v>47</v>
      </c>
      <c r="H106" s="2972">
        <f t="shared" ca="1" si="8"/>
        <v>3196</v>
      </c>
      <c r="I106" s="2972">
        <f ca="1">ROUND(K106*成本法!$C$57,0)</f>
        <v>61</v>
      </c>
      <c r="J106" s="2972">
        <v>4183</v>
      </c>
      <c r="K106" s="2972">
        <f t="shared" ca="1" si="7"/>
        <v>108</v>
      </c>
      <c r="L106" s="2972">
        <f t="shared" ca="1" si="11"/>
        <v>7379</v>
      </c>
    </row>
    <row r="107" spans="1:12">
      <c r="A107" s="3350" t="s">
        <v>3507</v>
      </c>
      <c r="B107" s="3350"/>
      <c r="C107" s="3350"/>
      <c r="D107" s="2972">
        <f>SUM(D2:D106)</f>
        <v>10471.889999999985</v>
      </c>
      <c r="E107" s="2972">
        <f>SUM(E2:E106)</f>
        <v>72564.650000000052</v>
      </c>
      <c r="F107" s="2972"/>
      <c r="G107" s="2972">
        <f ca="1">SUM(G2:G106)</f>
        <v>19810</v>
      </c>
      <c r="H107" s="2972"/>
      <c r="I107" s="2972">
        <f ca="1">SUM(I2:I106)</f>
        <v>25927</v>
      </c>
      <c r="J107" s="2972"/>
      <c r="K107" s="2972">
        <f ca="1">SUM(K2:K106)</f>
        <v>45737</v>
      </c>
      <c r="L107" s="2972"/>
    </row>
  </sheetData>
  <mergeCells count="1">
    <mergeCell ref="A107:C107"/>
  </mergeCells>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topLeftCell="A4" workbookViewId="0">
      <selection sqref="A1:I113"/>
    </sheetView>
  </sheetViews>
  <sheetFormatPr defaultRowHeight="13.5"/>
  <cols>
    <col min="1" max="1" width="56.875" customWidth="1"/>
  </cols>
  <sheetData>
    <row r="1" spans="1:9" ht="25.5" customHeight="1" thickTop="1">
      <c r="A1" s="3353" t="s">
        <v>3535</v>
      </c>
      <c r="B1" s="3353" t="s">
        <v>3536</v>
      </c>
      <c r="C1" s="3355" t="s">
        <v>3537</v>
      </c>
      <c r="D1" s="3357" t="s">
        <v>3538</v>
      </c>
      <c r="E1" s="3358"/>
      <c r="F1" s="3351" t="s">
        <v>3516</v>
      </c>
      <c r="G1" s="3352"/>
      <c r="H1" s="3351" t="s">
        <v>3539</v>
      </c>
      <c r="I1" s="3352"/>
    </row>
    <row r="2" spans="1:9">
      <c r="A2" s="3354"/>
      <c r="B2" s="3354"/>
      <c r="C2" s="3356"/>
      <c r="D2" s="2978" t="s">
        <v>3519</v>
      </c>
      <c r="E2" s="2978" t="s">
        <v>3540</v>
      </c>
      <c r="F2" s="2978" t="s">
        <v>3541</v>
      </c>
      <c r="G2" s="2978" t="s">
        <v>3540</v>
      </c>
      <c r="H2" s="2978" t="s">
        <v>3541</v>
      </c>
      <c r="I2" s="2978" t="s">
        <v>3540</v>
      </c>
    </row>
    <row r="3" spans="1:9" ht="20.100000000000001" customHeight="1">
      <c r="A3" s="2981" t="s">
        <v>3545</v>
      </c>
      <c r="B3" s="2978">
        <v>7651.29</v>
      </c>
      <c r="C3" s="2982">
        <v>1104.17</v>
      </c>
      <c r="D3" s="2978">
        <v>952</v>
      </c>
      <c r="E3" s="2978">
        <v>1244</v>
      </c>
      <c r="F3" s="2978">
        <v>1247</v>
      </c>
      <c r="G3" s="2978">
        <v>1630</v>
      </c>
      <c r="H3" s="2978">
        <v>2199</v>
      </c>
      <c r="I3" s="2978">
        <v>2874</v>
      </c>
    </row>
    <row r="4" spans="1:9" ht="20.100000000000001" customHeight="1">
      <c r="A4" s="2981" t="s">
        <v>3878</v>
      </c>
      <c r="B4" s="2978">
        <v>7573.92</v>
      </c>
      <c r="C4" s="2982">
        <v>1093</v>
      </c>
      <c r="D4" s="2978">
        <v>943</v>
      </c>
      <c r="E4" s="2978">
        <v>1244</v>
      </c>
      <c r="F4" s="2978">
        <v>1234</v>
      </c>
      <c r="G4" s="2978">
        <v>1630</v>
      </c>
      <c r="H4" s="2978">
        <v>2177</v>
      </c>
      <c r="I4" s="2978">
        <v>2874</v>
      </c>
    </row>
    <row r="5" spans="1:9" ht="20.100000000000001" customHeight="1">
      <c r="A5" s="2988" t="s">
        <v>3880</v>
      </c>
      <c r="B5" s="2978">
        <v>1133.25</v>
      </c>
      <c r="C5" s="2982">
        <v>163.54</v>
      </c>
      <c r="D5" s="2978">
        <v>348</v>
      </c>
      <c r="E5" s="2978">
        <v>3071</v>
      </c>
      <c r="F5" s="2978">
        <v>456</v>
      </c>
      <c r="G5" s="2978">
        <v>4024</v>
      </c>
      <c r="H5" s="2978">
        <v>804</v>
      </c>
      <c r="I5" s="2978">
        <v>7095</v>
      </c>
    </row>
    <row r="6" spans="1:9" ht="20.100000000000001" customHeight="1">
      <c r="A6" s="2988" t="s">
        <v>3881</v>
      </c>
      <c r="B6" s="2978">
        <v>94.38</v>
      </c>
      <c r="C6" s="2982">
        <v>13.62</v>
      </c>
      <c r="D6" s="2978">
        <v>29</v>
      </c>
      <c r="E6" s="2978">
        <v>3071</v>
      </c>
      <c r="F6" s="2978">
        <v>38</v>
      </c>
      <c r="G6" s="2978">
        <v>4024</v>
      </c>
      <c r="H6" s="2978">
        <v>67</v>
      </c>
      <c r="I6" s="2978">
        <v>7095</v>
      </c>
    </row>
    <row r="7" spans="1:9" ht="20.100000000000001" customHeight="1">
      <c r="A7" s="2988" t="s">
        <v>3882</v>
      </c>
      <c r="B7" s="2978">
        <v>1407.52</v>
      </c>
      <c r="C7" s="2982">
        <v>203.12</v>
      </c>
      <c r="D7" s="2978">
        <v>433</v>
      </c>
      <c r="E7" s="2978">
        <v>3071</v>
      </c>
      <c r="F7" s="2978">
        <v>566</v>
      </c>
      <c r="G7" s="2978">
        <v>4024</v>
      </c>
      <c r="H7" s="2978">
        <v>999</v>
      </c>
      <c r="I7" s="2978">
        <v>7095</v>
      </c>
    </row>
    <row r="8" spans="1:9" ht="20.100000000000001" customHeight="1">
      <c r="A8" s="2988" t="s">
        <v>3883</v>
      </c>
      <c r="B8" s="2978">
        <v>1707.77</v>
      </c>
      <c r="C8" s="2982">
        <v>246.45</v>
      </c>
      <c r="D8" s="2978">
        <v>525</v>
      </c>
      <c r="E8" s="2978">
        <v>3071</v>
      </c>
      <c r="F8" s="2978">
        <v>687</v>
      </c>
      <c r="G8" s="2978">
        <v>4024</v>
      </c>
      <c r="H8" s="2978">
        <v>1212</v>
      </c>
      <c r="I8" s="2978">
        <v>7095</v>
      </c>
    </row>
    <row r="9" spans="1:9" ht="20.100000000000001" customHeight="1">
      <c r="A9" s="2988" t="s">
        <v>3884</v>
      </c>
      <c r="B9" s="2978">
        <v>1229.97</v>
      </c>
      <c r="C9" s="2982">
        <v>177.5</v>
      </c>
      <c r="D9" s="2978">
        <v>378</v>
      </c>
      <c r="E9" s="2978">
        <v>3071</v>
      </c>
      <c r="F9" s="2978">
        <v>495</v>
      </c>
      <c r="G9" s="2978">
        <v>4024</v>
      </c>
      <c r="H9" s="2978">
        <v>873</v>
      </c>
      <c r="I9" s="2978">
        <v>7095</v>
      </c>
    </row>
    <row r="10" spans="1:9" ht="20.100000000000001" customHeight="1">
      <c r="A10" s="2988" t="s">
        <v>3885</v>
      </c>
      <c r="B10" s="2978">
        <v>535.04999999999995</v>
      </c>
      <c r="C10" s="2982">
        <v>77.209999999999994</v>
      </c>
      <c r="D10" s="2978">
        <v>165</v>
      </c>
      <c r="E10" s="2978">
        <v>3071</v>
      </c>
      <c r="F10" s="2978">
        <v>215</v>
      </c>
      <c r="G10" s="2978">
        <v>4024</v>
      </c>
      <c r="H10" s="2978">
        <v>380</v>
      </c>
      <c r="I10" s="2978">
        <v>7095</v>
      </c>
    </row>
    <row r="11" spans="1:9" ht="20.100000000000001" customHeight="1">
      <c r="A11" s="2988" t="s">
        <v>3886</v>
      </c>
      <c r="B11" s="2978">
        <v>680.24</v>
      </c>
      <c r="C11" s="2982">
        <v>98.17</v>
      </c>
      <c r="D11" s="2978">
        <v>209</v>
      </c>
      <c r="E11" s="2978">
        <v>3071</v>
      </c>
      <c r="F11" s="2978">
        <v>274</v>
      </c>
      <c r="G11" s="2978">
        <v>4024</v>
      </c>
      <c r="H11" s="2978">
        <v>483</v>
      </c>
      <c r="I11" s="2978">
        <v>7095</v>
      </c>
    </row>
    <row r="12" spans="1:9" ht="20.100000000000001" customHeight="1">
      <c r="A12" s="2988" t="s">
        <v>3887</v>
      </c>
      <c r="B12" s="2978">
        <v>1592.71</v>
      </c>
      <c r="C12" s="2982">
        <v>229.85</v>
      </c>
      <c r="D12" s="2978">
        <v>489</v>
      </c>
      <c r="E12" s="2978">
        <v>3071</v>
      </c>
      <c r="F12" s="2978">
        <v>641</v>
      </c>
      <c r="G12" s="2978">
        <v>4024</v>
      </c>
      <c r="H12" s="2978">
        <v>1130</v>
      </c>
      <c r="I12" s="2978">
        <v>7095</v>
      </c>
    </row>
    <row r="13" spans="1:9" ht="20.100000000000001" customHeight="1">
      <c r="A13" s="2988" t="s">
        <v>3888</v>
      </c>
      <c r="B13" s="2978">
        <v>133.5</v>
      </c>
      <c r="C13" s="2982">
        <v>19.27</v>
      </c>
      <c r="D13" s="2978">
        <v>41</v>
      </c>
      <c r="E13" s="2978">
        <v>3071</v>
      </c>
      <c r="F13" s="2978">
        <v>54</v>
      </c>
      <c r="G13" s="2978">
        <v>4024</v>
      </c>
      <c r="H13" s="2978">
        <v>95</v>
      </c>
      <c r="I13" s="2978">
        <v>7095</v>
      </c>
    </row>
    <row r="14" spans="1:9" ht="20.100000000000001" customHeight="1">
      <c r="A14" s="2988" t="s">
        <v>3889</v>
      </c>
      <c r="B14" s="2978">
        <v>1339.83</v>
      </c>
      <c r="C14" s="2982">
        <v>193.35</v>
      </c>
      <c r="D14" s="2978">
        <v>412</v>
      </c>
      <c r="E14" s="2978">
        <v>3071</v>
      </c>
      <c r="F14" s="2978">
        <v>539</v>
      </c>
      <c r="G14" s="2978">
        <v>4024</v>
      </c>
      <c r="H14" s="2978">
        <v>951</v>
      </c>
      <c r="I14" s="2978">
        <v>7095</v>
      </c>
    </row>
    <row r="15" spans="1:9" ht="20.100000000000001" customHeight="1">
      <c r="A15" s="2981" t="s">
        <v>3546</v>
      </c>
      <c r="B15" s="2978">
        <v>533.66999999999996</v>
      </c>
      <c r="C15" s="2982">
        <v>77.010000000000005</v>
      </c>
      <c r="D15" s="2978">
        <v>164</v>
      </c>
      <c r="E15" s="2978">
        <v>3071</v>
      </c>
      <c r="F15" s="2978">
        <v>215</v>
      </c>
      <c r="G15" s="2978">
        <v>4024</v>
      </c>
      <c r="H15" s="2978">
        <v>379</v>
      </c>
      <c r="I15" s="2978">
        <v>7095</v>
      </c>
    </row>
    <row r="16" spans="1:9" ht="20.100000000000001" customHeight="1">
      <c r="A16" s="2981" t="s">
        <v>3547</v>
      </c>
      <c r="B16" s="2978">
        <v>337.31</v>
      </c>
      <c r="C16" s="2982">
        <v>48.68</v>
      </c>
      <c r="D16" s="2978">
        <v>103</v>
      </c>
      <c r="E16" s="2978">
        <v>3071</v>
      </c>
      <c r="F16" s="2978">
        <v>136</v>
      </c>
      <c r="G16" s="2978">
        <v>4024</v>
      </c>
      <c r="H16" s="2978">
        <v>239</v>
      </c>
      <c r="I16" s="2978">
        <v>7095</v>
      </c>
    </row>
    <row r="17" spans="1:9" ht="20.100000000000001" customHeight="1">
      <c r="A17" s="2981" t="s">
        <v>3548</v>
      </c>
      <c r="B17" s="2978">
        <v>189.98</v>
      </c>
      <c r="C17" s="2982">
        <v>27.42</v>
      </c>
      <c r="D17" s="2978">
        <v>58</v>
      </c>
      <c r="E17" s="2978">
        <v>3071</v>
      </c>
      <c r="F17" s="2978">
        <v>77</v>
      </c>
      <c r="G17" s="2978">
        <v>4024</v>
      </c>
      <c r="H17" s="2978">
        <v>135</v>
      </c>
      <c r="I17" s="2978">
        <v>7095</v>
      </c>
    </row>
    <row r="18" spans="1:9" ht="20.100000000000001" customHeight="1">
      <c r="A18" s="2981" t="s">
        <v>3549</v>
      </c>
      <c r="B18" s="2978">
        <v>154.85</v>
      </c>
      <c r="C18" s="2982">
        <v>22.35</v>
      </c>
      <c r="D18" s="2978">
        <v>48</v>
      </c>
      <c r="E18" s="2978">
        <v>3071</v>
      </c>
      <c r="F18" s="2978">
        <v>62</v>
      </c>
      <c r="G18" s="2978">
        <v>4024</v>
      </c>
      <c r="H18" s="2978">
        <v>110</v>
      </c>
      <c r="I18" s="2978">
        <v>7095</v>
      </c>
    </row>
    <row r="19" spans="1:9" ht="20.100000000000001" customHeight="1">
      <c r="A19" s="2981" t="s">
        <v>3550</v>
      </c>
      <c r="B19" s="2978">
        <v>401.57</v>
      </c>
      <c r="C19" s="2982">
        <v>57.95</v>
      </c>
      <c r="D19" s="2978">
        <v>123</v>
      </c>
      <c r="E19" s="2978">
        <v>3071</v>
      </c>
      <c r="F19" s="2978">
        <v>162</v>
      </c>
      <c r="G19" s="2978">
        <v>4024</v>
      </c>
      <c r="H19" s="2978">
        <v>285</v>
      </c>
      <c r="I19" s="2978">
        <v>7095</v>
      </c>
    </row>
    <row r="20" spans="1:9" ht="20.100000000000001" customHeight="1">
      <c r="A20" s="2981" t="s">
        <v>3551</v>
      </c>
      <c r="B20" s="2978">
        <v>336.14</v>
      </c>
      <c r="C20" s="2982">
        <v>48.51</v>
      </c>
      <c r="D20" s="2978">
        <v>103</v>
      </c>
      <c r="E20" s="2978">
        <v>3071</v>
      </c>
      <c r="F20" s="2978">
        <v>135</v>
      </c>
      <c r="G20" s="2978">
        <v>4024</v>
      </c>
      <c r="H20" s="2978">
        <v>238</v>
      </c>
      <c r="I20" s="2978">
        <v>7095</v>
      </c>
    </row>
    <row r="21" spans="1:9" ht="20.100000000000001" customHeight="1">
      <c r="A21" s="2981" t="s">
        <v>3552</v>
      </c>
      <c r="B21" s="2978">
        <v>403.36</v>
      </c>
      <c r="C21" s="2982">
        <v>58.21</v>
      </c>
      <c r="D21" s="2978">
        <v>124</v>
      </c>
      <c r="E21" s="2978">
        <v>3071</v>
      </c>
      <c r="F21" s="2978">
        <v>162</v>
      </c>
      <c r="G21" s="2978">
        <v>4024</v>
      </c>
      <c r="H21" s="2978">
        <v>286</v>
      </c>
      <c r="I21" s="2978">
        <v>7095</v>
      </c>
    </row>
    <row r="22" spans="1:9" ht="20.100000000000001" customHeight="1">
      <c r="A22" s="2981" t="s">
        <v>3553</v>
      </c>
      <c r="B22" s="2978">
        <v>155.22999999999999</v>
      </c>
      <c r="C22" s="2982">
        <v>22.4</v>
      </c>
      <c r="D22" s="2978">
        <v>48</v>
      </c>
      <c r="E22" s="2978">
        <v>3071</v>
      </c>
      <c r="F22" s="2978">
        <v>62</v>
      </c>
      <c r="G22" s="2978">
        <v>4024</v>
      </c>
      <c r="H22" s="2978">
        <v>110</v>
      </c>
      <c r="I22" s="2978">
        <v>7095</v>
      </c>
    </row>
    <row r="23" spans="1:9" ht="20.100000000000001" customHeight="1">
      <c r="A23" s="2981" t="s">
        <v>3554</v>
      </c>
      <c r="B23" s="2978">
        <v>271.39</v>
      </c>
      <c r="C23" s="2982">
        <v>39.159999999999997</v>
      </c>
      <c r="D23" s="2978">
        <v>84</v>
      </c>
      <c r="E23" s="2978">
        <v>3071</v>
      </c>
      <c r="F23" s="2978">
        <v>109</v>
      </c>
      <c r="G23" s="2978">
        <v>4024</v>
      </c>
      <c r="H23" s="2978">
        <v>193</v>
      </c>
      <c r="I23" s="2978">
        <v>7095</v>
      </c>
    </row>
    <row r="24" spans="1:9" ht="20.100000000000001" customHeight="1">
      <c r="A24" s="2981" t="s">
        <v>3555</v>
      </c>
      <c r="B24" s="2978">
        <v>190.28</v>
      </c>
      <c r="C24" s="2982">
        <v>27.46</v>
      </c>
      <c r="D24" s="2978">
        <v>58</v>
      </c>
      <c r="E24" s="2978">
        <v>3071</v>
      </c>
      <c r="F24" s="2978">
        <v>77</v>
      </c>
      <c r="G24" s="2978">
        <v>4024</v>
      </c>
      <c r="H24" s="2978">
        <v>135</v>
      </c>
      <c r="I24" s="2978">
        <v>7095</v>
      </c>
    </row>
    <row r="25" spans="1:9" ht="20.100000000000001" customHeight="1">
      <c r="A25" s="2981" t="s">
        <v>3556</v>
      </c>
      <c r="B25" s="2978">
        <v>760.46</v>
      </c>
      <c r="C25" s="2982">
        <v>109.74</v>
      </c>
      <c r="D25" s="2978">
        <v>234</v>
      </c>
      <c r="E25" s="2978">
        <v>3071</v>
      </c>
      <c r="F25" s="2978">
        <v>306</v>
      </c>
      <c r="G25" s="2978">
        <v>4024</v>
      </c>
      <c r="H25" s="2978">
        <v>540</v>
      </c>
      <c r="I25" s="2978">
        <v>7095</v>
      </c>
    </row>
    <row r="26" spans="1:9" ht="20.100000000000001" customHeight="1">
      <c r="A26" s="2981" t="s">
        <v>3557</v>
      </c>
      <c r="B26" s="2978">
        <v>531.33000000000004</v>
      </c>
      <c r="C26" s="2982">
        <v>76.680000000000007</v>
      </c>
      <c r="D26" s="2978">
        <v>163</v>
      </c>
      <c r="E26" s="2978">
        <v>3071</v>
      </c>
      <c r="F26" s="2978">
        <v>214</v>
      </c>
      <c r="G26" s="2978">
        <v>4024</v>
      </c>
      <c r="H26" s="2978">
        <v>377</v>
      </c>
      <c r="I26" s="2978">
        <v>7095</v>
      </c>
    </row>
    <row r="27" spans="1:9" ht="20.100000000000001" customHeight="1">
      <c r="A27" s="2981" t="s">
        <v>3558</v>
      </c>
      <c r="B27" s="2978">
        <v>471.2</v>
      </c>
      <c r="C27" s="2982">
        <v>68</v>
      </c>
      <c r="D27" s="2978">
        <v>145</v>
      </c>
      <c r="E27" s="2978">
        <v>3071</v>
      </c>
      <c r="F27" s="2978">
        <v>189</v>
      </c>
      <c r="G27" s="2978">
        <v>4024</v>
      </c>
      <c r="H27" s="2978">
        <v>334</v>
      </c>
      <c r="I27" s="2978">
        <v>7095</v>
      </c>
    </row>
    <row r="28" spans="1:9" ht="20.100000000000001" customHeight="1">
      <c r="A28" s="2981" t="s">
        <v>3559</v>
      </c>
      <c r="B28" s="2978">
        <v>1336.12</v>
      </c>
      <c r="C28" s="2982">
        <v>192.82</v>
      </c>
      <c r="D28" s="2978">
        <v>410</v>
      </c>
      <c r="E28" s="2978">
        <v>3071</v>
      </c>
      <c r="F28" s="2978">
        <v>538</v>
      </c>
      <c r="G28" s="2978">
        <v>4024</v>
      </c>
      <c r="H28" s="2978">
        <v>948</v>
      </c>
      <c r="I28" s="2978">
        <v>7095</v>
      </c>
    </row>
    <row r="29" spans="1:9" ht="20.100000000000001" customHeight="1">
      <c r="A29" s="2981" t="s">
        <v>3560</v>
      </c>
      <c r="B29" s="2978">
        <v>70</v>
      </c>
      <c r="C29" s="2982">
        <v>10.1</v>
      </c>
      <c r="D29" s="2978">
        <v>22</v>
      </c>
      <c r="E29" s="2978">
        <v>3071</v>
      </c>
      <c r="F29" s="2978">
        <v>28</v>
      </c>
      <c r="G29" s="2978">
        <v>4024</v>
      </c>
      <c r="H29" s="2978">
        <v>50</v>
      </c>
      <c r="I29" s="2978">
        <v>7095</v>
      </c>
    </row>
    <row r="30" spans="1:9" ht="20.100000000000001" customHeight="1">
      <c r="A30" s="2981" t="s">
        <v>3561</v>
      </c>
      <c r="B30" s="2978">
        <v>1232.6500000000001</v>
      </c>
      <c r="C30" s="2982">
        <v>177.89</v>
      </c>
      <c r="D30" s="2978">
        <v>379</v>
      </c>
      <c r="E30" s="2978">
        <v>3071</v>
      </c>
      <c r="F30" s="2978">
        <v>496</v>
      </c>
      <c r="G30" s="2978">
        <v>4024</v>
      </c>
      <c r="H30" s="2978">
        <v>875</v>
      </c>
      <c r="I30" s="2978">
        <v>7095</v>
      </c>
    </row>
    <row r="31" spans="1:9" ht="20.100000000000001" customHeight="1">
      <c r="A31" s="2981" t="s">
        <v>3562</v>
      </c>
      <c r="B31" s="2978">
        <v>642</v>
      </c>
      <c r="C31" s="2982">
        <v>92.65</v>
      </c>
      <c r="D31" s="2978">
        <v>197</v>
      </c>
      <c r="E31" s="2978">
        <v>3071</v>
      </c>
      <c r="F31" s="2978">
        <v>258</v>
      </c>
      <c r="G31" s="2978">
        <v>4024</v>
      </c>
      <c r="H31" s="2978">
        <v>455</v>
      </c>
      <c r="I31" s="2978">
        <v>7095</v>
      </c>
    </row>
    <row r="32" spans="1:9" ht="20.100000000000001" customHeight="1">
      <c r="A32" s="2981" t="s">
        <v>3563</v>
      </c>
      <c r="B32" s="2978">
        <v>102.42</v>
      </c>
      <c r="C32" s="2982">
        <v>14.78</v>
      </c>
      <c r="D32" s="2978">
        <v>32</v>
      </c>
      <c r="E32" s="2978">
        <v>3071</v>
      </c>
      <c r="F32" s="2978">
        <v>41</v>
      </c>
      <c r="G32" s="2978">
        <v>4024</v>
      </c>
      <c r="H32" s="2978">
        <v>73</v>
      </c>
      <c r="I32" s="2978">
        <v>7095</v>
      </c>
    </row>
    <row r="33" spans="1:9" ht="20.100000000000001" customHeight="1">
      <c r="A33" s="2981" t="s">
        <v>3564</v>
      </c>
      <c r="B33" s="2978">
        <v>71.66</v>
      </c>
      <c r="C33" s="2982">
        <v>10.34</v>
      </c>
      <c r="D33" s="2978">
        <v>22</v>
      </c>
      <c r="E33" s="2978">
        <v>3071</v>
      </c>
      <c r="F33" s="2978">
        <v>29</v>
      </c>
      <c r="G33" s="2978">
        <v>4024</v>
      </c>
      <c r="H33" s="2978">
        <v>51</v>
      </c>
      <c r="I33" s="2978">
        <v>7095</v>
      </c>
    </row>
    <row r="34" spans="1:9" ht="20.100000000000001" customHeight="1">
      <c r="A34" s="2981" t="s">
        <v>3565</v>
      </c>
      <c r="B34" s="2978">
        <v>384.52</v>
      </c>
      <c r="C34" s="2982">
        <v>55.49</v>
      </c>
      <c r="D34" s="2978">
        <v>118</v>
      </c>
      <c r="E34" s="2978">
        <v>3071</v>
      </c>
      <c r="F34" s="2978">
        <v>155</v>
      </c>
      <c r="G34" s="2978">
        <v>4024</v>
      </c>
      <c r="H34" s="2978">
        <v>273</v>
      </c>
      <c r="I34" s="2978">
        <v>7095</v>
      </c>
    </row>
    <row r="35" spans="1:9" ht="20.100000000000001" customHeight="1">
      <c r="A35" s="2981" t="s">
        <v>3566</v>
      </c>
      <c r="B35" s="2978">
        <v>685.96</v>
      </c>
      <c r="C35" s="2982">
        <v>98.99</v>
      </c>
      <c r="D35" s="2978">
        <v>211</v>
      </c>
      <c r="E35" s="2978">
        <v>3071</v>
      </c>
      <c r="F35" s="2978">
        <v>276</v>
      </c>
      <c r="G35" s="2978">
        <v>4024</v>
      </c>
      <c r="H35" s="2978">
        <v>487</v>
      </c>
      <c r="I35" s="2978">
        <v>7095</v>
      </c>
    </row>
    <row r="36" spans="1:9" ht="20.100000000000001" customHeight="1">
      <c r="A36" s="2981" t="s">
        <v>3567</v>
      </c>
      <c r="B36" s="2978">
        <v>469.05</v>
      </c>
      <c r="C36" s="2982">
        <v>67.69</v>
      </c>
      <c r="D36" s="2978">
        <v>144</v>
      </c>
      <c r="E36" s="2978">
        <v>3071</v>
      </c>
      <c r="F36" s="2978">
        <v>189</v>
      </c>
      <c r="G36" s="2978">
        <v>4024</v>
      </c>
      <c r="H36" s="2978">
        <v>333</v>
      </c>
      <c r="I36" s="2978">
        <v>7095</v>
      </c>
    </row>
    <row r="37" spans="1:9" ht="20.100000000000001" customHeight="1">
      <c r="A37" s="2981" t="s">
        <v>3568</v>
      </c>
      <c r="B37" s="2978">
        <v>442.19</v>
      </c>
      <c r="C37" s="2982">
        <v>63.81</v>
      </c>
      <c r="D37" s="2978">
        <v>136</v>
      </c>
      <c r="E37" s="2978">
        <v>3071</v>
      </c>
      <c r="F37" s="2978">
        <v>178</v>
      </c>
      <c r="G37" s="2978">
        <v>4024</v>
      </c>
      <c r="H37" s="2978">
        <v>314</v>
      </c>
      <c r="I37" s="2978">
        <v>7095</v>
      </c>
    </row>
    <row r="38" spans="1:9" ht="20.100000000000001" customHeight="1">
      <c r="A38" s="2981" t="s">
        <v>3569</v>
      </c>
      <c r="B38" s="2978">
        <v>70.3</v>
      </c>
      <c r="C38" s="2982">
        <v>10.15</v>
      </c>
      <c r="D38" s="2978">
        <v>22</v>
      </c>
      <c r="E38" s="2978">
        <v>3071</v>
      </c>
      <c r="F38" s="2978">
        <v>28</v>
      </c>
      <c r="G38" s="2978">
        <v>4024</v>
      </c>
      <c r="H38" s="2978">
        <v>50</v>
      </c>
      <c r="I38" s="2978">
        <v>7095</v>
      </c>
    </row>
    <row r="39" spans="1:9" ht="20.100000000000001" customHeight="1">
      <c r="A39" s="2981" t="s">
        <v>3570</v>
      </c>
      <c r="B39" s="2978">
        <v>384.52</v>
      </c>
      <c r="C39" s="2982">
        <v>55.49</v>
      </c>
      <c r="D39" s="2978">
        <v>118</v>
      </c>
      <c r="E39" s="2978">
        <v>3071</v>
      </c>
      <c r="F39" s="2978">
        <v>155</v>
      </c>
      <c r="G39" s="2978">
        <v>4024</v>
      </c>
      <c r="H39" s="2978">
        <v>273</v>
      </c>
      <c r="I39" s="2978">
        <v>7095</v>
      </c>
    </row>
    <row r="40" spans="1:9" ht="20.100000000000001" customHeight="1">
      <c r="A40" s="2981" t="s">
        <v>3572</v>
      </c>
      <c r="B40" s="2978">
        <v>685.96</v>
      </c>
      <c r="C40" s="2982">
        <v>98.99</v>
      </c>
      <c r="D40" s="2978">
        <v>211</v>
      </c>
      <c r="E40" s="2978">
        <v>3071</v>
      </c>
      <c r="F40" s="2978">
        <v>276</v>
      </c>
      <c r="G40" s="2978">
        <v>4024</v>
      </c>
      <c r="H40" s="2978">
        <v>487</v>
      </c>
      <c r="I40" s="2978">
        <v>7095</v>
      </c>
    </row>
    <row r="41" spans="1:9" ht="20.100000000000001" customHeight="1">
      <c r="A41" s="2981" t="s">
        <v>3571</v>
      </c>
      <c r="B41" s="2978">
        <v>469.05</v>
      </c>
      <c r="C41" s="2982">
        <v>67.69</v>
      </c>
      <c r="D41" s="2978">
        <v>144</v>
      </c>
      <c r="E41" s="2978">
        <v>3071</v>
      </c>
      <c r="F41" s="2978">
        <v>189</v>
      </c>
      <c r="G41" s="2978">
        <v>4024</v>
      </c>
      <c r="H41" s="2978">
        <v>333</v>
      </c>
      <c r="I41" s="2978">
        <v>7095</v>
      </c>
    </row>
    <row r="42" spans="1:9" ht="20.100000000000001" customHeight="1">
      <c r="A42" s="2981" t="s">
        <v>3573</v>
      </c>
      <c r="B42" s="2978">
        <v>442.19</v>
      </c>
      <c r="C42" s="2982">
        <v>63.81</v>
      </c>
      <c r="D42" s="2978">
        <v>136</v>
      </c>
      <c r="E42" s="2978">
        <v>3071</v>
      </c>
      <c r="F42" s="2978">
        <v>178</v>
      </c>
      <c r="G42" s="2978">
        <v>4024</v>
      </c>
      <c r="H42" s="2978">
        <v>314</v>
      </c>
      <c r="I42" s="2978">
        <v>7095</v>
      </c>
    </row>
    <row r="43" spans="1:9" ht="20.100000000000001" customHeight="1">
      <c r="A43" s="2981" t="s">
        <v>3574</v>
      </c>
      <c r="B43" s="2978">
        <v>70.3</v>
      </c>
      <c r="C43" s="2982">
        <v>10.15</v>
      </c>
      <c r="D43" s="2978">
        <v>22</v>
      </c>
      <c r="E43" s="2978">
        <v>3071</v>
      </c>
      <c r="F43" s="2978">
        <v>28</v>
      </c>
      <c r="G43" s="2978">
        <v>4024</v>
      </c>
      <c r="H43" s="2978">
        <v>50</v>
      </c>
      <c r="I43" s="2978">
        <v>7095</v>
      </c>
    </row>
    <row r="44" spans="1:9" ht="20.100000000000001" customHeight="1">
      <c r="A44" s="2981" t="s">
        <v>3575</v>
      </c>
      <c r="B44" s="2978">
        <v>384.52</v>
      </c>
      <c r="C44" s="2982">
        <v>55.49</v>
      </c>
      <c r="D44" s="2978">
        <v>118</v>
      </c>
      <c r="E44" s="2978">
        <v>3071</v>
      </c>
      <c r="F44" s="2978">
        <v>155</v>
      </c>
      <c r="G44" s="2978">
        <v>4024</v>
      </c>
      <c r="H44" s="2978">
        <v>273</v>
      </c>
      <c r="I44" s="2978">
        <v>7095</v>
      </c>
    </row>
    <row r="45" spans="1:9" ht="20.100000000000001" customHeight="1">
      <c r="A45" s="2981" t="s">
        <v>3576</v>
      </c>
      <c r="B45" s="2978">
        <v>685.96</v>
      </c>
      <c r="C45" s="2982">
        <v>98.99</v>
      </c>
      <c r="D45" s="2978">
        <v>211</v>
      </c>
      <c r="E45" s="2978">
        <v>3071</v>
      </c>
      <c r="F45" s="2978">
        <v>276</v>
      </c>
      <c r="G45" s="2978">
        <v>4024</v>
      </c>
      <c r="H45" s="2978">
        <v>487</v>
      </c>
      <c r="I45" s="2978">
        <v>7095</v>
      </c>
    </row>
    <row r="46" spans="1:9" ht="20.100000000000001" customHeight="1">
      <c r="A46" s="2981" t="s">
        <v>3577</v>
      </c>
      <c r="B46" s="2978">
        <v>469.05</v>
      </c>
      <c r="C46" s="2982">
        <v>67.69</v>
      </c>
      <c r="D46" s="2978">
        <v>144</v>
      </c>
      <c r="E46" s="2978">
        <v>3071</v>
      </c>
      <c r="F46" s="2978">
        <v>189</v>
      </c>
      <c r="G46" s="2978">
        <v>4024</v>
      </c>
      <c r="H46" s="2978">
        <v>333</v>
      </c>
      <c r="I46" s="2978">
        <v>7095</v>
      </c>
    </row>
    <row r="47" spans="1:9" ht="20.100000000000001" customHeight="1">
      <c r="A47" s="2981" t="s">
        <v>3578</v>
      </c>
      <c r="B47" s="2978">
        <v>442.19</v>
      </c>
      <c r="C47" s="2982">
        <v>63.81</v>
      </c>
      <c r="D47" s="2978">
        <v>136</v>
      </c>
      <c r="E47" s="2978">
        <v>3071</v>
      </c>
      <c r="F47" s="2978">
        <v>178</v>
      </c>
      <c r="G47" s="2978">
        <v>4024</v>
      </c>
      <c r="H47" s="2978">
        <v>314</v>
      </c>
      <c r="I47" s="2978">
        <v>7095</v>
      </c>
    </row>
    <row r="48" spans="1:9" ht="20.100000000000001" customHeight="1">
      <c r="A48" s="2981" t="s">
        <v>3579</v>
      </c>
      <c r="B48" s="2978">
        <v>70.3</v>
      </c>
      <c r="C48" s="2982">
        <v>10.15</v>
      </c>
      <c r="D48" s="2978">
        <v>22</v>
      </c>
      <c r="E48" s="2978">
        <v>3071</v>
      </c>
      <c r="F48" s="2978">
        <v>28</v>
      </c>
      <c r="G48" s="2978">
        <v>4024</v>
      </c>
      <c r="H48" s="2978">
        <v>50</v>
      </c>
      <c r="I48" s="2978">
        <v>7095</v>
      </c>
    </row>
    <row r="49" spans="1:9" ht="20.100000000000001" customHeight="1">
      <c r="A49" s="2981" t="s">
        <v>3580</v>
      </c>
      <c r="B49" s="2978">
        <v>384.52</v>
      </c>
      <c r="C49" s="2982">
        <v>55.49</v>
      </c>
      <c r="D49" s="2978">
        <v>118</v>
      </c>
      <c r="E49" s="2978">
        <v>3071</v>
      </c>
      <c r="F49" s="2978">
        <v>155</v>
      </c>
      <c r="G49" s="2978">
        <v>4024</v>
      </c>
      <c r="H49" s="2978">
        <v>273</v>
      </c>
      <c r="I49" s="2978">
        <v>7095</v>
      </c>
    </row>
    <row r="50" spans="1:9" ht="20.100000000000001" customHeight="1">
      <c r="A50" s="2981" t="s">
        <v>3581</v>
      </c>
      <c r="B50" s="2978">
        <v>685.96</v>
      </c>
      <c r="C50" s="2982">
        <v>98.99</v>
      </c>
      <c r="D50" s="2978">
        <v>211</v>
      </c>
      <c r="E50" s="2978">
        <v>3071</v>
      </c>
      <c r="F50" s="2978">
        <v>276</v>
      </c>
      <c r="G50" s="2978">
        <v>4024</v>
      </c>
      <c r="H50" s="2978">
        <v>487</v>
      </c>
      <c r="I50" s="2978">
        <v>7095</v>
      </c>
    </row>
    <row r="51" spans="1:9" ht="20.100000000000001" customHeight="1">
      <c r="A51" s="2981" t="s">
        <v>3582</v>
      </c>
      <c r="B51" s="2978">
        <v>469.05</v>
      </c>
      <c r="C51" s="2982">
        <v>67.69</v>
      </c>
      <c r="D51" s="2978">
        <v>144</v>
      </c>
      <c r="E51" s="2978">
        <v>3071</v>
      </c>
      <c r="F51" s="2978">
        <v>189</v>
      </c>
      <c r="G51" s="2978">
        <v>4024</v>
      </c>
      <c r="H51" s="2978">
        <v>333</v>
      </c>
      <c r="I51" s="2978">
        <v>7095</v>
      </c>
    </row>
    <row r="52" spans="1:9" ht="20.100000000000001" customHeight="1">
      <c r="A52" s="2981" t="s">
        <v>3583</v>
      </c>
      <c r="B52" s="2978">
        <v>442.19</v>
      </c>
      <c r="C52" s="2982">
        <v>63.81</v>
      </c>
      <c r="D52" s="2978">
        <v>136</v>
      </c>
      <c r="E52" s="2978">
        <v>3071</v>
      </c>
      <c r="F52" s="2978">
        <v>178</v>
      </c>
      <c r="G52" s="2978">
        <v>4024</v>
      </c>
      <c r="H52" s="2978">
        <v>314</v>
      </c>
      <c r="I52" s="2978">
        <v>7095</v>
      </c>
    </row>
    <row r="53" spans="1:9" ht="20.100000000000001" customHeight="1">
      <c r="A53" s="2981" t="s">
        <v>3584</v>
      </c>
      <c r="B53" s="2978">
        <v>70.3</v>
      </c>
      <c r="C53" s="2982">
        <v>10.15</v>
      </c>
      <c r="D53" s="2978">
        <v>22</v>
      </c>
      <c r="E53" s="2978">
        <v>3071</v>
      </c>
      <c r="F53" s="2978">
        <v>28</v>
      </c>
      <c r="G53" s="2978">
        <v>4024</v>
      </c>
      <c r="H53" s="2978">
        <v>50</v>
      </c>
      <c r="I53" s="2978">
        <v>7095</v>
      </c>
    </row>
    <row r="54" spans="1:9" ht="20.100000000000001" customHeight="1">
      <c r="A54" s="2981" t="s">
        <v>3585</v>
      </c>
      <c r="B54" s="2978">
        <v>384.52</v>
      </c>
      <c r="C54" s="2982">
        <v>55.49</v>
      </c>
      <c r="D54" s="2978">
        <v>120</v>
      </c>
      <c r="E54" s="2978">
        <v>3128</v>
      </c>
      <c r="F54" s="2978">
        <v>158</v>
      </c>
      <c r="G54" s="2978">
        <v>4109</v>
      </c>
      <c r="H54" s="2978">
        <v>278</v>
      </c>
      <c r="I54" s="2978">
        <v>7237</v>
      </c>
    </row>
    <row r="55" spans="1:9" ht="20.100000000000001" customHeight="1">
      <c r="A55" s="2981" t="s">
        <v>3586</v>
      </c>
      <c r="B55" s="2978">
        <v>685.96</v>
      </c>
      <c r="C55" s="2982">
        <v>98.99</v>
      </c>
      <c r="D55" s="2978">
        <v>215</v>
      </c>
      <c r="E55" s="2978">
        <v>3128</v>
      </c>
      <c r="F55" s="2978">
        <v>281</v>
      </c>
      <c r="G55" s="2978">
        <v>4109</v>
      </c>
      <c r="H55" s="2978">
        <v>496</v>
      </c>
      <c r="I55" s="2978">
        <v>7237</v>
      </c>
    </row>
    <row r="56" spans="1:9" ht="20.100000000000001" customHeight="1">
      <c r="A56" s="2981" t="s">
        <v>3587</v>
      </c>
      <c r="B56" s="2978">
        <v>469.05</v>
      </c>
      <c r="C56" s="2982">
        <v>67.69</v>
      </c>
      <c r="D56" s="2978">
        <v>147</v>
      </c>
      <c r="E56" s="2978">
        <v>3128</v>
      </c>
      <c r="F56" s="2978">
        <v>192</v>
      </c>
      <c r="G56" s="2978">
        <v>4109</v>
      </c>
      <c r="H56" s="2978">
        <v>339</v>
      </c>
      <c r="I56" s="2978">
        <v>7237</v>
      </c>
    </row>
    <row r="57" spans="1:9" ht="20.100000000000001" customHeight="1">
      <c r="A57" s="2981" t="s">
        <v>3588</v>
      </c>
      <c r="B57" s="2978">
        <v>442.19</v>
      </c>
      <c r="C57" s="2982">
        <v>63.81</v>
      </c>
      <c r="D57" s="2978">
        <v>139</v>
      </c>
      <c r="E57" s="2978">
        <v>3128</v>
      </c>
      <c r="F57" s="2978">
        <v>181</v>
      </c>
      <c r="G57" s="2978">
        <v>4109</v>
      </c>
      <c r="H57" s="2978">
        <v>320</v>
      </c>
      <c r="I57" s="2978">
        <v>7237</v>
      </c>
    </row>
    <row r="58" spans="1:9" ht="20.100000000000001" customHeight="1">
      <c r="A58" s="2981" t="s">
        <v>3589</v>
      </c>
      <c r="B58" s="2978">
        <v>70.3</v>
      </c>
      <c r="C58" s="2982">
        <v>10.15</v>
      </c>
      <c r="D58" s="2978">
        <v>22</v>
      </c>
      <c r="E58" s="2978">
        <v>3128</v>
      </c>
      <c r="F58" s="2978">
        <v>29</v>
      </c>
      <c r="G58" s="2978">
        <v>4109</v>
      </c>
      <c r="H58" s="2978">
        <v>51</v>
      </c>
      <c r="I58" s="2978">
        <v>7237</v>
      </c>
    </row>
    <row r="59" spans="1:9" ht="20.100000000000001" customHeight="1">
      <c r="A59" s="2981" t="s">
        <v>3590</v>
      </c>
      <c r="B59" s="2978">
        <v>384.52</v>
      </c>
      <c r="C59" s="2982">
        <v>55.49</v>
      </c>
      <c r="D59" s="2978">
        <v>120</v>
      </c>
      <c r="E59" s="2978">
        <v>3128</v>
      </c>
      <c r="F59" s="2978">
        <v>158</v>
      </c>
      <c r="G59" s="2978">
        <v>4109</v>
      </c>
      <c r="H59" s="2978">
        <v>278</v>
      </c>
      <c r="I59" s="2978">
        <v>7237</v>
      </c>
    </row>
    <row r="60" spans="1:9" ht="20.100000000000001" customHeight="1">
      <c r="A60" s="2981" t="s">
        <v>3591</v>
      </c>
      <c r="B60" s="2978">
        <v>685.96</v>
      </c>
      <c r="C60" s="2982">
        <v>98.99</v>
      </c>
      <c r="D60" s="2978">
        <v>215</v>
      </c>
      <c r="E60" s="2978">
        <v>3128</v>
      </c>
      <c r="F60" s="2978">
        <v>281</v>
      </c>
      <c r="G60" s="2978">
        <v>4109</v>
      </c>
      <c r="H60" s="2978">
        <v>496</v>
      </c>
      <c r="I60" s="2978">
        <v>7237</v>
      </c>
    </row>
    <row r="61" spans="1:9" ht="20.100000000000001" customHeight="1">
      <c r="A61" s="2981" t="s">
        <v>3592</v>
      </c>
      <c r="B61" s="2978">
        <v>469.05</v>
      </c>
      <c r="C61" s="2982">
        <v>67.69</v>
      </c>
      <c r="D61" s="2978">
        <v>147</v>
      </c>
      <c r="E61" s="2978">
        <v>3128</v>
      </c>
      <c r="F61" s="2978">
        <v>192</v>
      </c>
      <c r="G61" s="2978">
        <v>4109</v>
      </c>
      <c r="H61" s="2978">
        <v>339</v>
      </c>
      <c r="I61" s="2978">
        <v>7237</v>
      </c>
    </row>
    <row r="62" spans="1:9" ht="20.100000000000001" customHeight="1">
      <c r="A62" s="2981" t="s">
        <v>3593</v>
      </c>
      <c r="B62" s="2978">
        <v>442.19</v>
      </c>
      <c r="C62" s="2982">
        <v>63.81</v>
      </c>
      <c r="D62" s="2978">
        <v>139</v>
      </c>
      <c r="E62" s="2978">
        <v>3128</v>
      </c>
      <c r="F62" s="2978">
        <v>181</v>
      </c>
      <c r="G62" s="2978">
        <v>4109</v>
      </c>
      <c r="H62" s="2978">
        <v>320</v>
      </c>
      <c r="I62" s="2978">
        <v>7237</v>
      </c>
    </row>
    <row r="63" spans="1:9" ht="20.100000000000001" customHeight="1">
      <c r="A63" s="2981" t="s">
        <v>3594</v>
      </c>
      <c r="B63" s="2978">
        <v>70.3</v>
      </c>
      <c r="C63" s="2982">
        <v>10.15</v>
      </c>
      <c r="D63" s="2978">
        <v>22</v>
      </c>
      <c r="E63" s="2978">
        <v>3128</v>
      </c>
      <c r="F63" s="2978">
        <v>29</v>
      </c>
      <c r="G63" s="2978">
        <v>4109</v>
      </c>
      <c r="H63" s="2978">
        <v>51</v>
      </c>
      <c r="I63" s="2978">
        <v>7237</v>
      </c>
    </row>
    <row r="64" spans="1:9" ht="20.100000000000001" customHeight="1">
      <c r="A64" s="2981" t="s">
        <v>3595</v>
      </c>
      <c r="B64" s="2978">
        <v>950.07</v>
      </c>
      <c r="C64" s="2982">
        <v>137.11000000000001</v>
      </c>
      <c r="D64" s="2978">
        <v>298</v>
      </c>
      <c r="E64" s="2978">
        <v>3128</v>
      </c>
      <c r="F64" s="2978">
        <v>390</v>
      </c>
      <c r="G64" s="2978">
        <v>4109</v>
      </c>
      <c r="H64" s="2978">
        <v>688</v>
      </c>
      <c r="I64" s="2978">
        <v>7237</v>
      </c>
    </row>
    <row r="65" spans="1:9" ht="20.100000000000001" customHeight="1">
      <c r="A65" s="2981" t="s">
        <v>3596</v>
      </c>
      <c r="B65" s="2978">
        <v>1031.6500000000001</v>
      </c>
      <c r="C65" s="2982">
        <v>148.88</v>
      </c>
      <c r="D65" s="2978">
        <v>323</v>
      </c>
      <c r="E65" s="2978">
        <v>3128</v>
      </c>
      <c r="F65" s="2978">
        <v>424</v>
      </c>
      <c r="G65" s="2978">
        <v>4109</v>
      </c>
      <c r="H65" s="2978">
        <v>747</v>
      </c>
      <c r="I65" s="2978">
        <v>7237</v>
      </c>
    </row>
    <row r="66" spans="1:9" ht="20.100000000000001" customHeight="1">
      <c r="A66" s="2981" t="s">
        <v>3597</v>
      </c>
      <c r="B66" s="2978">
        <v>70.3</v>
      </c>
      <c r="C66" s="2982">
        <v>10.15</v>
      </c>
      <c r="D66" s="2978">
        <v>22</v>
      </c>
      <c r="E66" s="2978">
        <v>3128</v>
      </c>
      <c r="F66" s="2978">
        <v>29</v>
      </c>
      <c r="G66" s="2978">
        <v>4109</v>
      </c>
      <c r="H66" s="2978">
        <v>51</v>
      </c>
      <c r="I66" s="2978">
        <v>7237</v>
      </c>
    </row>
    <row r="67" spans="1:9" ht="20.100000000000001" customHeight="1">
      <c r="A67" s="2981" t="s">
        <v>3598</v>
      </c>
      <c r="B67" s="2978">
        <v>1031.6500000000001</v>
      </c>
      <c r="C67" s="2982">
        <v>148.88</v>
      </c>
      <c r="D67" s="2978">
        <v>323</v>
      </c>
      <c r="E67" s="2978">
        <v>3128</v>
      </c>
      <c r="F67" s="2978">
        <v>424</v>
      </c>
      <c r="G67" s="2978">
        <v>4109</v>
      </c>
      <c r="H67" s="2978">
        <v>747</v>
      </c>
      <c r="I67" s="2978">
        <v>7237</v>
      </c>
    </row>
    <row r="68" spans="1:9" ht="20.100000000000001" customHeight="1">
      <c r="A68" s="2981" t="s">
        <v>3599</v>
      </c>
      <c r="B68" s="2978">
        <v>70.3</v>
      </c>
      <c r="C68" s="2982">
        <v>10.15</v>
      </c>
      <c r="D68" s="2978">
        <v>22</v>
      </c>
      <c r="E68" s="2978">
        <v>3128</v>
      </c>
      <c r="F68" s="2978">
        <v>29</v>
      </c>
      <c r="G68" s="2978">
        <v>4109</v>
      </c>
      <c r="H68" s="2978">
        <v>51</v>
      </c>
      <c r="I68" s="2978">
        <v>7237</v>
      </c>
    </row>
    <row r="69" spans="1:9" ht="20.100000000000001" customHeight="1">
      <c r="A69" s="2981" t="s">
        <v>3600</v>
      </c>
      <c r="B69" s="2978">
        <v>950.07</v>
      </c>
      <c r="C69" s="2982">
        <v>137.11000000000001</v>
      </c>
      <c r="D69" s="2978">
        <v>298</v>
      </c>
      <c r="E69" s="2978">
        <v>3128</v>
      </c>
      <c r="F69" s="2978">
        <v>390</v>
      </c>
      <c r="G69" s="2978">
        <v>4109</v>
      </c>
      <c r="H69" s="2978">
        <v>688</v>
      </c>
      <c r="I69" s="2978">
        <v>7237</v>
      </c>
    </row>
    <row r="70" spans="1:9" ht="20.100000000000001" customHeight="1">
      <c r="A70" s="2981" t="s">
        <v>3601</v>
      </c>
      <c r="B70" s="2978">
        <v>1031.6500000000001</v>
      </c>
      <c r="C70" s="2982">
        <v>148.88</v>
      </c>
      <c r="D70" s="2978">
        <v>323</v>
      </c>
      <c r="E70" s="2978">
        <v>3128</v>
      </c>
      <c r="F70" s="2978">
        <v>424</v>
      </c>
      <c r="G70" s="2978">
        <v>4109</v>
      </c>
      <c r="H70" s="2978">
        <v>747</v>
      </c>
      <c r="I70" s="2978">
        <v>7237</v>
      </c>
    </row>
    <row r="71" spans="1:9" ht="20.100000000000001" customHeight="1">
      <c r="A71" s="2981" t="s">
        <v>3602</v>
      </c>
      <c r="B71" s="2978">
        <v>70.3</v>
      </c>
      <c r="C71" s="2982">
        <v>10.15</v>
      </c>
      <c r="D71" s="2978">
        <v>22</v>
      </c>
      <c r="E71" s="2978">
        <v>3128</v>
      </c>
      <c r="F71" s="2978">
        <v>29</v>
      </c>
      <c r="G71" s="2978">
        <v>4109</v>
      </c>
      <c r="H71" s="2978">
        <v>51</v>
      </c>
      <c r="I71" s="2978">
        <v>7237</v>
      </c>
    </row>
    <row r="72" spans="1:9" ht="20.100000000000001" customHeight="1">
      <c r="A72" s="2981" t="s">
        <v>3603</v>
      </c>
      <c r="B72" s="2978">
        <v>950.07</v>
      </c>
      <c r="C72" s="2982">
        <v>137.11000000000001</v>
      </c>
      <c r="D72" s="2978">
        <v>298</v>
      </c>
      <c r="E72" s="2978">
        <v>3128</v>
      </c>
      <c r="F72" s="2978">
        <v>390</v>
      </c>
      <c r="G72" s="2978">
        <v>4109</v>
      </c>
      <c r="H72" s="2978">
        <v>688</v>
      </c>
      <c r="I72" s="2978">
        <v>7237</v>
      </c>
    </row>
    <row r="73" spans="1:9" ht="20.100000000000001" customHeight="1">
      <c r="A73" s="2981" t="s">
        <v>3604</v>
      </c>
      <c r="B73" s="2978">
        <v>1031.6500000000001</v>
      </c>
      <c r="C73" s="2982">
        <v>148.88</v>
      </c>
      <c r="D73" s="2978">
        <v>323</v>
      </c>
      <c r="E73" s="2978">
        <v>3128</v>
      </c>
      <c r="F73" s="2978">
        <v>424</v>
      </c>
      <c r="G73" s="2978">
        <v>4109</v>
      </c>
      <c r="H73" s="2978">
        <v>747</v>
      </c>
      <c r="I73" s="2978">
        <v>7237</v>
      </c>
    </row>
    <row r="74" spans="1:9" ht="20.100000000000001" customHeight="1">
      <c r="A74" s="2981" t="s">
        <v>3605</v>
      </c>
      <c r="B74" s="2978">
        <v>70.3</v>
      </c>
      <c r="C74" s="2982">
        <v>10.15</v>
      </c>
      <c r="D74" s="2978">
        <v>22</v>
      </c>
      <c r="E74" s="2978">
        <v>3128</v>
      </c>
      <c r="F74" s="2978">
        <v>29</v>
      </c>
      <c r="G74" s="2978">
        <v>4109</v>
      </c>
      <c r="H74" s="2978">
        <v>51</v>
      </c>
      <c r="I74" s="2978">
        <v>7237</v>
      </c>
    </row>
    <row r="75" spans="1:9" ht="20.100000000000001" customHeight="1">
      <c r="A75" s="2981" t="s">
        <v>3606</v>
      </c>
      <c r="B75" s="2978">
        <v>958.29</v>
      </c>
      <c r="C75" s="2982">
        <v>138.29</v>
      </c>
      <c r="D75" s="2978">
        <v>301</v>
      </c>
      <c r="E75" s="2978">
        <v>3128</v>
      </c>
      <c r="F75" s="2978">
        <v>393</v>
      </c>
      <c r="G75" s="2978">
        <v>4109</v>
      </c>
      <c r="H75" s="2978">
        <v>694</v>
      </c>
      <c r="I75" s="2978">
        <v>7237</v>
      </c>
    </row>
    <row r="76" spans="1:9" ht="20.100000000000001" customHeight="1">
      <c r="A76" s="2981" t="s">
        <v>3607</v>
      </c>
      <c r="B76" s="2978">
        <v>1040.58</v>
      </c>
      <c r="C76" s="2982">
        <v>150.16999999999999</v>
      </c>
      <c r="D76" s="2978">
        <v>326</v>
      </c>
      <c r="E76" s="2978">
        <v>3128</v>
      </c>
      <c r="F76" s="2978">
        <v>427</v>
      </c>
      <c r="G76" s="2978">
        <v>4109</v>
      </c>
      <c r="H76" s="2978">
        <v>753</v>
      </c>
      <c r="I76" s="2978">
        <v>7237</v>
      </c>
    </row>
    <row r="77" spans="1:9" ht="20.100000000000001" customHeight="1">
      <c r="A77" s="2981" t="s">
        <v>3608</v>
      </c>
      <c r="B77" s="2978">
        <v>958.98</v>
      </c>
      <c r="C77" s="2982">
        <v>138.38999999999999</v>
      </c>
      <c r="D77" s="2978">
        <v>301</v>
      </c>
      <c r="E77" s="2978">
        <v>3128</v>
      </c>
      <c r="F77" s="2978">
        <v>393</v>
      </c>
      <c r="G77" s="2978">
        <v>4109</v>
      </c>
      <c r="H77" s="2978">
        <v>694</v>
      </c>
      <c r="I77" s="2978">
        <v>7237</v>
      </c>
    </row>
    <row r="78" spans="1:9" ht="20.100000000000001" customHeight="1">
      <c r="A78" s="2981" t="s">
        <v>3609</v>
      </c>
      <c r="B78" s="2978">
        <v>1041.3</v>
      </c>
      <c r="C78" s="2982">
        <v>150.27000000000001</v>
      </c>
      <c r="D78" s="2978">
        <v>326</v>
      </c>
      <c r="E78" s="2978">
        <v>3128</v>
      </c>
      <c r="F78" s="2978">
        <v>428</v>
      </c>
      <c r="G78" s="2978">
        <v>4109</v>
      </c>
      <c r="H78" s="2978">
        <v>754</v>
      </c>
      <c r="I78" s="2978">
        <v>7237</v>
      </c>
    </row>
    <row r="79" spans="1:9" ht="20.100000000000001" customHeight="1">
      <c r="A79" s="2981" t="s">
        <v>3610</v>
      </c>
      <c r="B79" s="2978">
        <v>944.22</v>
      </c>
      <c r="C79" s="2982">
        <v>136.26</v>
      </c>
      <c r="D79" s="2978">
        <v>302</v>
      </c>
      <c r="E79" s="2978">
        <v>3196</v>
      </c>
      <c r="F79" s="2978">
        <v>395</v>
      </c>
      <c r="G79" s="2978">
        <v>4183</v>
      </c>
      <c r="H79" s="2978">
        <v>697</v>
      </c>
      <c r="I79" s="2978">
        <v>7379</v>
      </c>
    </row>
    <row r="80" spans="1:9" ht="20.100000000000001" customHeight="1">
      <c r="A80" s="2981" t="s">
        <v>3611</v>
      </c>
      <c r="B80" s="2978">
        <v>1025.27</v>
      </c>
      <c r="C80" s="2982">
        <v>147.96</v>
      </c>
      <c r="D80" s="2978">
        <v>328</v>
      </c>
      <c r="E80" s="2978">
        <v>3196</v>
      </c>
      <c r="F80" s="2978">
        <v>429</v>
      </c>
      <c r="G80" s="2978">
        <v>4183</v>
      </c>
      <c r="H80" s="2978">
        <v>757</v>
      </c>
      <c r="I80" s="2978">
        <v>7379</v>
      </c>
    </row>
    <row r="81" spans="1:9" ht="20.100000000000001" customHeight="1">
      <c r="A81" s="2981" t="s">
        <v>3612</v>
      </c>
      <c r="B81" s="2978">
        <v>130.47999999999999</v>
      </c>
      <c r="C81" s="2982">
        <v>18.829999999999998</v>
      </c>
      <c r="D81" s="2978">
        <v>42</v>
      </c>
      <c r="E81" s="2978">
        <v>3196</v>
      </c>
      <c r="F81" s="2978">
        <v>54</v>
      </c>
      <c r="G81" s="2978">
        <v>4183</v>
      </c>
      <c r="H81" s="2978">
        <v>96</v>
      </c>
      <c r="I81" s="2978">
        <v>7379</v>
      </c>
    </row>
    <row r="82" spans="1:9" ht="20.100000000000001" customHeight="1">
      <c r="A82" s="2981" t="s">
        <v>3613</v>
      </c>
      <c r="B82" s="2978">
        <v>944.22</v>
      </c>
      <c r="C82" s="2982">
        <v>136.26</v>
      </c>
      <c r="D82" s="2978">
        <v>302</v>
      </c>
      <c r="E82" s="2978">
        <v>3196</v>
      </c>
      <c r="F82" s="2978">
        <v>395</v>
      </c>
      <c r="G82" s="2978">
        <v>4183</v>
      </c>
      <c r="H82" s="2978">
        <v>697</v>
      </c>
      <c r="I82" s="2978">
        <v>7379</v>
      </c>
    </row>
    <row r="83" spans="1:9" ht="20.100000000000001" customHeight="1">
      <c r="A83" s="2981" t="s">
        <v>3614</v>
      </c>
      <c r="B83" s="2978">
        <v>1025.27</v>
      </c>
      <c r="C83" s="2982">
        <v>147.96</v>
      </c>
      <c r="D83" s="2978">
        <v>328</v>
      </c>
      <c r="E83" s="2978">
        <v>3196</v>
      </c>
      <c r="F83" s="2978">
        <v>429</v>
      </c>
      <c r="G83" s="2978">
        <v>4183</v>
      </c>
      <c r="H83" s="2978">
        <v>757</v>
      </c>
      <c r="I83" s="2978">
        <v>7379</v>
      </c>
    </row>
    <row r="84" spans="1:9" ht="20.100000000000001" customHeight="1">
      <c r="A84" s="2981" t="s">
        <v>3615</v>
      </c>
      <c r="B84" s="2978">
        <v>130.47999999999999</v>
      </c>
      <c r="C84" s="2982">
        <v>18.829999999999998</v>
      </c>
      <c r="D84" s="2978">
        <v>42</v>
      </c>
      <c r="E84" s="2978">
        <v>3196</v>
      </c>
      <c r="F84" s="2978">
        <v>54</v>
      </c>
      <c r="G84" s="2978">
        <v>4183</v>
      </c>
      <c r="H84" s="2978">
        <v>96</v>
      </c>
      <c r="I84" s="2978">
        <v>7379</v>
      </c>
    </row>
    <row r="85" spans="1:9" ht="20.100000000000001" customHeight="1">
      <c r="A85" s="2981" t="s">
        <v>3616</v>
      </c>
      <c r="B85" s="2978">
        <v>944.22</v>
      </c>
      <c r="C85" s="2982">
        <v>136.26</v>
      </c>
      <c r="D85" s="2978">
        <v>302</v>
      </c>
      <c r="E85" s="2978">
        <v>3196</v>
      </c>
      <c r="F85" s="2978">
        <v>395</v>
      </c>
      <c r="G85" s="2978">
        <v>4183</v>
      </c>
      <c r="H85" s="2978">
        <v>697</v>
      </c>
      <c r="I85" s="2978">
        <v>7379</v>
      </c>
    </row>
    <row r="86" spans="1:9" ht="20.100000000000001" customHeight="1">
      <c r="A86" s="2981" t="s">
        <v>3617</v>
      </c>
      <c r="B86" s="2978">
        <v>1025.27</v>
      </c>
      <c r="C86" s="2982">
        <v>147.96</v>
      </c>
      <c r="D86" s="2978">
        <v>328</v>
      </c>
      <c r="E86" s="2978">
        <v>3196</v>
      </c>
      <c r="F86" s="2978">
        <v>429</v>
      </c>
      <c r="G86" s="2978">
        <v>4183</v>
      </c>
      <c r="H86" s="2978">
        <v>757</v>
      </c>
      <c r="I86" s="2978">
        <v>7379</v>
      </c>
    </row>
    <row r="87" spans="1:9" ht="20.100000000000001" customHeight="1">
      <c r="A87" s="2981" t="s">
        <v>3618</v>
      </c>
      <c r="B87" s="2978">
        <v>130.47999999999999</v>
      </c>
      <c r="C87" s="2982">
        <v>18.829999999999998</v>
      </c>
      <c r="D87" s="2978">
        <v>42</v>
      </c>
      <c r="E87" s="2978">
        <v>3196</v>
      </c>
      <c r="F87" s="2978">
        <v>54</v>
      </c>
      <c r="G87" s="2978">
        <v>4183</v>
      </c>
      <c r="H87" s="2978">
        <v>96</v>
      </c>
      <c r="I87" s="2978">
        <v>7379</v>
      </c>
    </row>
    <row r="88" spans="1:9" ht="20.100000000000001" customHeight="1">
      <c r="A88" s="2981" t="s">
        <v>3619</v>
      </c>
      <c r="B88" s="2978">
        <v>944.22</v>
      </c>
      <c r="C88" s="2982">
        <v>136.26</v>
      </c>
      <c r="D88" s="2978">
        <v>302</v>
      </c>
      <c r="E88" s="2978">
        <v>3196</v>
      </c>
      <c r="F88" s="2978">
        <v>395</v>
      </c>
      <c r="G88" s="2978">
        <v>4183</v>
      </c>
      <c r="H88" s="2978">
        <v>697</v>
      </c>
      <c r="I88" s="2978">
        <v>7379</v>
      </c>
    </row>
    <row r="89" spans="1:9" ht="20.100000000000001" customHeight="1">
      <c r="A89" s="2981" t="s">
        <v>3620</v>
      </c>
      <c r="B89" s="2978">
        <v>1025.27</v>
      </c>
      <c r="C89" s="2982">
        <v>147.96</v>
      </c>
      <c r="D89" s="2978">
        <v>328</v>
      </c>
      <c r="E89" s="2978">
        <v>3196</v>
      </c>
      <c r="F89" s="2978">
        <v>429</v>
      </c>
      <c r="G89" s="2978">
        <v>4183</v>
      </c>
      <c r="H89" s="2978">
        <v>757</v>
      </c>
      <c r="I89" s="2978">
        <v>7379</v>
      </c>
    </row>
    <row r="90" spans="1:9" ht="20.100000000000001" customHeight="1">
      <c r="A90" s="2981" t="s">
        <v>3621</v>
      </c>
      <c r="B90" s="2978">
        <v>130.47999999999999</v>
      </c>
      <c r="C90" s="2982">
        <v>18.829999999999998</v>
      </c>
      <c r="D90" s="2978">
        <v>42</v>
      </c>
      <c r="E90" s="2978">
        <v>3196</v>
      </c>
      <c r="F90" s="2978">
        <v>54</v>
      </c>
      <c r="G90" s="2978">
        <v>4183</v>
      </c>
      <c r="H90" s="2978">
        <v>96</v>
      </c>
      <c r="I90" s="2978">
        <v>7379</v>
      </c>
    </row>
    <row r="91" spans="1:9" ht="20.100000000000001" customHeight="1">
      <c r="A91" s="2981" t="s">
        <v>3622</v>
      </c>
      <c r="B91" s="2978">
        <v>944.22</v>
      </c>
      <c r="C91" s="2982">
        <v>136.26</v>
      </c>
      <c r="D91" s="2978">
        <v>302</v>
      </c>
      <c r="E91" s="2978">
        <v>3196</v>
      </c>
      <c r="F91" s="2978">
        <v>395</v>
      </c>
      <c r="G91" s="2978">
        <v>4183</v>
      </c>
      <c r="H91" s="2978">
        <v>697</v>
      </c>
      <c r="I91" s="2978">
        <v>7379</v>
      </c>
    </row>
    <row r="92" spans="1:9" ht="20.100000000000001" customHeight="1">
      <c r="A92" s="2981" t="s">
        <v>3623</v>
      </c>
      <c r="B92" s="2978">
        <v>1025.27</v>
      </c>
      <c r="C92" s="2982">
        <v>147.96</v>
      </c>
      <c r="D92" s="2978">
        <v>328</v>
      </c>
      <c r="E92" s="2978">
        <v>3196</v>
      </c>
      <c r="F92" s="2978">
        <v>429</v>
      </c>
      <c r="G92" s="2978">
        <v>4183</v>
      </c>
      <c r="H92" s="2978">
        <v>757</v>
      </c>
      <c r="I92" s="2978">
        <v>7379</v>
      </c>
    </row>
    <row r="93" spans="1:9" ht="20.100000000000001" customHeight="1">
      <c r="A93" s="2981" t="s">
        <v>3624</v>
      </c>
      <c r="B93" s="2978">
        <v>130.47999999999999</v>
      </c>
      <c r="C93" s="2982">
        <v>18.829999999999998</v>
      </c>
      <c r="D93" s="2978">
        <v>42</v>
      </c>
      <c r="E93" s="2978">
        <v>3196</v>
      </c>
      <c r="F93" s="2978">
        <v>54</v>
      </c>
      <c r="G93" s="2978">
        <v>4183</v>
      </c>
      <c r="H93" s="2978">
        <v>96</v>
      </c>
      <c r="I93" s="2978">
        <v>7379</v>
      </c>
    </row>
    <row r="94" spans="1:9" ht="20.100000000000001" customHeight="1">
      <c r="A94" s="2981" t="s">
        <v>3625</v>
      </c>
      <c r="B94" s="2978">
        <v>1568.83</v>
      </c>
      <c r="C94" s="2982">
        <v>226.4</v>
      </c>
      <c r="D94" s="2978">
        <v>501</v>
      </c>
      <c r="E94" s="2978">
        <v>3196</v>
      </c>
      <c r="F94" s="2978">
        <v>657</v>
      </c>
      <c r="G94" s="2978">
        <v>4183</v>
      </c>
      <c r="H94" s="2978">
        <v>1158</v>
      </c>
      <c r="I94" s="2978">
        <v>7379</v>
      </c>
    </row>
    <row r="95" spans="1:9" ht="20.100000000000001" customHeight="1">
      <c r="A95" s="2981" t="s">
        <v>3626</v>
      </c>
      <c r="B95" s="2978">
        <v>336.37</v>
      </c>
      <c r="C95" s="2982">
        <v>48.54</v>
      </c>
      <c r="D95" s="2978">
        <v>107</v>
      </c>
      <c r="E95" s="2978">
        <v>3196</v>
      </c>
      <c r="F95" s="2978">
        <v>141</v>
      </c>
      <c r="G95" s="2978">
        <v>4183</v>
      </c>
      <c r="H95" s="2978">
        <v>248</v>
      </c>
      <c r="I95" s="2978">
        <v>7379</v>
      </c>
    </row>
    <row r="96" spans="1:9" ht="20.100000000000001" customHeight="1">
      <c r="A96" s="2981" t="s">
        <v>3627</v>
      </c>
      <c r="B96" s="2978">
        <v>132.62</v>
      </c>
      <c r="C96" s="2982">
        <v>19.14</v>
      </c>
      <c r="D96" s="2978">
        <v>42</v>
      </c>
      <c r="E96" s="2978">
        <v>3196</v>
      </c>
      <c r="F96" s="2978">
        <v>56</v>
      </c>
      <c r="G96" s="2978">
        <v>4183</v>
      </c>
      <c r="H96" s="2978">
        <v>98</v>
      </c>
      <c r="I96" s="2978">
        <v>7379</v>
      </c>
    </row>
    <row r="97" spans="1:9" ht="20.100000000000001" customHeight="1">
      <c r="A97" s="2981" t="s">
        <v>3628</v>
      </c>
      <c r="B97" s="2978">
        <v>462.03</v>
      </c>
      <c r="C97" s="2982">
        <v>66.680000000000007</v>
      </c>
      <c r="D97" s="2978">
        <v>148</v>
      </c>
      <c r="E97" s="2978">
        <v>3196</v>
      </c>
      <c r="F97" s="2978">
        <v>193</v>
      </c>
      <c r="G97" s="2978">
        <v>4183</v>
      </c>
      <c r="H97" s="2978">
        <v>341</v>
      </c>
      <c r="I97" s="2978">
        <v>7379</v>
      </c>
    </row>
    <row r="98" spans="1:9" ht="20.100000000000001" customHeight="1">
      <c r="A98" s="2981" t="s">
        <v>3879</v>
      </c>
      <c r="B98" s="2978">
        <v>130.49</v>
      </c>
      <c r="C98" s="2982">
        <v>18.829999999999998</v>
      </c>
      <c r="D98" s="2978">
        <v>42</v>
      </c>
      <c r="E98" s="2978">
        <v>3196</v>
      </c>
      <c r="F98" s="2978">
        <v>54</v>
      </c>
      <c r="G98" s="2978">
        <v>4183</v>
      </c>
      <c r="H98" s="2978">
        <v>96</v>
      </c>
      <c r="I98" s="2978">
        <v>7379</v>
      </c>
    </row>
    <row r="99" spans="1:9" ht="20.100000000000001" customHeight="1">
      <c r="A99" s="2981" t="s">
        <v>3629</v>
      </c>
      <c r="B99" s="2978">
        <v>311.61</v>
      </c>
      <c r="C99" s="2982">
        <v>44.97</v>
      </c>
      <c r="D99" s="2978">
        <v>100</v>
      </c>
      <c r="E99" s="2978">
        <v>3196</v>
      </c>
      <c r="F99" s="2978">
        <v>130</v>
      </c>
      <c r="G99" s="2978">
        <v>4183</v>
      </c>
      <c r="H99" s="2978">
        <v>230</v>
      </c>
      <c r="I99" s="2978">
        <v>7379</v>
      </c>
    </row>
    <row r="100" spans="1:9" ht="20.100000000000001" customHeight="1">
      <c r="A100" s="2981" t="s">
        <v>3630</v>
      </c>
      <c r="B100" s="2978">
        <v>130.49</v>
      </c>
      <c r="C100" s="2982">
        <v>18.829999999999998</v>
      </c>
      <c r="D100" s="2978">
        <v>42</v>
      </c>
      <c r="E100" s="2978">
        <v>3196</v>
      </c>
      <c r="F100" s="2978">
        <v>54</v>
      </c>
      <c r="G100" s="2978">
        <v>4183</v>
      </c>
      <c r="H100" s="2978">
        <v>96</v>
      </c>
      <c r="I100" s="2978">
        <v>7379</v>
      </c>
    </row>
    <row r="101" spans="1:9" ht="20.100000000000001" customHeight="1">
      <c r="A101" s="2981" t="s">
        <v>3631</v>
      </c>
      <c r="B101" s="2978">
        <v>569.14</v>
      </c>
      <c r="C101" s="2982">
        <v>82.13</v>
      </c>
      <c r="D101" s="2978">
        <v>182</v>
      </c>
      <c r="E101" s="2978">
        <v>3196</v>
      </c>
      <c r="F101" s="2978">
        <v>238</v>
      </c>
      <c r="G101" s="2978">
        <v>4183</v>
      </c>
      <c r="H101" s="2978">
        <v>420</v>
      </c>
      <c r="I101" s="2978">
        <v>7379</v>
      </c>
    </row>
    <row r="102" spans="1:9" ht="20.100000000000001" customHeight="1">
      <c r="A102" s="2981" t="s">
        <v>3632</v>
      </c>
      <c r="B102" s="2978">
        <v>143.24</v>
      </c>
      <c r="C102" s="2982">
        <v>20.67</v>
      </c>
      <c r="D102" s="2978">
        <v>46</v>
      </c>
      <c r="E102" s="2978">
        <v>3196</v>
      </c>
      <c r="F102" s="2978">
        <v>60</v>
      </c>
      <c r="G102" s="2978">
        <v>4183</v>
      </c>
      <c r="H102" s="2978">
        <v>106</v>
      </c>
      <c r="I102" s="2978">
        <v>7379</v>
      </c>
    </row>
    <row r="103" spans="1:9" ht="20.100000000000001" customHeight="1">
      <c r="A103" s="2981" t="s">
        <v>3633</v>
      </c>
      <c r="B103" s="2978">
        <v>512.11</v>
      </c>
      <c r="C103" s="2982">
        <v>73.900000000000006</v>
      </c>
      <c r="D103" s="2978">
        <v>164</v>
      </c>
      <c r="E103" s="2978">
        <v>3196</v>
      </c>
      <c r="F103" s="2978">
        <v>214</v>
      </c>
      <c r="G103" s="2978">
        <v>4183</v>
      </c>
      <c r="H103" s="2978">
        <v>378</v>
      </c>
      <c r="I103" s="2978">
        <v>7379</v>
      </c>
    </row>
    <row r="104" spans="1:9" ht="20.100000000000001" customHeight="1">
      <c r="A104" s="2981" t="s">
        <v>3634</v>
      </c>
      <c r="B104" s="2978">
        <v>134.87</v>
      </c>
      <c r="C104" s="2982">
        <v>19.46</v>
      </c>
      <c r="D104" s="2978">
        <v>43</v>
      </c>
      <c r="E104" s="2978">
        <v>3196</v>
      </c>
      <c r="F104" s="2978">
        <v>57</v>
      </c>
      <c r="G104" s="2978">
        <v>4183</v>
      </c>
      <c r="H104" s="2978">
        <v>100</v>
      </c>
      <c r="I104" s="2978">
        <v>7379</v>
      </c>
    </row>
    <row r="105" spans="1:9" ht="20.100000000000001" customHeight="1">
      <c r="A105" s="2981" t="s">
        <v>3635</v>
      </c>
      <c r="B105" s="2978">
        <v>134.87</v>
      </c>
      <c r="C105" s="2982">
        <v>19.46</v>
      </c>
      <c r="D105" s="2978">
        <v>43</v>
      </c>
      <c r="E105" s="2978">
        <v>3196</v>
      </c>
      <c r="F105" s="2978">
        <v>57</v>
      </c>
      <c r="G105" s="2978">
        <v>4183</v>
      </c>
      <c r="H105" s="2978">
        <v>100</v>
      </c>
      <c r="I105" s="2978">
        <v>7379</v>
      </c>
    </row>
    <row r="106" spans="1:9" ht="20.100000000000001" customHeight="1">
      <c r="A106" s="2981" t="s">
        <v>3636</v>
      </c>
      <c r="B106" s="2978">
        <v>512.11</v>
      </c>
      <c r="C106" s="2982">
        <v>73.900000000000006</v>
      </c>
      <c r="D106" s="2978">
        <v>164</v>
      </c>
      <c r="E106" s="2978">
        <v>3196</v>
      </c>
      <c r="F106" s="2978">
        <v>214</v>
      </c>
      <c r="G106" s="2978">
        <v>4183</v>
      </c>
      <c r="H106" s="2978">
        <v>378</v>
      </c>
      <c r="I106" s="2978">
        <v>7379</v>
      </c>
    </row>
    <row r="107" spans="1:9" ht="20.100000000000001" customHeight="1">
      <c r="A107" s="2981" t="s">
        <v>3637</v>
      </c>
      <c r="B107" s="2978">
        <v>145.69</v>
      </c>
      <c r="C107" s="2982">
        <f>21.02-0.04</f>
        <v>20.98</v>
      </c>
      <c r="D107" s="2978">
        <v>47</v>
      </c>
      <c r="E107" s="2978">
        <v>3196</v>
      </c>
      <c r="F107" s="2978">
        <v>61</v>
      </c>
      <c r="G107" s="2978">
        <v>4183</v>
      </c>
      <c r="H107" s="2978">
        <v>108</v>
      </c>
      <c r="I107" s="2978">
        <v>7379</v>
      </c>
    </row>
    <row r="108" spans="1:9">
      <c r="A108" s="2979" t="s">
        <v>37</v>
      </c>
      <c r="B108" s="2980">
        <f>SUM(B3:B107)</f>
        <v>72564.650000000052</v>
      </c>
      <c r="C108" s="2980">
        <f>SUM(C3:C107)</f>
        <v>10471.889999999985</v>
      </c>
      <c r="D108" s="2980">
        <f>SUM(D3:D107)</f>
        <v>19810</v>
      </c>
      <c r="E108" s="2980"/>
      <c r="F108" s="2980">
        <f>SUM(F3:F107)</f>
        <v>25927</v>
      </c>
      <c r="G108" s="2980"/>
      <c r="H108" s="2980">
        <f>SUM(H3:H107)</f>
        <v>45737</v>
      </c>
      <c r="I108" s="2980"/>
    </row>
    <row r="109" spans="1:9">
      <c r="A109" s="3359" t="s">
        <v>3542</v>
      </c>
      <c r="B109" s="3360"/>
      <c r="C109" s="3361"/>
      <c r="D109" s="3359" t="e">
        <f>D108元整</f>
        <v>#NAME?</v>
      </c>
      <c r="E109" s="3361"/>
      <c r="F109" s="3359" t="s">
        <v>3543</v>
      </c>
      <c r="G109" s="3361"/>
      <c r="H109" s="3359" t="s">
        <v>3543</v>
      </c>
      <c r="I109" s="3361"/>
    </row>
    <row r="110" spans="1:9">
      <c r="A110" s="3362" t="s">
        <v>3544</v>
      </c>
      <c r="B110" s="3363"/>
      <c r="C110" s="3364"/>
      <c r="D110" s="3365"/>
      <c r="E110" s="3366"/>
      <c r="F110" s="3366"/>
      <c r="G110" s="3366"/>
      <c r="H110" s="3366"/>
      <c r="I110" s="3367"/>
    </row>
    <row r="111" spans="1:9">
      <c r="A111" s="3359" t="s">
        <v>3542</v>
      </c>
      <c r="B111" s="3360"/>
      <c r="C111" s="3361"/>
      <c r="D111" s="3359" t="s">
        <v>3543</v>
      </c>
      <c r="E111" s="3360"/>
      <c r="F111" s="3360"/>
      <c r="G111" s="3360"/>
      <c r="H111" s="3360"/>
      <c r="I111" s="3361"/>
    </row>
    <row r="112" spans="1:9">
      <c r="A112" s="3362" t="s">
        <v>3055</v>
      </c>
      <c r="B112" s="3363"/>
      <c r="C112" s="3364"/>
      <c r="D112" s="3365"/>
      <c r="E112" s="3366"/>
      <c r="F112" s="3366"/>
      <c r="G112" s="3366"/>
      <c r="H112" s="3366"/>
      <c r="I112" s="3367"/>
    </row>
    <row r="113" spans="1:9" ht="14.25" thickBot="1">
      <c r="A113" s="3368" t="s">
        <v>3542</v>
      </c>
      <c r="B113" s="3369"/>
      <c r="C113" s="3370"/>
      <c r="D113" s="3368" t="s">
        <v>3543</v>
      </c>
      <c r="E113" s="3369"/>
      <c r="F113" s="3369"/>
      <c r="G113" s="3369"/>
      <c r="H113" s="3369"/>
      <c r="I113" s="3370"/>
    </row>
    <row r="114" spans="1:9" ht="14.25" thickTop="1"/>
  </sheetData>
  <mergeCells count="18">
    <mergeCell ref="A111:C111"/>
    <mergeCell ref="D111:I111"/>
    <mergeCell ref="A112:C112"/>
    <mergeCell ref="D112:I112"/>
    <mergeCell ref="A113:C113"/>
    <mergeCell ref="D113:I113"/>
    <mergeCell ref="A109:C109"/>
    <mergeCell ref="D109:E109"/>
    <mergeCell ref="F109:G109"/>
    <mergeCell ref="H109:I109"/>
    <mergeCell ref="A110:C110"/>
    <mergeCell ref="D110:I110"/>
    <mergeCell ref="H1:I1"/>
    <mergeCell ref="A1:A2"/>
    <mergeCell ref="B1:B2"/>
    <mergeCell ref="C1:C2"/>
    <mergeCell ref="D1:E1"/>
    <mergeCell ref="F1:G1"/>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1641</v>
      </c>
      <c r="B2" s="3043" t="s">
        <v>1642</v>
      </c>
      <c r="C2" s="3043" t="s">
        <v>1643</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37"/>
      <c r="B3" s="3037"/>
      <c r="C3" s="3037"/>
      <c r="D3" s="1047" t="s">
        <v>1638</v>
      </c>
      <c r="E3" s="1047" t="s">
        <v>1644</v>
      </c>
      <c r="F3" s="1047" t="s">
        <v>1638</v>
      </c>
      <c r="G3" s="1047" t="s">
        <v>1639</v>
      </c>
      <c r="H3" s="1047" t="s">
        <v>1638</v>
      </c>
      <c r="I3" s="1047" t="s">
        <v>1639</v>
      </c>
    </row>
    <row r="4" spans="1:9" ht="15">
      <c r="A4" s="1976" t="str">
        <f>项目基本情况!S2</f>
        <v>北京市房地产</v>
      </c>
      <c r="B4" s="1047">
        <f>项目基本情况!C17</f>
        <v>72564.650000000038</v>
      </c>
      <c r="C4" s="1047">
        <f>项目基本情况!C18</f>
        <v>10471.89</v>
      </c>
      <c r="D4" s="1047">
        <f ca="1">结果表!D118</f>
        <v>19804</v>
      </c>
      <c r="E4" s="1047">
        <f ca="1">结果表!E118</f>
        <v>2729</v>
      </c>
      <c r="F4" s="1047">
        <f ca="1">结果表!F118</f>
        <v>25933</v>
      </c>
      <c r="G4" s="1047">
        <f ca="1">结果表!G118</f>
        <v>3574</v>
      </c>
      <c r="H4" s="1047">
        <f ca="1">结果表!H118</f>
        <v>45737</v>
      </c>
      <c r="I4" s="1047">
        <f ca="1">结果表!I118</f>
        <v>6303</v>
      </c>
    </row>
    <row r="5" spans="1:9" ht="30" customHeight="1">
      <c r="A5" s="3037" t="s">
        <v>1640</v>
      </c>
      <c r="B5" s="3037"/>
      <c r="C5" s="3037"/>
      <c r="D5" s="3038" t="str">
        <f ca="1">结果表!D119</f>
        <v>壹亿玖仟捌佰零肆万元整</v>
      </c>
      <c r="E5" s="3038"/>
      <c r="F5" s="3038" t="str">
        <f ca="1">结果表!F119</f>
        <v>贰亿伍仟玖佰叁拾叁万元整</v>
      </c>
      <c r="G5" s="3038"/>
      <c r="H5" s="3038" t="str">
        <f ca="1">结果表!H119</f>
        <v>肆亿伍仟柒佰叁拾柒万元整</v>
      </c>
      <c r="I5" s="3038"/>
    </row>
    <row r="6" spans="1:9" ht="15.75">
      <c r="A6" s="3036" t="str">
        <f>结果表!A120</f>
        <v>估价师知悉的法定优先受偿款</v>
      </c>
      <c r="B6" s="3036"/>
      <c r="C6" s="3036"/>
      <c r="D6" s="3036">
        <f>结果表!D120</f>
        <v>0</v>
      </c>
      <c r="E6" s="3036"/>
      <c r="F6" s="3036"/>
      <c r="G6" s="3036"/>
      <c r="H6" s="3036"/>
      <c r="I6" s="3036"/>
    </row>
    <row r="7" spans="1:9" ht="15">
      <c r="A7" s="3037" t="s">
        <v>1640</v>
      </c>
      <c r="B7" s="3037"/>
      <c r="C7" s="3037"/>
      <c r="D7" s="3039" t="str">
        <f>结果表!D121</f>
        <v>零元整</v>
      </c>
      <c r="E7" s="3040"/>
      <c r="F7" s="3040"/>
      <c r="G7" s="3040"/>
      <c r="H7" s="3040"/>
      <c r="I7" s="3041"/>
    </row>
    <row r="8" spans="1:9" ht="15.75">
      <c r="A8" s="3036" t="str">
        <f>结果表!A122</f>
        <v>房地产抵押价值</v>
      </c>
      <c r="B8" s="3036"/>
      <c r="C8" s="3036"/>
      <c r="D8" s="3036">
        <f ca="1">结果表!D122</f>
        <v>45737</v>
      </c>
      <c r="E8" s="3036"/>
      <c r="F8" s="3036"/>
      <c r="G8" s="3036"/>
      <c r="H8" s="3036"/>
      <c r="I8" s="3036"/>
    </row>
    <row r="9" spans="1:9" ht="15">
      <c r="A9" s="3037" t="s">
        <v>1640</v>
      </c>
      <c r="B9" s="3037"/>
      <c r="C9" s="3037"/>
      <c r="D9" s="3038" t="str">
        <f ca="1">结果表!D123</f>
        <v>肆亿伍仟柒佰叁拾柒万元整</v>
      </c>
      <c r="E9" s="3038"/>
      <c r="F9" s="3038"/>
      <c r="G9" s="3038"/>
      <c r="H9" s="3038"/>
      <c r="I9" s="3038"/>
    </row>
    <row r="10" spans="1:9" ht="15.75">
      <c r="A10" s="3036" t="str">
        <f>结果表!A124</f>
        <v/>
      </c>
      <c r="B10" s="3036"/>
      <c r="C10" s="3036"/>
      <c r="D10" s="3036" t="str">
        <f>结果表!D124</f>
        <v>——</v>
      </c>
      <c r="E10" s="3036"/>
      <c r="F10" s="3036"/>
      <c r="G10" s="3036"/>
      <c r="H10" s="3036"/>
      <c r="I10" s="3036"/>
    </row>
    <row r="11" spans="1:9" ht="15">
      <c r="A11" s="3037" t="s">
        <v>1640</v>
      </c>
      <c r="B11" s="3037"/>
      <c r="C11" s="3037"/>
      <c r="D11" s="3038" t="e">
        <f>结果表!D125</f>
        <v>#VALUE!</v>
      </c>
      <c r="E11" s="3038"/>
      <c r="F11" s="3038"/>
      <c r="G11" s="3038"/>
      <c r="H11" s="3038"/>
      <c r="I11" s="3038"/>
    </row>
    <row r="12" spans="1:9" ht="15.75">
      <c r="A12" s="3036" t="str">
        <f>结果表!A126</f>
        <v/>
      </c>
      <c r="B12" s="3036"/>
      <c r="C12" s="3036"/>
      <c r="D12" s="3036" t="str">
        <f>结果表!D126</f>
        <v>——</v>
      </c>
      <c r="E12" s="3036"/>
      <c r="F12" s="3036"/>
      <c r="G12" s="3036"/>
      <c r="H12" s="3036"/>
      <c r="I12" s="3036"/>
    </row>
    <row r="13" spans="1:9" ht="15.75" thickBot="1">
      <c r="A13" s="3033" t="s">
        <v>1640</v>
      </c>
      <c r="B13" s="3033"/>
      <c r="C13" s="3033"/>
      <c r="D13" s="3034" t="e">
        <f>结果表!D127</f>
        <v>#VALUE!</v>
      </c>
      <c r="E13" s="3034"/>
      <c r="F13" s="3034"/>
      <c r="G13" s="3034"/>
      <c r="H13" s="3034"/>
      <c r="I13" s="3034"/>
    </row>
    <row r="14" spans="1:9" ht="15" thickTop="1">
      <c r="A14" s="3035" t="s">
        <v>1645</v>
      </c>
      <c r="B14" s="3035"/>
      <c r="C14" s="3035"/>
      <c r="D14" s="3035"/>
      <c r="E14" s="3035"/>
      <c r="F14" s="3035"/>
      <c r="G14" s="3035"/>
      <c r="H14" s="3035"/>
      <c r="I14" s="303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0" t="s">
        <v>1662</v>
      </c>
      <c r="B1" s="3050"/>
      <c r="C1" s="3050"/>
      <c r="D1" s="3050"/>
    </row>
    <row r="2" spans="1:4" ht="18">
      <c r="A2" s="3051" t="s">
        <v>1646</v>
      </c>
      <c r="B2" s="3051"/>
      <c r="C2" s="3051"/>
      <c r="D2" s="305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1" t="s">
        <v>1652</v>
      </c>
      <c r="B6" s="3051"/>
      <c r="C6" s="3051"/>
      <c r="D6" s="305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2"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4" t="str">
        <f>IF(项目基本情况!B8="抵押","4.本次评估估价师所知悉的法定优先受偿款情况说明如下：","——")</f>
        <v>4.本次评估估价师所知悉的法定优先受偿款情况说明如下：</v>
      </c>
      <c r="B14" s="3049"/>
      <c r="C14" s="3049"/>
      <c r="D14" s="3049"/>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4"/>
      <c r="C15" s="3044"/>
      <c r="D15" s="3044"/>
    </row>
    <row r="16" spans="1:4" ht="30" customHeight="1">
      <c r="A16" s="3046" t="s">
        <v>1656</v>
      </c>
      <c r="B16" s="3046"/>
      <c r="C16" s="3046"/>
      <c r="D16" s="3046"/>
    </row>
    <row r="17" spans="1:4" ht="144" customHeight="1">
      <c r="A17" s="3046" t="s">
        <v>1657</v>
      </c>
      <c r="B17" s="3046"/>
      <c r="C17" s="3046"/>
      <c r="D17" s="3046"/>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1658</v>
      </c>
      <c r="B22" s="3048"/>
      <c r="C22" s="3048"/>
      <c r="D22" s="304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8" t="s">
        <v>1669</v>
      </c>
      <c r="B15" s="3053" t="s">
        <v>136</v>
      </c>
      <c r="C15" s="3054"/>
    </row>
    <row r="16" spans="1:7" ht="13.5">
      <c r="A16" s="3059"/>
      <c r="B16" s="3053" t="s">
        <v>69</v>
      </c>
      <c r="C16" s="3054"/>
    </row>
    <row r="17" spans="1:3" ht="13.5">
      <c r="A17" s="3059"/>
      <c r="B17" s="3056" t="s">
        <v>1670</v>
      </c>
      <c r="C17" s="2003" t="s">
        <v>1669</v>
      </c>
    </row>
    <row r="18" spans="1:3" ht="13.5">
      <c r="A18" s="3059"/>
      <c r="B18" s="3056"/>
      <c r="C18" s="2003" t="s">
        <v>1671</v>
      </c>
    </row>
    <row r="19" spans="1:3" ht="13.5">
      <c r="A19" s="3059"/>
      <c r="B19" s="3056"/>
      <c r="C19" s="2003" t="s">
        <v>1672</v>
      </c>
    </row>
    <row r="20" spans="1:3" ht="13.5">
      <c r="A20" s="3060"/>
      <c r="B20" s="3055" t="s">
        <v>1673</v>
      </c>
      <c r="C20" s="3054"/>
    </row>
    <row r="21" spans="1:3" ht="13.5">
      <c r="A21" s="2004" t="s">
        <v>1674</v>
      </c>
      <c r="B21" s="2005"/>
      <c r="C21" s="2006"/>
    </row>
    <row r="22" spans="1:3" ht="13.5">
      <c r="A22" s="3057" t="s">
        <v>1675</v>
      </c>
      <c r="B22" s="3055" t="s">
        <v>1676</v>
      </c>
      <c r="C22" s="3054"/>
    </row>
    <row r="23" spans="1:3" ht="13.5">
      <c r="A23" s="3057"/>
      <c r="B23" s="3055" t="s">
        <v>1677</v>
      </c>
      <c r="C23" s="3054"/>
    </row>
    <row r="24" spans="1:3" ht="13.5">
      <c r="A24" s="3057"/>
      <c r="B24" s="3055" t="s">
        <v>1678</v>
      </c>
      <c r="C24" s="3054"/>
    </row>
    <row r="25" spans="1:3" ht="13.5">
      <c r="A25" s="3057"/>
      <c r="B25" s="3056" t="s">
        <v>1679</v>
      </c>
      <c r="C25" s="2003" t="s">
        <v>1680</v>
      </c>
    </row>
    <row r="26" spans="1:3" ht="13.5">
      <c r="A26" s="3057"/>
      <c r="B26" s="3056"/>
      <c r="C26" s="2003" t="s">
        <v>1681</v>
      </c>
    </row>
    <row r="27" spans="1:3" ht="13.5">
      <c r="A27" s="3057"/>
      <c r="B27" s="3056"/>
      <c r="C27" s="2003" t="s">
        <v>1682</v>
      </c>
    </row>
    <row r="28" spans="1:3" ht="13.5">
      <c r="A28" s="3057"/>
      <c r="B28" s="3056"/>
      <c r="C28" s="2003" t="s">
        <v>1683</v>
      </c>
    </row>
    <row r="29" spans="1:3" ht="13.5">
      <c r="A29" s="3057"/>
      <c r="B29" s="3056"/>
      <c r="C29" s="2003" t="s">
        <v>1684</v>
      </c>
    </row>
    <row r="30" spans="1:3" ht="13.5">
      <c r="A30" s="3057"/>
      <c r="B30" s="3056"/>
      <c r="C30" s="2003" t="s">
        <v>1685</v>
      </c>
    </row>
    <row r="31" spans="1:3" ht="13.5">
      <c r="A31" s="3057"/>
      <c r="B31" s="3056"/>
      <c r="C31" s="2003" t="s">
        <v>1686</v>
      </c>
    </row>
    <row r="32" spans="1:3" ht="13.5">
      <c r="A32" s="3057"/>
      <c r="B32" s="3056"/>
      <c r="C32" s="2003" t="s">
        <v>1687</v>
      </c>
    </row>
    <row r="33" spans="1:3" ht="13.5">
      <c r="A33" s="3057"/>
      <c r="B33" s="305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43299</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3049</v>
      </c>
      <c r="B12" s="1025">
        <v>1120110054</v>
      </c>
      <c r="C12" s="2945">
        <v>43937</v>
      </c>
      <c r="D12" s="1705" t="s">
        <v>3049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1" t="s">
        <v>846</v>
      </c>
      <c r="B25" s="3061"/>
      <c r="C25" s="3061"/>
      <c r="D25" s="3061"/>
      <c r="E25" s="3061"/>
      <c r="F25" s="3061"/>
      <c r="G25" s="3061"/>
    </row>
    <row r="26" spans="1:7" s="1028" customFormat="1" ht="24" customHeight="1">
      <c r="A26" s="3062" t="s">
        <v>847</v>
      </c>
      <c r="B26" s="3062"/>
      <c r="C26" s="3063"/>
      <c r="D26" s="3064" t="s">
        <v>848</v>
      </c>
      <c r="E26" s="3062"/>
      <c r="F26" s="306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土地案例</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vt:lpstr>
      <vt:lpstr>房地价值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2018-07-18T02:18:09Z</cp:lastPrinted>
  <dcterms:created xsi:type="dcterms:W3CDTF">2015-07-13T07:17:23Z</dcterms:created>
  <dcterms:modified xsi:type="dcterms:W3CDTF">2018-07-18T04:56:20Z</dcterms:modified>
</cp:coreProperties>
</file>