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sheet1!$A$1:$AZ$16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58" i="40" l="1"/>
  <c r="V23" i="1"/>
  <c r="U22" i="1"/>
  <c r="E109" i="40"/>
  <c r="F109" i="40"/>
  <c r="D109" i="40"/>
  <c r="I41" i="40"/>
  <c r="I34" i="40"/>
  <c r="I5" i="40"/>
  <c r="C88" i="9" l="1"/>
  <c r="B21" i="1"/>
  <c r="U23" i="1"/>
  <c r="U20" i="1"/>
  <c r="BB4" i="80" l="1"/>
  <c r="I7" i="40" l="1"/>
  <c r="G41" i="40" l="1"/>
  <c r="G34" i="40"/>
  <c r="G7" i="40"/>
  <c r="G6" i="40"/>
  <c r="E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BB16" i="80"/>
  <c r="BB15" i="80"/>
  <c r="BB14" i="80"/>
  <c r="BB13" i="80"/>
  <c r="BB12" i="80"/>
  <c r="BB11" i="80"/>
  <c r="BB10" i="80"/>
  <c r="BB9" i="80"/>
  <c r="BB8" i="80"/>
  <c r="BB7" i="80"/>
  <c r="BB6" i="80"/>
  <c r="BB5" i="80"/>
  <c r="BB3" i="80"/>
  <c r="BB2" i="80"/>
  <c r="B29" i="1" l="1"/>
  <c r="Y6" i="1"/>
  <c r="N6" i="1"/>
  <c r="N21" i="1"/>
  <c r="N19" i="1"/>
  <c r="I7" i="6"/>
  <c r="G19" i="6"/>
  <c r="F19" i="6"/>
  <c r="K23" i="3"/>
  <c r="I22" i="3"/>
  <c r="I21" i="3"/>
  <c r="I20" i="3"/>
  <c r="I19" i="3"/>
  <c r="I18" i="3"/>
  <c r="I17" i="3"/>
  <c r="I16" i="3"/>
  <c r="I15" i="3"/>
  <c r="I14" i="3"/>
  <c r="I13" i="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8" i="76"/>
  <c r="E7" i="76"/>
  <c r="F8" i="15"/>
  <c r="F6" i="15"/>
  <c r="F26" i="67"/>
  <c r="F26" i="15"/>
  <c r="F38" i="15"/>
  <c r="M8" i="67"/>
  <c r="M26" i="15"/>
  <c r="M26" i="67"/>
  <c r="J15" i="67"/>
  <c r="E12" i="76"/>
  <c r="L47" i="15"/>
  <c r="F6" i="73"/>
  <c r="M28" i="67"/>
  <c r="M23" i="67"/>
  <c r="B13" i="76"/>
  <c r="L48" i="15"/>
  <c r="F16" i="67"/>
  <c r="F40" i="67"/>
  <c r="E10" i="76"/>
  <c r="M9" i="67"/>
  <c r="F9" i="67"/>
  <c r="F36" i="15"/>
  <c r="AO13" i="1"/>
  <c r="E2" i="68"/>
  <c r="F7" i="15"/>
  <c r="F7" i="67"/>
  <c r="D7" i="73"/>
  <c r="L47" i="67"/>
  <c r="M22" i="15"/>
  <c r="M6" i="67"/>
  <c r="L48" i="67"/>
  <c r="M24" i="15"/>
  <c r="J15" i="15"/>
  <c r="C76" i="67"/>
  <c r="B8" i="76"/>
  <c r="D5" i="73"/>
  <c r="F7" i="73"/>
  <c r="E2" i="69"/>
  <c r="M6" i="15"/>
  <c r="M29" i="15"/>
  <c r="E9" i="76"/>
  <c r="F40" i="15"/>
  <c r="M22" i="67"/>
  <c r="M23" i="15"/>
  <c r="D4" i="73"/>
  <c r="B10" i="76"/>
  <c r="M28" i="15"/>
  <c r="M9" i="15"/>
  <c r="F5" i="73"/>
  <c r="F36" i="67"/>
  <c r="F37" i="67"/>
  <c r="B12" i="76"/>
  <c r="F43" i="67"/>
  <c r="F42" i="15"/>
  <c r="F3" i="73"/>
  <c r="F8" i="67"/>
  <c r="B7" i="76"/>
  <c r="M29" i="67"/>
  <c r="F42" i="67"/>
  <c r="F16" i="15"/>
  <c r="F37" i="15"/>
  <c r="D3" i="73"/>
  <c r="F13" i="15"/>
  <c r="D6" i="73"/>
  <c r="M8" i="15"/>
  <c r="E13" i="76"/>
  <c r="M24" i="67"/>
  <c r="E11" i="76"/>
  <c r="F43" i="15"/>
  <c r="F9" i="15"/>
  <c r="F13" i="67"/>
  <c r="C76" i="15"/>
  <c r="B11" i="76"/>
  <c r="F38" i="67"/>
  <c r="F4" i="73"/>
  <c r="C21" i="68" l="1"/>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G5" i="3"/>
  <c r="B3" i="3" s="1"/>
  <c r="E77" i="3" s="1"/>
  <c r="AZ22" i="3"/>
  <c r="BL5" i="3"/>
  <c r="G28" i="6"/>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05" i="3"/>
  <c r="E547" i="3"/>
  <c r="AS6" i="3"/>
  <c r="E403" i="3"/>
  <c r="E476" i="3"/>
  <c r="E546" i="3"/>
  <c r="E447" i="3"/>
  <c r="E71" i="3"/>
  <c r="E27" i="3"/>
  <c r="E92" i="3"/>
  <c r="E162" i="3"/>
  <c r="E12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23" i="40" l="1"/>
  <c r="AB23" i="40"/>
  <c r="U23" i="40"/>
  <c r="AC23" i="40"/>
  <c r="W23" i="40"/>
  <c r="AB21" i="40"/>
  <c r="U21" i="40"/>
  <c r="W17" i="40"/>
  <c r="AC17" i="40"/>
  <c r="U17" i="40"/>
  <c r="AB17" i="40"/>
  <c r="AA17" i="40"/>
  <c r="S17" i="40"/>
  <c r="U15" i="40"/>
  <c r="AB36" i="40"/>
  <c r="U36" i="40"/>
  <c r="W36" i="40"/>
  <c r="AC36" i="40"/>
  <c r="S36" i="40"/>
  <c r="AA36" i="40"/>
  <c r="K16" i="1"/>
  <c r="E122"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20" i="3"/>
  <c r="E49" i="3"/>
  <c r="E251" i="3"/>
  <c r="E381" i="3"/>
  <c r="E51" i="3"/>
  <c r="E19" i="3"/>
  <c r="E154" i="3"/>
  <c r="E179" i="3"/>
  <c r="E222" i="3"/>
  <c r="E323" i="3"/>
  <c r="E373" i="3"/>
  <c r="E82"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110" i="3"/>
  <c r="E462" i="3"/>
  <c r="E412" i="3"/>
  <c r="E18" i="3"/>
  <c r="E96" i="3"/>
  <c r="E78" i="3"/>
  <c r="E129" i="3"/>
  <c r="E190" i="3"/>
  <c r="E174" i="3"/>
  <c r="E275" i="3"/>
  <c r="E235" i="3"/>
  <c r="E324" i="3"/>
  <c r="E383" i="3"/>
  <c r="E342" i="3"/>
  <c r="E522" i="3"/>
  <c r="E35" i="3"/>
  <c r="E86" i="3"/>
  <c r="E34" i="3"/>
  <c r="E206" i="3"/>
  <c r="E232" i="3"/>
  <c r="E370" i="3"/>
  <c r="Y6" i="3"/>
  <c r="E68" i="3"/>
  <c r="E63" i="3"/>
  <c r="E81" i="3"/>
  <c r="E118" i="3"/>
  <c r="E264" i="3"/>
  <c r="E283" i="3"/>
  <c r="E309" i="3"/>
  <c r="E513" i="3"/>
  <c r="E21"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62" i="39"/>
  <c r="AY6" i="3"/>
  <c r="E3" i="6"/>
  <c r="M14" i="1"/>
  <c r="D5" i="43"/>
  <c r="J10" i="40"/>
  <c r="AC10" i="40" s="1"/>
  <c r="H10" i="39"/>
  <c r="U10" i="39" s="1"/>
  <c r="F10" i="40"/>
  <c r="S10" i="40" s="1"/>
  <c r="J10" i="39"/>
  <c r="W10" i="39" s="1"/>
  <c r="H10" i="40"/>
  <c r="AB10" i="40" s="1"/>
  <c r="D26" i="43"/>
  <c r="C25" i="43"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4" i="9" l="1"/>
  <c r="C92"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0"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C31" i="68" l="1"/>
  <c r="C52" i="68" s="1"/>
  <c r="B2" i="68" s="1"/>
  <c r="B3" i="68" s="1"/>
  <c r="C20" i="9"/>
  <c r="C19" i="9"/>
  <c r="C102" i="9" l="1"/>
  <c r="G19" i="9"/>
  <c r="G21" i="9" s="1"/>
  <c r="D22" i="9"/>
  <c r="C21" i="9"/>
  <c r="C57" i="68"/>
  <c r="C103" i="9"/>
  <c r="G20" i="9"/>
  <c r="D35" i="9"/>
  <c r="C32" i="9" l="1"/>
  <c r="H118" i="9" s="1"/>
  <c r="C56" i="68"/>
  <c r="D34" i="9"/>
  <c r="C104" i="9" l="1"/>
  <c r="D14" i="74"/>
  <c r="G14" i="74" s="1"/>
  <c r="C35" i="9"/>
  <c r="C34" i="9" s="1"/>
  <c r="D118" i="9" s="1"/>
  <c r="K118" i="9" s="1"/>
  <c r="H101" i="9"/>
  <c r="I118" i="9"/>
  <c r="H119" i="9"/>
  <c r="H5" i="52" s="1"/>
  <c r="H4" i="52"/>
  <c r="B6" i="74" l="1"/>
  <c r="D6" i="74" s="1"/>
  <c r="H14" i="74"/>
  <c r="B7" i="74" s="1"/>
  <c r="E14" i="74"/>
  <c r="B5" i="74"/>
  <c r="D5" i="74" s="1"/>
  <c r="F14" i="74"/>
  <c r="D4" i="52"/>
  <c r="B47" i="72" s="1"/>
  <c r="F118" i="9"/>
  <c r="F119" i="9" s="1"/>
  <c r="F5" i="52" s="1"/>
  <c r="B53" i="72" s="1"/>
  <c r="D119" i="9"/>
  <c r="D5" i="52" s="1"/>
  <c r="B49" i="72" s="1"/>
  <c r="F4" i="52"/>
  <c r="B51" i="72" s="1"/>
  <c r="C105" i="9"/>
  <c r="I4" i="52"/>
  <c r="H102" i="9"/>
  <c r="M48" i="9"/>
  <c r="D45" i="9"/>
  <c r="D5" i="53"/>
  <c r="H107" i="9"/>
  <c r="C7" i="74" l="1"/>
  <c r="D7" i="74"/>
  <c r="G118" i="9"/>
  <c r="G4" i="52" s="1"/>
  <c r="B52" i="72" s="1"/>
  <c r="D13" i="53"/>
  <c r="M49" i="9"/>
  <c r="H108" i="9"/>
  <c r="D122" i="9"/>
  <c r="D52" i="9"/>
  <c r="D53" i="9"/>
  <c r="D48" i="9" s="1"/>
  <c r="M52" i="9" s="1"/>
  <c r="C78" i="9"/>
  <c r="C73" i="9" s="1"/>
  <c r="D55" i="9"/>
  <c r="M53" i="9" s="1"/>
  <c r="C85" i="9"/>
  <c r="C93" i="9"/>
  <c r="C86" i="9" s="1"/>
  <c r="C64" i="9"/>
  <c r="C63" i="9" s="1"/>
  <c r="C67" i="9" s="1"/>
  <c r="C72" i="9"/>
  <c r="B20" i="72"/>
  <c r="D6" i="53"/>
  <c r="B22" i="72" s="1"/>
  <c r="C5" i="74"/>
  <c r="D7" i="53"/>
  <c r="B21" i="72" s="1"/>
  <c r="E118" i="9" l="1"/>
  <c r="E4" i="52" s="1"/>
  <c r="B48" i="72" s="1"/>
  <c r="C79" i="9"/>
  <c r="D123" i="9"/>
  <c r="D9" i="52" s="1"/>
  <c r="D8" i="52"/>
  <c r="L67" i="9"/>
  <c r="M67" i="9" s="1"/>
  <c r="L66" i="9"/>
  <c r="M66" i="9" s="1"/>
  <c r="L65" i="9"/>
  <c r="M65" i="9" s="1"/>
  <c r="L68" i="9"/>
  <c r="M68" i="9" s="1"/>
  <c r="L64" i="9"/>
  <c r="M64" i="9" s="1"/>
  <c r="L63" i="9"/>
  <c r="M63" i="9" s="1"/>
  <c r="C68" i="9"/>
  <c r="D54" i="9" s="1"/>
  <c r="D59" i="9"/>
  <c r="M55" i="9" s="1"/>
  <c r="C95" i="9"/>
  <c r="C6" i="74"/>
  <c r="D15" i="53"/>
  <c r="B31" i="72" s="1"/>
  <c r="B30" i="72"/>
  <c r="D14" i="53"/>
  <c r="B32" i="72" s="1"/>
  <c r="M69" i="9" l="1"/>
  <c r="N69" i="9" s="1"/>
  <c r="C80" i="9"/>
  <c r="E80" i="9" s="1"/>
  <c r="E81" i="9" s="1"/>
  <c r="C96" i="9"/>
  <c r="E96" i="9" s="1"/>
  <c r="E97" i="9" s="1"/>
  <c r="C81" i="9" l="1"/>
  <c r="C97" i="9"/>
  <c r="D58" i="9" s="1"/>
  <c r="D56" i="9" s="1"/>
  <c r="M54" i="9" s="1"/>
  <c r="N57" i="9" s="1"/>
  <c r="P57" i="9" l="1"/>
  <c r="N58" i="9"/>
  <c r="N59" i="9"/>
  <c r="H111" i="9" s="1"/>
  <c r="I14" i="74" s="1"/>
  <c r="B8" i="74" s="1"/>
  <c r="D8" i="74" s="1"/>
  <c r="D126" i="9" l="1"/>
  <c r="D19" i="53"/>
  <c r="N60" i="9"/>
  <c r="N61" i="9"/>
  <c r="H112" i="9" s="1"/>
  <c r="D127" i="9" l="1"/>
  <c r="D13" i="52" s="1"/>
  <c r="D12" i="52"/>
  <c r="C8" i="74"/>
  <c r="D21" i="53"/>
  <c r="B39" i="7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<sst xmlns="http://schemas.openxmlformats.org/spreadsheetml/2006/main" count="8444" uniqueCount="3595">
  <si>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</si>
  <si>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</si>
  <si>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</si>
  <si>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</si>
  <si>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</si>
  <si>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</si>
  <si>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</si>
  <si>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</si>
  <si>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</si>
  <si>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</si>
  <si>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</si>
  <si>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</si>
  <si>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</si>
  <si>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</si>
  <si>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</si>
  <si>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</si>
  <si>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</si>
  <si>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</si>
  <si>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</si>
  <si>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</si>
  <si>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</si>
  <si>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</si>
  <si>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</si>
  <si>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</si>
  <si>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</si>
  <si>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</si>
  <si>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</si>
  <si>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</si>
  <si>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</si>
  <si>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</si>
  <si>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</si>
  <si>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</si>
  <si>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</si>
  <si>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</si>
  <si>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</si>
  <si>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</si>
  <si>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</si>
  <si>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</si>
  <si>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</si>
  <si>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</si>
  <si>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</si>
  <si>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</si>
  <si>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</si>
  <si>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</si>
  <si>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</si>
  <si>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</si>
  <si>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</si>
  <si>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</si>
  <si>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</si>
  <si>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</si>
  <si>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</si>
  <si>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</si>
  <si>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</si>
  <si>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</si>
  <si>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</si>
  <si>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</si>
  <si>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</si>
  <si>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</si>
  <si>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</si>
  <si>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</si>
  <si>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</si>
  <si>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</si>
  <si>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</si>
  <si>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</si>
  <si>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</si>
  <si>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</si>
  <si>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</si>
  <si>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</si>
  <si>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</si>
  <si>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</si>
  <si>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</si>
  <si>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</si>
  <si>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</si>
  <si>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</si>
  <si>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</si>
  <si>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</si>
  <si>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</si>
  <si>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</si>
  <si>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</si>
  <si>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</si>
  <si>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</si>
  <si>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</si>
  <si>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</si>
  <si>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</si>
  <si>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</si>
  <si>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</si>
  <si>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</si>
  <si>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</si>
  <si>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</si>
  <si>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</si>
  <si>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</si>
  <si>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</si>
  <si>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</si>
  <si>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</si>
  <si>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</si>
  <si>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</si>
  <si>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</si>
  <si>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</si>
  <si>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</si>
  <si>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</si>
  <si>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</si>
  <si>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</si>
  <si>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</si>
  <si>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</si>
  <si>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</si>
  <si>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</si>
  <si>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</si>
  <si>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</si>
  <si>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</si>
  <si>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</si>
  <si>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</si>
  <si>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</si>
  <si>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</si>
  <si>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</si>
  <si>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</si>
  <si>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</si>
  <si>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</si>
  <si>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</si>
  <si>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</si>
  <si>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</si>
  <si>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</si>
  <si>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</si>
  <si>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</si>
  <si>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</si>
  <si>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</si>
  <si>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</si>
  <si>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</si>
  <si>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</si>
  <si>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</si>
  <si>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</si>
  <si>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</si>
  <si>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</si>
  <si>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</si>
  <si>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</si>
  <si>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</si>
  <si>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</si>
  <si>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</si>
  <si>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</si>
  <si>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</si>
  <si>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</si>
  <si>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</si>
  <si>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</si>
  <si>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</si>
  <si>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</si>
  <si>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</si>
  <si>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</si>
  <si>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</si>
  <si>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</si>
  <si>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</si>
  <si>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</si>
  <si>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</si>
  <si>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</si>
  <si>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</si>
  <si>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</si>
  <si>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</si>
  <si>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</si>
  <si>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</si>
  <si>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</si>
  <si>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</si>
  <si>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</si>
  <si>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</si>
  <si>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</si>
  <si>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</si>
  <si>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</si>
  <si>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</si>
  <si>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</si>
  <si>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</si>
  <si>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</si>
  <si>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</si>
  <si>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</si>
  <si>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</si>
  <si>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</si>
  <si>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</si>
  <si>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</si>
  <si>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</si>
  <si>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</si>
  <si>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</si>
  <si>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</si>
  <si>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</si>
  <si>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</si>
  <si>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</si>
  <si>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</si>
  <si>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</si>
  <si>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</si>
  <si>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</si>
  <si>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</si>
  <si>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</si>
  <si>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</si>
  <si>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</si>
  <si>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</si>
  <si>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</si>
  <si>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</si>
  <si>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</si>
  <si>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</si>
  <si>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</si>
  <si>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</si>
  <si>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</si>
  <si>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</si>
  <si>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</si>
  <si>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</si>
  <si>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</si>
  <si>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</si>
  <si>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</si>
  <si>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</si>
  <si>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</si>
  <si>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</si>
  <si>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</si>
  <si>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</si>
  <si>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</si>
  <si>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</si>
  <si>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</si>
  <si>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</si>
  <si>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</si>
  <si>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</si>
  <si>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</si>
  <si>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</si>
  <si>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</si>
  <si>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</si>
  <si>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</si>
  <si>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</si>
  <si>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</si>
  <si>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</si>
  <si>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</si>
  <si>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</si>
  <si>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</si>
  <si>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</si>
  <si>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</si>
  <si>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</si>
  <si>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</si>
  <si>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</si>
  <si>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</si>
  <si>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</si>
  <si>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</si>
  <si>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</si>
  <si>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</si>
  <si>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</si>
  <si>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</si>
  <si>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</si>
  <si>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</si>
  <si>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</si>
  <si>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</si>
  <si>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</si>
  <si>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</si>
  <si>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</si>
  <si>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</si>
  <si>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</si>
  <si>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</si>
  <si>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</si>
  <si>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</si>
  <si>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</si>
  <si>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</si>
  <si>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</si>
  <si>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</si>
  <si>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</si>
  <si>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</si>
  <si>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</si>
  <si>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</si>
  <si>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</si>
  <si>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</si>
  <si>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</si>
  <si>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</si>
  <si>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</si>
  <si>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</si>
  <si>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</si>
  <si>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</si>
  <si>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</si>
  <si>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</si>
  <si>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</si>
  <si>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</si>
  <si>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</si>
  <si>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</si>
  <si>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</si>
  <si>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</si>
  <si>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</si>
  <si>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</si>
  <si>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</si>
  <si>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</si>
  <si>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</si>
  <si>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</si>
  <si>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</si>
  <si>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</si>
  <si>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</si>
  <si>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</si>
  <si>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</si>
  <si>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</si>
  <si>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</si>
  <si>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</si>
  <si>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</si>
  <si>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</si>
  <si>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</si>
  <si>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</si>
  <si>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</si>
  <si>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</si>
  <si>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</si>
  <si>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</si>
  <si>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</si>
  <si>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</si>
  <si>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</si>
  <si>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</si>
  <si>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</si>
  <si>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</si>
  <si>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</si>
  <si>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</si>
  <si>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</si>
  <si>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</si>
  <si>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</si>
  <si>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</si>
  <si>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</si>
  <si>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</si>
  <si>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</si>
  <si>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</si>
  <si>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</si>
  <si>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</si>
  <si>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</si>
  <si>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</si>
  <si>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</si>
  <si>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</si>
  <si>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</si>
  <si>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</si>
  <si>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</si>
  <si>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</si>
  <si>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</si>
  <si>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</si>
  <si>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</si>
  <si>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</si>
  <si>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</si>
  <si>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</si>
  <si>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</si>
  <si>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</si>
  <si>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</si>
  <si>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</si>
  <si>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</si>
  <si>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</si>
  <si>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</si>
  <si>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</si>
  <si>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</si>
  <si>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</si>
  <si>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</si>
  <si>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</si>
  <si>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</si>
  <si>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</si>
  <si>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</si>
  <si>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</si>
  <si>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</si>
  <si>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</si>
  <si>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</si>
  <si>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</si>
  <si>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</si>
  <si>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</si>
  <si>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</si>
  <si>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</si>
  <si>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</si>
  <si>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</si>
  <si>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</si>
  <si>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</si>
  <si>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</si>
  <si>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</si>
  <si>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</si>
  <si>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</si>
  <si>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</si>
  <si>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</si>
  <si>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</si>
  <si>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</si>
  <si>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</si>
  <si>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</si>
  <si>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</si>
  <si>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</si>
  <si>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</si>
  <si>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</si>
  <si>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</si>
  <si>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</si>
  <si>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</si>
  <si>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</si>
  <si>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</si>
  <si>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</si>
  <si>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</si>
  <si>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</si>
  <si>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</si>
  <si>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</si>
  <si>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</si>
  <si>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</si>
  <si>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</si>
  <si>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</si>
  <si>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</si>
  <si>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</si>
  <si>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</si>
  <si>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</si>
  <si>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</si>
  <si>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</si>
  <si>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</si>
  <si>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</si>
  <si>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</si>
  <si>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</si>
  <si>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</si>
  <si>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</si>
  <si>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</si>
  <si>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</si>
  <si>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</si>
  <si>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</si>
  <si>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</si>
  <si>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</si>
  <si>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</si>
  <si>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</si>
  <si>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</si>
  <si>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</si>
  <si>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</si>
  <si>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</si>
  <si>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</si>
  <si>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</si>
  <si>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</si>
  <si>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</si>
  <si>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</si>
  <si>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</si>
  <si>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</si>
  <si>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</si>
  <si>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</si>
  <si>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</si>
  <si>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</si>
  <si>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</si>
  <si>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</si>
  <si>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</si>
  <si>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</si>
  <si>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</si>
  <si>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</si>
  <si>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</si>
  <si>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</si>
  <si>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</si>
  <si>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</si>
  <si>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</si>
  <si>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</si>
  <si>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</si>
  <si>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</si>
  <si>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</si>
  <si>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</si>
  <si>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</si>
  <si>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</si>
  <si>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</si>
  <si>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</si>
  <si>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</si>
  <si>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</si>
  <si>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</si>
  <si>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</si>
  <si>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</si>
  <si>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</si>
  <si>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</si>
  <si>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</si>
  <si>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</si>
  <si>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</si>
  <si>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</si>
  <si>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</si>
  <si>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</si>
  <si>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</si>
  <si>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</si>
  <si>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</si>
  <si>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</si>
  <si>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</si>
  <si>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</si>
  <si>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</si>
  <si>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</si>
  <si>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</si>
  <si>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</si>
  <si>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</si>
  <si>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</si>
  <si>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</si>
  <si>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</si>
  <si>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</si>
  <si>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</si>
  <si>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</si>
  <si>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</si>
  <si>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</si>
  <si>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</si>
  <si>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</si>
  <si>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</si>
  <si>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</si>
  <si>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</si>
  <si>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</si>
  <si>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</si>
  <si>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</si>
  <si>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</si>
  <si>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</si>
  <si>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</si>
  <si>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</si>
  <si>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</si>
  <si>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</si>
  <si>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</si>
  <si>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</si>
  <si>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</si>
  <si>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</si>
  <si>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</si>
  <si>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</si>
  <si>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</si>
  <si>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</si>
  <si>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</si>
  <si>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</si>
  <si>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</si>
  <si>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</si>
  <si>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</si>
  <si>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</si>
  <si>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</si>
  <si>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</si>
  <si>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</si>
  <si>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</si>
  <si>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</si>
  <si>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</si>
  <si>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</si>
  <si>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</si>
  <si>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</si>
  <si>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</si>
  <si>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</si>
  <si>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</si>
  <si>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</si>
  <si>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</si>
  <si>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</si>
  <si>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</si>
  <si>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</si>
  <si>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</si>
  <si>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</si>
  <si>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</si>
  <si>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</si>
  <si>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</si>
  <si>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</si>
  <si>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</si>
  <si>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</si>
  <si>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</si>
  <si>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</si>
  <si>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</si>
  <si>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</si>
  <si>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</si>
  <si>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</si>
  <si>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</si>
  <si>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</si>
  <si>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</si>
  <si>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</si>
  <si>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</si>
  <si>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</si>
  <si>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</si>
  <si>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</si>
  <si>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</si>
  <si>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</si>
  <si>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</si>
  <si>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</si>
  <si>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</si>
  <si>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</si>
  <si>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</si>
  <si>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</si>
  <si>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</si>
  <si>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</si>
  <si>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</si>
  <si>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</si>
  <si>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</si>
  <si>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</si>
  <si>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</si>
  <si>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</si>
  <si>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</si>
  <si>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</si>
  <si>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</si>
  <si>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</si>
  <si>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</si>
  <si>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</si>
  <si>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</si>
  <si>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</si>
  <si>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</si>
  <si>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</si>
  <si>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</si>
  <si>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</si>
  <si>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</si>
  <si>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</si>
  <si>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</si>
  <si>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</si>
  <si>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</si>
  <si>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</si>
  <si>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</si>
  <si>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</si>
  <si>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</si>
  <si>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</si>
  <si>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</si>
  <si>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</si>
  <si>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</si>
  <si>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</si>
  <si>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</si>
  <si>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</si>
  <si>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</si>
  <si>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</si>
  <si>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</si>
  <si>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</si>
  <si>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</si>
  <si>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</si>
  <si>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</si>
  <si>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</si>
  <si>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</si>
  <si>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</si>
  <si>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</si>
  <si>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</si>
  <si>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</si>
  <si>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</si>
  <si>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</si>
  <si>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</si>
  <si>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</si>
  <si>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</si>
  <si>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</si>
  <si>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</si>
  <si>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</si>
  <si>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</si>
  <si>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</si>
  <si>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</si>
  <si>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</si>
  <si>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</si>
  <si>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</si>
  <si>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</si>
  <si>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</si>
  <si>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</si>
  <si>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</si>
  <si>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</si>
  <si>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</si>
  <si>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</si>
  <si>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</si>
  <si>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</si>
  <si>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</si>
  <si>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</si>
  <si>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</si>
  <si>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</si>
  <si>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</si>
  <si>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</si>
  <si>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</si>
  <si>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</si>
  <si>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</si>
  <si>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</si>
  <si>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</si>
  <si>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</si>
  <si>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</si>
  <si>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</si>
  <si>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</si>
  <si>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</si>
  <si>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</si>
  <si>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</si>
  <si>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</si>
  <si>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</si>
  <si>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</si>
  <si>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</si>
  <si>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</si>
  <si>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</si>
  <si>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</si>
  <si>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</si>
  <si>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</si>
  <si>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</si>
  <si>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</si>
  <si>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</si>
  <si>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</si>
  <si>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</si>
  <si>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</si>
  <si>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</si>
  <si>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</si>
  <si>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</si>
  <si>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</si>
  <si>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</si>
  <si>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</si>
  <si>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</si>
  <si>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</si>
  <si>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</si>
  <si>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</si>
  <si>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</si>
  <si>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</si>
  <si>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</si>
  <si>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</si>
  <si>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</si>
  <si>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</si>
  <si>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</si>
  <si>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</si>
  <si>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</si>
  <si>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</si>
  <si>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</si>
  <si>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</si>
  <si>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</si>
  <si>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</si>
  <si>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</si>
  <si>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</si>
  <si>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</si>
  <si>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</si>
  <si>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</si>
  <si>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</si>
  <si>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</si>
  <si>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</si>
  <si>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</si>
  <si>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</si>
  <si>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</si>
  <si>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</si>
  <si>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</si>
  <si>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</si>
  <si>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</si>
  <si>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</si>
  <si>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</si>
  <si>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</si>
  <si>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</si>
  <si>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</si>
  <si>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</si>
  <si>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</si>
  <si>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</si>
  <si>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</si>
  <si>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</si>
  <si>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</si>
  <si>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</si>
  <si>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</si>
  <si>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</si>
  <si>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</si>
  <si>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</si>
  <si>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</si>
  <si>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</si>
  <si>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</si>
  <si>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</si>
  <si>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</si>
  <si>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</si>
  <si>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</si>
  <si>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</si>
  <si>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</si>
  <si>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</si>
  <si>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</si>
  <si>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</si>
  <si>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</si>
  <si>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</si>
  <si>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</si>
  <si>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</si>
  <si>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</si>
  <si>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</si>
  <si>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</si>
  <si>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</si>
  <si>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</si>
  <si>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</si>
  <si>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</si>
  <si>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</si>
  <si>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</si>
  <si>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</si>
  <si>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</si>
  <si>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</si>
  <si>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</si>
  <si>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</si>
  <si>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</si>
  <si>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</si>
  <si>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</si>
  <si>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</si>
  <si>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</si>
  <si>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</si>
  <si>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</si>
  <si>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</si>
  <si>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</si>
  <si>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</si>
  <si>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</si>
  <si>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</si>
  <si>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</si>
  <si>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</si>
  <si>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</si>
  <si>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</si>
  <si>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</si>
  <si>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</si>
  <si>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</si>
  <si>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</si>
  <si>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</si>
  <si>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</si>
  <si>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</si>
  <si>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</si>
  <si>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</si>
  <si>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</si>
  <si>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</si>
  <si>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</si>
  <si>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</si>
  <si>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</si>
  <si>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</si>
  <si>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</si>
  <si>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</si>
  <si>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</si>
  <si>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</si>
  <si>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</si>
  <si>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</si>
  <si>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</si>
  <si>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</si>
  <si>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</si>
  <si>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</si>
  <si>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</si>
  <si>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</si>
  <si>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</si>
  <si>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</si>
  <si>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</si>
  <si>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</si>
  <si>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</si>
  <si>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</si>
  <si>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</si>
  <si>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</si>
  <si>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</si>
  <si>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</si>
  <si>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</si>
  <si>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</si>
  <si>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</si>
  <si>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</si>
  <si>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</si>
  <si>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</si>
  <si>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</si>
  <si>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</si>
  <si>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</si>
  <si>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</si>
  <si>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</si>
  <si>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</si>
  <si>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</si>
  <si>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</si>
  <si>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</si>
  <si>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</si>
  <si>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</si>
  <si>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</si>
  <si>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</si>
  <si>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</si>
  <si>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</si>
  <si>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</si>
  <si>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</si>
  <si>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</si>
  <si>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</si>
  <si>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</si>
  <si>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</si>
  <si>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</si>
  <si>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</si>
  <si>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</si>
  <si>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</si>
  <si>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</si>
  <si>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</si>
  <si>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</si>
  <si>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</si>
  <si>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</si>
  <si>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</si>
  <si>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</si>
  <si>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</si>
  <si>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</si>
  <si>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</si>
  <si>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</si>
  <si>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</si>
  <si>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</si>
  <si>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</si>
  <si>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</si>
  <si>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</si>
  <si>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</si>
  <si>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</si>
  <si>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</si>
  <si>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</si>
  <si>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</si>
  <si>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</si>
  <si>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</si>
  <si>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</si>
  <si>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</si>
  <si>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</si>
  <si>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</si>
  <si>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</si>
  <si>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</si>
  <si>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</si>
  <si>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</si>
  <si>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</si>
  <si>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</si>
  <si>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</si>
  <si>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</si>
  <si>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</si>
  <si>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</si>
  <si>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</si>
  <si>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</si>
  <si>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</si>
  <si>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</si>
  <si>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</si>
  <si>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</si>
  <si>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</si>
  <si>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</si>
  <si>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</si>
  <si>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</si>
  <si>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</si>
  <si>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</si>
  <si>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</si>
  <si>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</si>
  <si>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</si>
  <si>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</si>
  <si>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</si>
  <si>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</si>
  <si>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</si>
  <si>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</si>
  <si>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</si>
  <si>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</si>
  <si>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</si>
  <si>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</si>
  <si>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</si>
  <si>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</si>
  <si>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</si>
  <si>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</si>
  <si>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</si>
  <si>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</si>
  <si>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</si>
  <si>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</si>
  <si>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</si>
  <si>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</si>
  <si>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</si>
  <si>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</si>
  <si>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</si>
  <si>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</si>
  <si>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</si>
  <si>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</si>
  <si>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</si>
  <si>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</si>
  <si>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</si>
  <si>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</si>
  <si>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</si>
  <si>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</si>
  <si>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</si>
  <si>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</si>
  <si>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</si>
  <si>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</si>
  <si>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</si>
  <si>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</si>
  <si>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</si>
  <si>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</si>
  <si>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</si>
  <si>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</si>
  <si>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</si>
  <si>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</si>
  <si>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</si>
  <si>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</si>
  <si>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</si>
  <si>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</si>
  <si>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</si>
  <si>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</si>
  <si>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</si>
  <si>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</si>
  <si>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</si>
  <si>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</si>
  <si>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</si>
  <si>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</si>
  <si>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</si>
  <si>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</si>
  <si>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</si>
  <si>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</si>
  <si>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</si>
  <si>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</si>
  <si>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</si>
  <si>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</si>
  <si>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</si>
  <si>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</si>
  <si>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</si>
  <si>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</si>
  <si>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</si>
  <si>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</si>
  <si>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</si>
  <si>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</si>
  <si>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</si>
  <si>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</si>
  <si>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</si>
  <si>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</si>
  <si>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</si>
  <si>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</si>
  <si>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</si>
  <si>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</si>
  <si>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</si>
  <si>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</si>
  <si>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</si>
  <si>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</si>
  <si>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</si>
  <si>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</si>
  <si>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</si>
  <si>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</si>
  <si>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</si>
  <si>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</si>
  <si>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</si>
  <si>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</si>
  <si>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</si>
  <si>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</si>
  <si>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</si>
  <si>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</si>
  <si>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</si>
  <si>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</si>
  <si>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</si>
  <si>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</si>
  <si>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</si>
  <si>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</si>
  <si>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</si>
  <si>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</si>
  <si>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</si>
  <si>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</si>
  <si>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</si>
  <si>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</si>
  <si>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</si>
  <si>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</si>
  <si>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</si>
  <si>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</si>
  <si>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</si>
  <si>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</si>
  <si>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</si>
  <si>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</si>
  <si>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</si>
  <si>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</si>
  <si>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</si>
  <si>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</si>
  <si>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</si>
  <si>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</si>
  <si>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</si>
  <si>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</si>
  <si>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</si>
  <si>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</si>
  <si>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</si>
  <si>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</si>
  <si>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</si>
  <si>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</si>
  <si>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</si>
  <si>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</si>
  <si>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</si>
  <si>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</si>
  <si>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</si>
  <si>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</si>
  <si>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</si>
  <si>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</si>
  <si>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</si>
  <si>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</si>
  <si>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</si>
  <si>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</si>
  <si>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</si>
  <si>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</si>
  <si>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</si>
  <si>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</si>
  <si>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</si>
  <si>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</si>
  <si>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</si>
  <si>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</si>
  <si>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</si>
  <si>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</si>
  <si>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</si>
  <si>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</si>
  <si>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</si>
  <si>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</si>
  <si>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</si>
  <si>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</si>
  <si>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</si>
  <si>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</si>
  <si>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</si>
  <si>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</si>
  <si>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</si>
  <si>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</si>
  <si>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</si>
  <si>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</si>
  <si>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</si>
  <si>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</si>
  <si>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</si>
  <si>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</si>
  <si>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</si>
  <si>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</si>
  <si>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</si>
  <si>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</si>
  <si>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</si>
  <si>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</si>
  <si>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</si>
  <si>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</si>
  <si>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</si>
  <si>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</si>
  <si>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</si>
  <si>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</si>
  <si>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</si>
  <si>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</si>
  <si>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</si>
  <si>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</si>
  <si>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</si>
  <si>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</si>
  <si>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</si>
  <si>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</si>
  <si>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</si>
  <si>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</si>
  <si>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</si>
  <si>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</si>
  <si>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</si>
  <si>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</si>
  <si>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</si>
  <si>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</si>
  <si>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</si>
  <si>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</si>
  <si>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</si>
  <si>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</si>
  <si>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</si>
  <si>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</si>
  <si>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</si>
  <si>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</si>
  <si>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</si>
  <si>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</si>
  <si>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</si>
  <si>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</si>
  <si>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</si>
  <si>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</si>
  <si>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</si>
  <si>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</si>
  <si>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</si>
  <si>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</si>
  <si>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</si>
  <si>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</si>
  <si>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</si>
  <si>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</si>
  <si>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</si>
  <si>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</si>
  <si>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</si>
  <si>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</si>
  <si>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</si>
  <si>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</si>
  <si>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</si>
  <si>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</si>
  <si>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</si>
  <si>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</si>
  <si>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</si>
  <si>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</si>
  <si>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</si>
  <si>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</si>
  <si>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</si>
  <si>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</si>
  <si>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</si>
  <si>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</si>
  <si>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</si>
  <si>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</si>
  <si>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</si>
  <si>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</si>
  <si>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</si>
  <si>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</si>
  <si>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</si>
  <si>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</si>
  <si>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</si>
  <si>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</si>
  <si>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</si>
  <si>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</si>
  <si>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</si>
  <si>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</si>
  <si>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</si>
  <si>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</si>
  <si>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</si>
  <si>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</si>
  <si>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</si>
  <si>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</si>
  <si>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</si>
  <si>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</si>
  <si>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</si>
  <si>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</si>
  <si>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</si>
  <si>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</si>
  <si>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</si>
  <si>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</si>
  <si>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</si>
  <si>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</si>
  <si>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</si>
  <si>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</si>
  <si>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</si>
  <si>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</si>
  <si>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</si>
  <si>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</si>
  <si>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</si>
  <si>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</si>
  <si>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</si>
  <si>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</si>
  <si>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</si>
  <si>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</si>
  <si>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</si>
  <si>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</si>
  <si>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</si>
  <si>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</si>
  <si>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</si>
  <si>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</si>
  <si>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</si>
  <si>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</si>
  <si>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</si>
  <si>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</si>
  <si>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</si>
  <si>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</si>
  <si>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</si>
  <si>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</si>
  <si>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</si>
  <si>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</si>
  <si>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</si>
  <si>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</si>
  <si>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</si>
  <si>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</si>
  <si>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</si>
  <si>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</si>
  <si>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</si>
  <si>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</si>
  <si>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</si>
  <si>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</si>
  <si>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</si>
  <si>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</si>
  <si>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</si>
  <si>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</si>
  <si>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</si>
  <si>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</si>
  <si>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</si>
  <si>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</si>
  <si>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</si>
  <si>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</si>
  <si>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</si>
  <si>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</si>
  <si>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</si>
  <si>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</si>
  <si>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</si>
  <si>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</si>
  <si>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</si>
  <si>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</si>
  <si>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</si>
  <si>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</si>
  <si>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</si>
  <si>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</si>
  <si>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</si>
  <si>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</si>
  <si>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</si>
  <si>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</si>
  <si>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</si>
  <si>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</si>
  <si>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</si>
  <si>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</si>
  <si>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</si>
  <si>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</si>
  <si>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</si>
  <si>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</si>
  <si>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</si>
  <si>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</si>
  <si>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</si>
  <si>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</si>
  <si>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</si>
  <si>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</si>
  <si>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</si>
  <si>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</si>
  <si>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</si>
  <si>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</si>
  <si>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</si>
  <si>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</si>
  <si>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</si>
  <si>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</si>
  <si>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</si>
  <si>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</si>
  <si>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</si>
  <si>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</si>
  <si>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</si>
  <si>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</si>
  <si>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</si>
  <si>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</si>
  <si>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</si>
  <si>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</si>
  <si>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</si>
  <si>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</si>
  <si>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</si>
  <si>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</si>
  <si>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</si>
  <si>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</si>
  <si>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</si>
  <si>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</si>
  <si>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</si>
  <si>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</si>
  <si>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</si>
  <si>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</si>
  <si>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</si>
  <si>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</si>
  <si>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</si>
  <si>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</si>
  <si>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</si>
  <si>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</si>
  <si>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</si>
  <si>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</si>
  <si>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</si>
  <si>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</si>
  <si>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</si>
  <si>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</si>
  <si>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</si>
  <si>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</si>
  <si>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</si>
  <si>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</si>
  <si>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</si>
  <si>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</si>
  <si>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</si>
  <si>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</si>
  <si>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</si>
  <si>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</si>
  <si>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</si>
  <si>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</si>
  <si>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</si>
  <si>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</si>
  <si>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</si>
  <si>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</si>
  <si>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</si>
  <si>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</si>
  <si>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</si>
  <si>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</si>
  <si>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</si>
  <si>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</si>
  <si>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</si>
  <si>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</si>
  <si>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</si>
  <si>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</si>
  <si>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</si>
  <si>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</si>
  <si>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</si>
  <si>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</si>
  <si>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</si>
  <si>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</si>
  <si>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</si>
  <si>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</si>
  <si>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</si>
  <si>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</si>
  <si>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</si>
  <si>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</si>
  <si>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</si>
  <si>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</si>
  <si>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</si>
  <si>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</si>
  <si>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</si>
  <si>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</si>
  <si>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</si>
  <si>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</si>
  <si>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</si>
  <si>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</si>
  <si>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</si>
  <si>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</si>
  <si>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</si>
  <si>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</si>
  <si>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</si>
  <si>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</si>
  <si>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</si>
  <si>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</si>
  <si>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</si>
  <si>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</si>
  <si>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</si>
  <si>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</si>
  <si>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</si>
  <si>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</si>
  <si>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</si>
  <si>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</si>
  <si>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</si>
  <si>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</si>
  <si>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</si>
  <si>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</si>
  <si>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</si>
  <si>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</si>
  <si>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</si>
  <si>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</si>
  <si>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</si>
  <si>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</si>
  <si>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</si>
  <si>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</si>
  <si>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</si>
  <si>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</si>
  <si>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</si>
  <si>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</si>
  <si>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</si>
  <si>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</si>
  <si>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</si>
  <si>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</si>
  <si>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</si>
  <si>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</si>
  <si>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</si>
  <si>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</si>
  <si>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</si>
  <si>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</si>
  <si>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</si>
  <si>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</si>
  <si>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</si>
  <si>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</si>
  <si>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</si>
  <si>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</si>
  <si>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</si>
  <si>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</si>
  <si>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</si>
  <si>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</si>
  <si>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</si>
  <si>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</si>
  <si>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</si>
  <si>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</si>
  <si>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</si>
  <si>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</si>
  <si>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</si>
  <si>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</si>
  <si>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</si>
  <si>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</si>
  <si>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</si>
  <si>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</si>
  <si>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</si>
  <si>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</si>
  <si>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</si>
  <si>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</si>
  <si>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</si>
  <si>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</si>
  <si>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</si>
  <si>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</si>
  <si>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</si>
  <si>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</si>
  <si>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</si>
  <si>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</si>
  <si>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</si>
  <si>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</si>
  <si>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</si>
  <si>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</si>
  <si>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</si>
  <si>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</si>
  <si>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</si>
  <si>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</si>
  <si>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</si>
  <si>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</si>
  <si>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</si>
  <si>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</si>
  <si>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</si>
  <si>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</si>
  <si>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</si>
  <si>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</si>
  <si>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</si>
  <si>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</si>
  <si>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</si>
  <si>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</si>
  <si>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</si>
  <si>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</si>
  <si>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</si>
  <si>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</si>
  <si>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</si>
  <si>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</si>
  <si>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</si>
  <si>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</si>
  <si>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</si>
  <si>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</si>
  <si>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</si>
  <si>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</si>
  <si>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</si>
  <si>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</si>
  <si>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</si>
  <si>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</si>
  <si>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</si>
  <si>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</si>
  <si>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</si>
  <si>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</si>
  <si>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</si>
  <si>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</si>
  <si>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</si>
  <si>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</si>
  <si>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</si>
  <si>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</si>
  <si>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</si>
  <si>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</si>
  <si>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</si>
  <si>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</si>
  <si>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</si>
  <si>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</si>
  <si>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</si>
  <si>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</si>
  <si>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</si>
  <si>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</si>
  <si>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</si>
  <si>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</si>
  <si>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</si>
  <si>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</si>
  <si>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</si>
  <si>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</si>
  <si>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</si>
  <si>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</si>
  <si>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</si>
  <si>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</si>
  <si>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</si>
  <si>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</si>
  <si>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</si>
  <si>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</si>
  <si>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</si>
  <si>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</si>
  <si>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</si>
  <si>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</si>
  <si>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</si>
  <si>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</si>
  <si>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</si>
  <si>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</si>
  <si>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</si>
  <si>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</si>
  <si>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</si>
  <si>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</si>
  <si>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</si>
  <si>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</si>
  <si>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</si>
  <si>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</si>
  <si>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</si>
  <si>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</si>
  <si>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</si>
  <si>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</si>
  <si>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</si>
  <si>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</si>
  <si>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</si>
  <si>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</si>
  <si>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</si>
  <si>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</si>
  <si>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</si>
  <si>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</si>
  <si>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</si>
  <si>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</si>
  <si>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</si>
  <si>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</si>
  <si>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</si>
  <si>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</si>
  <si>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</si>
  <si>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</si>
  <si>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</si>
  <si>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</si>
  <si>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</si>
  <si>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</si>
  <si>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</si>
  <si>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</si>
  <si>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</si>
  <si>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</si>
  <si>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</si>
  <si>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</si>
  <si>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</si>
  <si>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</si>
  <si>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</si>
  <si>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</si>
  <si>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</si>
  <si>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</si>
  <si>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</si>
  <si>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</si>
  <si>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</si>
  <si>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</si>
  <si>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</si>
  <si>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</si>
  <si>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</si>
  <si>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</si>
  <si>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</si>
  <si>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</si>
  <si>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</si>
  <si>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</si>
  <si>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</si>
  <si>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</si>
  <si>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</si>
  <si>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</si>
  <si>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</si>
  <si>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</si>
  <si>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</si>
  <si>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</si>
  <si>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</si>
  <si>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</si>
  <si>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</si>
  <si>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</si>
  <si>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</si>
  <si>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</si>
  <si>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</si>
  <si>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</si>
  <si>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</si>
  <si>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</si>
  <si>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</si>
  <si>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</si>
  <si>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</si>
  <si>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</si>
  <si>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</si>
  <si>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</si>
  <si>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</si>
  <si>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</si>
  <si>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</si>
  <si>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</si>
  <si>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</si>
  <si>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</si>
  <si>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</si>
  <si>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</si>
  <si>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</si>
  <si>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</si>
  <si>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</si>
  <si>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</si>
  <si>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</si>
  <si>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</si>
  <si>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</si>
  <si>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</si>
  <si>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</si>
  <si>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</si>
  <si>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</si>
  <si>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</si>
  <si>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</si>
  <si>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</si>
  <si>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</si>
  <si>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</si>
  <si>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</si>
  <si>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</si>
  <si>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</si>
  <si>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</si>
  <si>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</si>
  <si>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</si>
  <si>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</si>
  <si>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</si>
  <si>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</si>
  <si>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</si>
  <si>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</si>
  <si>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</si>
  <si>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</si>
  <si>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</si>
  <si>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</si>
  <si>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</si>
  <si>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</si>
  <si>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</si>
  <si>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</si>
  <si>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</si>
  <si>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</si>
  <si>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</si>
  <si>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</si>
  <si>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</si>
  <si>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</si>
  <si>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</si>
  <si>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</si>
  <si>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</si>
  <si>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</si>
  <si>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</si>
  <si>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</si>
  <si>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</si>
  <si>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</si>
  <si>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</si>
  <si>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</si>
  <si>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</si>
  <si>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</si>
  <si>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</si>
  <si>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</si>
  <si>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</si>
  <si>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</si>
  <si>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</si>
  <si>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</si>
  <si>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</si>
  <si>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</si>
  <si>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</si>
  <si>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</si>
  <si>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</si>
  <si>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</si>
  <si>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</si>
  <si>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</si>
  <si>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</si>
  <si>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</si>
  <si>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</si>
  <si>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</si>
  <si>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</si>
  <si>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</si>
  <si>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</si>
  <si>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</si>
  <si>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</si>
  <si>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</si>
  <si>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</si>
  <si>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</si>
  <si>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</si>
  <si>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</si>
  <si>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</si>
  <si>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</si>
  <si>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</si>
  <si>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</si>
  <si>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</si>
  <si>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</si>
  <si>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</si>
  <si>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</si>
  <si>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</si>
  <si>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</si>
  <si>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</si>
  <si>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</si>
  <si>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</si>
  <si>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</si>
  <si>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</si>
  <si>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</si>
  <si>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</si>
  <si>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</si>
  <si>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</si>
  <si>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</si>
  <si>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</si>
  <si>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</si>
  <si>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</si>
  <si>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</si>
  <si>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</si>
  <si>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</si>
  <si>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</si>
  <si>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</si>
  <si>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</si>
  <si>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</si>
  <si>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</si>
  <si>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</si>
  <si>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</si>
  <si>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</si>
  <si>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</si>
  <si>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</si>
  <si>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</si>
  <si>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</si>
  <si>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</si>
  <si>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</si>
  <si>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</si>
  <si>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</si>
  <si>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</si>
  <si>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</si>
  <si>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</si>
  <si>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</si>
  <si>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</si>
  <si>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</si>
  <si>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</si>
  <si>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</si>
  <si>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</si>
  <si>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</si>
  <si>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</si>
  <si>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</si>
  <si>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</si>
  <si>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</si>
  <si>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</si>
  <si>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</si>
  <si>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</si>
  <si>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</si>
  <si>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</si>
  <si>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</si>
  <si>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</si>
  <si>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</si>
  <si>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</si>
  <si>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</si>
  <si>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</si>
  <si>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</si>
  <si>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</si>
  <si>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</si>
  <si>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</si>
  <si>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</si>
  <si>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</si>
  <si>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</si>
  <si>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</si>
  <si>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</si>
  <si>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</si>
  <si>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</si>
  <si>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</si>
  <si>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</si>
  <si>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</si>
  <si>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</si>
  <si>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</si>
  <si>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</si>
  <si>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</si>
  <si>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</si>
  <si>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</si>
  <si>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</si>
  <si>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</si>
  <si>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</si>
  <si>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</si>
  <si>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</si>
  <si>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</si>
  <si>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</si>
  <si>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</si>
  <si>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</si>
  <si>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</si>
  <si>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</si>
  <si>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</si>
  <si>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</si>
  <si>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</si>
  <si>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</si>
  <si>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</si>
  <si>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</si>
  <si>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</si>
  <si>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</si>
  <si>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</si>
  <si>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</si>
  <si>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</si>
  <si>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</si>
  <si>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</si>
  <si>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</si>
  <si>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</si>
  <si>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</si>
  <si>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</si>
  <si>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</si>
  <si>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</si>
  <si>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</si>
  <si>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</si>
  <si>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</si>
  <si>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</si>
  <si>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</si>
  <si>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</si>
  <si>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</si>
  <si>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</si>
  <si>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</si>
  <si>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</si>
  <si>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</si>
  <si>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</si>
  <si>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</si>
  <si>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</si>
  <si>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</si>
  <si>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</si>
  <si>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</si>
  <si>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</si>
  <si>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</si>
  <si>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</si>
  <si>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</si>
  <si>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</si>
  <si>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</si>
  <si>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</si>
  <si>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</si>
  <si>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</si>
  <si>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</si>
  <si>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</si>
  <si>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</si>
  <si>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</si>
  <si>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</si>
  <si>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</si>
  <si>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</si>
  <si>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</si>
  <si>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</si>
  <si>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</si>
  <si>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</si>
  <si>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</si>
  <si>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</si>
  <si>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</si>
  <si>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</si>
  <si>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</si>
  <si>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</si>
  <si>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</si>
  <si>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</si>
  <si>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</si>
  <si>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</si>
  <si>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</si>
  <si>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</si>
  <si>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</si>
  <si>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</si>
  <si>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</si>
  <si>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</si>
  <si>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</si>
  <si>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</si>
  <si>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</si>
  <si>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</si>
  <si>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</si>
  <si>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</si>
  <si>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</si>
  <si>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</si>
  <si>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</si>
  <si>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</si>
  <si>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</si>
  <si>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</si>
  <si>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</si>
  <si>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</si>
  <si>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</si>
  <si>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</si>
  <si>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</si>
  <si>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</si>
  <si>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</si>
  <si>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</si>
  <si>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</si>
  <si>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</si>
  <si>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</si>
  <si>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</si>
  <si>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</si>
  <si>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</si>
  <si>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</si>
  <si>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</si>
  <si>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</si>
  <si>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</si>
  <si>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</si>
  <si>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</si>
  <si>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</si>
  <si>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</si>
  <si>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</si>
  <si>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</si>
  <si>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</si>
  <si>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</si>
  <si>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</si>
  <si>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</si>
  <si>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</si>
  <si>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</si>
  <si>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</si>
  <si>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</si>
  <si>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</si>
  <si>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</si>
  <si>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</si>
  <si>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</si>
  <si>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</si>
  <si>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</si>
  <si>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</si>
  <si>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</si>
  <si>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</si>
  <si>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</si>
  <si>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</si>
  <si>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</si>
  <si>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</si>
  <si>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</si>
  <si>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</si>
  <si>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</si>
  <si>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</si>
  <si>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</si>
  <si>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</si>
  <si>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</si>
  <si>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</si>
  <si>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</si>
  <si>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</si>
  <si>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</si>
  <si>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</si>
  <si>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</si>
  <si>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</si>
  <si>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</si>
  <si>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</si>
  <si>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</si>
  <si>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</si>
  <si>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</si>
  <si>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</si>
  <si>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</si>
  <si>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</si>
  <si>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</si>
  <si>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</si>
  <si>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</si>
  <si>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</si>
  <si>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</si>
  <si>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</si>
  <si>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</si>
  <si>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</si>
  <si>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</si>
  <si>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</si>
  <si>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</si>
  <si>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</si>
  <si>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</si>
  <si>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</si>
  <si>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</si>
  <si>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</si>
  <si>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</si>
  <si>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</si>
  <si>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</si>
  <si>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</si>
  <si>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</si>
  <si>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</si>
  <si>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</si>
  <si>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</si>
  <si>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</si>
  <si>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</si>
  <si>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</si>
  <si>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</si>
  <si>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</si>
  <si>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</si>
  <si>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</si>
  <si>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</si>
  <si>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</si>
  <si>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</si>
  <si>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</si>
  <si>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</si>
  <si>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</si>
  <si>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</si>
  <si>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</si>
  <si>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</si>
  <si>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</si>
  <si>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</si>
  <si>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</si>
  <si>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</si>
  <si>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</si>
  <si>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</si>
  <si>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</si>
  <si>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</si>
  <si>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</si>
  <si>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</si>
  <si>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</si>
  <si>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</si>
  <si>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</si>
  <si>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</si>
  <si>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</si>
  <si>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</si>
  <si>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</si>
  <si>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</si>
  <si>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</si>
  <si>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</si>
  <si>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</si>
  <si>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</si>
  <si>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</si>
  <si>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</si>
  <si>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</si>
  <si>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</si>
  <si>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</si>
  <si>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</si>
  <si>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</si>
  <si>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</si>
  <si>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</si>
  <si>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</si>
  <si>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</si>
  <si>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</si>
  <si>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</si>
  <si>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</si>
  <si>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</si>
  <si>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</si>
  <si>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</si>
  <si>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</si>
  <si>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</si>
  <si>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</si>
  <si>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</si>
  <si>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</si>
  <si>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</si>
  <si>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</si>
  <si>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</si>
  <si>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</si>
  <si>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</si>
  <si>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</si>
  <si>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</si>
  <si>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</si>
  <si>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</si>
  <si>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</si>
  <si>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</si>
  <si>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</si>
  <si>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</si>
  <si>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</si>
  <si>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</si>
  <si>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</si>
  <si>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</si>
  <si>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</si>
  <si>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</si>
  <si>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</si>
  <si>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</si>
  <si>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</si>
  <si>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</si>
  <si>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</si>
  <si>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</si>
  <si>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</si>
  <si>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</si>
  <si>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</si>
  <si>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</si>
  <si>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</si>
  <si>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</si>
  <si>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</si>
  <si>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</si>
  <si>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</si>
  <si>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</si>
  <si>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</si>
  <si>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</si>
  <si>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</si>
  <si>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</si>
  <si>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</si>
  <si>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</si>
  <si>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</si>
  <si>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</si>
  <si>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</si>
  <si>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</si>
  <si>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</si>
  <si>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</si>
  <si>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</si>
  <si>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</si>
  <si>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</si>
  <si>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</si>
  <si>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</si>
  <si>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</si>
  <si>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</si>
  <si>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</si>
  <si>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</si>
  <si>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</si>
  <si>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</si>
  <si>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</si>
  <si>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</si>
  <si>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</si>
  <si>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</si>
  <si>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</si>
  <si>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</si>
  <si>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</si>
  <si>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</si>
  <si>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</si>
  <si>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</si>
  <si>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</si>
  <si>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</si>
  <si>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</si>
  <si>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</si>
  <si>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</si>
  <si>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</si>
  <si>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</si>
  <si>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</si>
  <si>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</si>
  <si>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</si>
  <si>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</si>
  <si>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</si>
  <si>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</si>
  <si>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</si>
  <si>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</si>
  <si>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</si>
  <si>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</si>
  <si>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</si>
  <si>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</si>
  <si>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</si>
  <si>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</si>
  <si>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</si>
  <si>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</si>
  <si>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</si>
  <si>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</si>
  <si>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</si>
  <si>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</si>
  <si>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</si>
  <si>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</si>
  <si>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</si>
  <si>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</si>
  <si>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</si>
  <si>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</si>
  <si>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</si>
  <si>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</si>
  <si>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</si>
  <si>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</si>
  <si>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</si>
  <si>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</si>
  <si>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</si>
  <si>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</si>
  <si>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</si>
  <si>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</si>
  <si>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</si>
  <si>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</si>
  <si>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</si>
  <si>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</si>
  <si>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</si>
  <si>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</si>
  <si>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</si>
  <si>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</si>
  <si>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</si>
  <si>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</si>
  <si>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</si>
  <si>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</si>
  <si>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</si>
  <si>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</si>
  <si>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</si>
  <si>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</si>
  <si>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</si>
  <si>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</si>
  <si>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</si>
  <si>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</si>
  <si>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</si>
  <si>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</si>
  <si>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</si>
  <si>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</si>
  <si>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</si>
  <si>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</si>
  <si>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</si>
  <si>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</si>
  <si>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</si>
  <si>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</si>
  <si>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</si>
  <si>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</si>
  <si>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</si>
  <si>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</si>
  <si>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</si>
  <si>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</si>
  <si>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</si>
  <si>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</si>
  <si>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</si>
  <si>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</si>
  <si>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</si>
  <si>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</si>
  <si>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</si>
  <si>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</si>
  <si>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</si>
  <si>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</si>
  <si>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</si>
  <si>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</si>
  <si>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</si>
  <si>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</si>
  <si>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</si>
  <si>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</si>
  <si>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</si>
  <si>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</si>
  <si>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</si>
  <si>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</si>
  <si>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</si>
  <si>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</si>
  <si>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</si>
  <si>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</si>
  <si>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</si>
  <si>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</si>
  <si>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</si>
  <si>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</si>
  <si>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</si>
  <si>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</si>
  <si>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</si>
  <si>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</si>
  <si>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</si>
  <si>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</si>
  <si>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</si>
  <si>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</si>
  <si>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</si>
  <si>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</si>
  <si>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</si>
  <si>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</si>
  <si>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</si>
  <si>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</si>
  <si>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</si>
  <si>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</si>
  <si>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</si>
  <si>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</si>
  <si>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</si>
  <si>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</si>
  <si>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</si>
  <si>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</si>
  <si>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</si>
  <si>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</si>
  <si>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</si>
  <si>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</si>
  <si>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</si>
  <si>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</si>
  <si>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</si>
  <si>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</si>
  <si>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</si>
  <si>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</si>
  <si>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</si>
  <si>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</si>
  <si>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</si>
  <si>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</si>
  <si>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</si>
  <si>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</si>
  <si>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</si>
  <si>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</si>
  <si>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</si>
  <si>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</si>
  <si>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</si>
  <si>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</si>
  <si>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</si>
  <si>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</si>
  <si>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</si>
  <si>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</si>
  <si>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</si>
  <si>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</si>
  <si>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</si>
  <si>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</si>
  <si>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</si>
  <si>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</si>
  <si>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</si>
  <si>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</si>
  <si>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</si>
  <si>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</si>
  <si>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</si>
  <si>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</si>
  <si>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</si>
  <si>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</si>
  <si>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</si>
  <si>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</si>
  <si>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</si>
  <si>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</si>
  <si>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</si>
  <si>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</si>
  <si>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</si>
  <si>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</si>
  <si>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</si>
  <si>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</si>
  <si>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</si>
  <si>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</si>
  <si>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</si>
  <si>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</si>
  <si>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</si>
  <si>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</si>
  <si>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</si>
  <si>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</si>
  <si>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</si>
  <si>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</si>
  <si>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</si>
  <si>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</si>
  <si>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</si>
  <si>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</si>
  <si>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</si>
  <si>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</si>
  <si>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</si>
  <si>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</si>
  <si>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</si>
  <si>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</si>
  <si>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</si>
  <si>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</si>
  <si>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</si>
  <si>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</si>
  <si>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</si>
  <si>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</si>
  <si>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</si>
  <si>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</si>
  <si>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</si>
  <si>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</si>
  <si>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</si>
  <si>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</si>
  <si>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</si>
  <si>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</si>
  <si>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</si>
  <si>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</si>
  <si>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</si>
  <si>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</si>
  <si>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</si>
  <si>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</si>
  <si>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</si>
  <si>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</si>
  <si>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</si>
  <si>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</si>
  <si>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</si>
  <si>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</si>
  <si>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</si>
  <si>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</si>
  <si>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</si>
  <si>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</si>
  <si>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</si>
  <si>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</si>
  <si>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</si>
  <si>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</si>
  <si>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</si>
  <si>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</si>
  <si>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</si>
  <si>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</si>
  <si>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</si>
  <si>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</si>
  <si>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</si>
  <si>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</si>
  <si>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</si>
  <si>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</si>
  <si>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</si>
  <si>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</si>
  <si>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</si>
  <si>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</si>
  <si>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</si>
  <si>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</si>
  <si>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</si>
  <si>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</si>
  <si>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</si>
  <si>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</si>
  <si>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</si>
  <si>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</si>
  <si>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</si>
  <si>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</si>
  <si>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</si>
  <si>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</si>
  <si>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</si>
  <si>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</si>
  <si>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</si>
  <si>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</si>
  <si>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</si>
  <si>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</si>
  <si>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</si>
  <si>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</si>
  <si>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</si>
  <si>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</si>
  <si>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</si>
  <si>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</si>
  <si>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</si>
  <si>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</si>
  <si>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</si>
  <si>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</si>
  <si>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</si>
  <si>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</si>
  <si>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</si>
  <si>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</si>
  <si>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</si>
  <si>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</si>
  <si>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</si>
  <si>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</si>
  <si>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</si>
  <si>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</si>
  <si>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</si>
  <si>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</si>
  <si>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</si>
  <si>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</si>
  <si>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</si>
  <si>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</si>
  <si>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</si>
  <si>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</si>
  <si>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</si>
  <si>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</si>
  <si>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</si>
  <si>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</si>
  <si>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</si>
  <si>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</si>
  <si>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</si>
  <si>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</si>
  <si>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</si>
  <si>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</si>
  <si>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</si>
  <si>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</si>
  <si>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</si>
  <si>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</si>
  <si>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</si>
  <si>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</si>
  <si>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</si>
  <si>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</si>
  <si>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</si>
  <si>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</si>
  <si>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</si>
  <si>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</si>
  <si>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</si>
  <si>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</si>
  <si>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</si>
  <si>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</si>
  <si>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</si>
  <si>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</si>
  <si>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</si>
  <si>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</si>
  <si>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</si>
  <si>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</si>
  <si>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</si>
  <si>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</si>
  <si>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</si>
  <si>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</si>
  <si>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</si>
  <si>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</si>
  <si>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</si>
  <si>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</si>
  <si>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</si>
  <si>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</si>
  <si>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</si>
  <si>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</si>
  <si>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</si>
  <si>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</si>
  <si>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</si>
  <si>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</si>
  <si>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</si>
  <si>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</si>
  <si>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</si>
  <si>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</si>
  <si>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</si>
  <si>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</si>
  <si>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</si>
  <si>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</si>
  <si>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</si>
  <si>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</si>
  <si>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</si>
  <si>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</si>
  <si>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</si>
  <si>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</si>
  <si>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</si>
  <si>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</si>
  <si>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</si>
  <si>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</si>
  <si>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</si>
  <si>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</si>
  <si>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</si>
  <si>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</si>
  <si>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</si>
  <si>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</si>
  <si>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</si>
  <si>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</si>
  <si>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</si>
  <si>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</si>
  <si>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</si>
  <si>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</si>
  <si>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</si>
  <si>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</si>
  <si>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</si>
  <si>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</si>
  <si>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</si>
  <si>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</si>
  <si>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</si>
  <si>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</si>
  <si>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</si>
  <si>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</si>
  <si>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</si>
  <si>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</si>
  <si>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</si>
  <si>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</si>
  <si>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</si>
  <si>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</si>
  <si>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</si>
  <si>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</si>
  <si>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</si>
  <si>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</si>
  <si>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</si>
  <si>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</si>
  <si>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</si>
  <si>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</si>
  <si>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</si>
  <si>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</si>
  <si>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</si>
  <si>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</si>
  <si>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</si>
  <si>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</si>
  <si>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</si>
  <si>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</si>
  <si>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</si>
  <si>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</si>
  <si>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</si>
  <si>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</si>
  <si>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</si>
  <si>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</si>
  <si>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</si>
  <si>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</si>
  <si>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</si>
  <si>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</si>
  <si>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</si>
  <si>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</si>
  <si>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</si>
  <si>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</si>
  <si>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</si>
  <si>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</si>
  <si>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</si>
  <si>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</si>
  <si>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</si>
  <si>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</si>
  <si>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</si>
  <si>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</si>
  <si>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</si>
  <si>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</si>
  <si>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</si>
  <si>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</si>
  <si>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</si>
  <si>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</si>
  <si>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</si>
  <si>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</si>
  <si>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</si>
  <si>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</si>
  <si>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</si>
  <si>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</si>
  <si>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</si>
  <si>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</si>
  <si>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</si>
  <si>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</si>
  <si>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</si>
  <si>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</si>
  <si>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</si>
  <si>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</si>
  <si>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</si>
  <si>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</si>
  <si>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</si>
  <si>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</si>
  <si>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</si>
  <si>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</si>
  <si>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</si>
  <si>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</si>
  <si>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</si>
  <si>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</si>
  <si>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</si>
  <si>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</si>
  <si>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</si>
  <si>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</si>
  <si>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</si>
  <si>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</si>
  <si>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</si>
  <si>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</si>
  <si>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</si>
  <si>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</si>
  <si>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</si>
  <si>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</si>
  <si>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</si>
  <si>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</si>
  <si>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</si>
  <si>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</si>
  <si>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</si>
  <si>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</si>
  <si>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</si>
  <si>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</si>
  <si>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</si>
  <si>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</si>
  <si>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</si>
  <si>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</si>
  <si>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</si>
  <si>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</si>
  <si>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</si>
  <si>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</si>
  <si>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</si>
  <si>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</si>
  <si>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</si>
  <si>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</si>
  <si>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</si>
  <si>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</si>
  <si>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</si>
  <si>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</si>
  <si>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</si>
  <si>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</si>
  <si>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</si>
  <si>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</si>
  <si>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</si>
  <si>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</si>
  <si>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</si>
  <si>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</si>
  <si>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</si>
  <si>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</si>
  <si>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</si>
  <si>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</si>
  <si>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</si>
  <si>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</si>
  <si>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</si>
  <si>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</si>
  <si>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</si>
  <si>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</si>
  <si>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</si>
  <si>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</si>
  <si>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</si>
  <si>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</si>
  <si>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</si>
  <si>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</si>
  <si>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</si>
  <si>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</si>
  <si>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</si>
  <si>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</si>
  <si>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</si>
  <si>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</si>
  <si>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</si>
  <si>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</si>
  <si>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</si>
  <si>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</si>
  <si>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</si>
  <si>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</si>
  <si>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</si>
  <si>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</si>
  <si>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</si>
  <si>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</si>
  <si>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</si>
  <si>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</si>
  <si>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</si>
  <si>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</si>
  <si>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</si>
  <si>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</si>
  <si>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</si>
  <si>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</si>
  <si>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</si>
  <si>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</si>
  <si>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</si>
  <si>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</si>
  <si>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</si>
  <si>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</si>
  <si>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</si>
  <si>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</si>
  <si>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</si>
  <si>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</si>
  <si>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</si>
  <si>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</si>
  <si>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</si>
  <si>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</si>
  <si>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</si>
  <si>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</si>
  <si>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</si>
  <si>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</si>
  <si>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</si>
  <si>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</si>
  <si>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</si>
  <si>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</si>
  <si>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</si>
  <si>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</si>
  <si>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</si>
  <si>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</si>
  <si>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</si>
  <si>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</si>
  <si>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</si>
  <si>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</si>
  <si>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</si>
  <si>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</si>
  <si>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</si>
  <si>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</si>
  <si>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</si>
  <si>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</si>
  <si>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</si>
  <si>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</si>
  <si>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</si>
  <si>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</si>
  <si>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</si>
  <si>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</si>
  <si>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</si>
  <si>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</si>
  <si>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</si>
  <si>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</si>
  <si>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</si>
  <si>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</si>
  <si>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</si>
  <si>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</si>
  <si>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</si>
  <si>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</si>
  <si>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</si>
  <si>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</si>
  <si>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</si>
  <si>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</si>
  <si>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</si>
  <si>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</si>
  <si>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</si>
  <si>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</si>
  <si>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</si>
  <si>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</si>
  <si>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</si>
  <si>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</si>
  <si>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</si>
  <si>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</si>
  <si>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</si>
  <si>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</si>
  <si>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</si>
  <si>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</si>
  <si>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</si>
  <si>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</si>
  <si>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</si>
  <si>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</si>
  <si>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</si>
  <si>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</si>
  <si>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</si>
  <si>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</si>
  <si>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</si>
  <si>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</si>
  <si>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</si>
  <si>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</si>
  <si>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</si>
  <si>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</si>
  <si>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</si>
  <si>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</si>
  <si>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</si>
  <si>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</si>
  <si>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</si>
  <si>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</si>
  <si>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</si>
  <si>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</si>
  <si>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</si>
  <si>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</si>
  <si>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</si>
  <si>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</si>
  <si>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</si>
  <si>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</si>
  <si>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</si>
  <si>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</si>
  <si>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</si>
  <si>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</si>
  <si>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</si>
  <si>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</si>
  <si>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</si>
  <si>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</si>
  <si>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</si>
  <si>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</si>
  <si>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</si>
  <si>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</si>
  <si>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</si>
  <si>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</si>
  <si>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</si>
  <si>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</si>
  <si>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</si>
  <si>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</si>
  <si>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</si>
  <si>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</si>
  <si>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</si>
  <si>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</si>
  <si>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</si>
  <si>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</si>
  <si>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</si>
  <si>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</si>
  <si>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</si>
  <si>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</si>
  <si>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</si>
  <si>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</si>
  <si>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</si>
  <si>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</si>
  <si>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</si>
  <si>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</si>
  <si>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</si>
  <si>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</si>
  <si>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</si>
  <si>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</si>
  <si>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</si>
  <si>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</si>
  <si>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</si>
  <si>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</si>
  <si>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</si>
  <si>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</si>
  <si>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</si>
  <si>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</si>
  <si>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</si>
  <si>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</si>
  <si>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</si>
  <si>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</si>
  <si>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</si>
  <si>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</si>
  <si>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</si>
  <si>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</si>
  <si>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</si>
  <si>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</si>
  <si>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</si>
  <si>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</si>
  <si>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</si>
  <si>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</si>
  <si>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</si>
  <si>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</si>
  <si>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</si>
  <si>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</si>
  <si>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</si>
  <si>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</si>
  <si>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</si>
  <si>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</si>
  <si>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</si>
  <si>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</si>
  <si>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</si>
  <si>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</si>
  <si>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</si>
  <si>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</si>
  <si>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</si>
  <si>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</si>
  <si>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</si>
  <si>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</si>
  <si>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</si>
  <si>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</si>
  <si>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</si>
  <si>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</si>
  <si>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</si>
  <si>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</si>
  <si>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</si>
  <si>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</si>
  <si>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</si>
  <si>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</si>
  <si>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</si>
  <si>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</si>
  <si>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</si>
  <si>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</si>
  <si>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</si>
  <si>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</si>
  <si>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</si>
  <si>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</si>
  <si>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</si>
  <si>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</si>
  <si>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</si>
  <si>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</si>
  <si>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</si>
  <si>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</si>
  <si>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</si>
  <si>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</si>
  <si>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</si>
  <si>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</si>
  <si>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</si>
  <si>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</si>
  <si>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</si>
  <si>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</si>
  <si>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</si>
  <si>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</si>
  <si>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</si>
  <si>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</si>
  <si>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</si>
  <si>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</si>
  <si>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</si>
  <si>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</si>
  <si>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</si>
  <si>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</si>
  <si>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</si>
  <si>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</si>
  <si>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</si>
  <si>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</si>
  <si>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</si>
  <si>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</si>
  <si>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</si>
  <si>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</si>
  <si>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</si>
  <si>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</si>
  <si>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</si>
  <si>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</si>
  <si>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</si>
  <si>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</si>
  <si>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</si>
  <si>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</si>
  <si>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</si>
  <si>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</si>
  <si>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</si>
  <si>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</si>
  <si>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</si>
  <si>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</si>
  <si>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</si>
  <si>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</si>
  <si>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</si>
  <si>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</si>
  <si>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</si>
  <si>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</si>
  <si>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</si>
  <si>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</si>
  <si>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</si>
  <si>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</si>
  <si>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</si>
  <si>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</si>
  <si>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</si>
  <si>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</si>
  <si>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</si>
  <si>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</si>
  <si>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</si>
  <si>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</si>
  <si>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</si>
  <si>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</si>
  <si>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</si>
  <si>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</si>
  <si>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</si>
  <si>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</si>
  <si>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</si>
  <si>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</si>
  <si>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</si>
  <si>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</si>
  <si>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</si>
  <si>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</si>
  <si>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</si>
  <si>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</si>
  <si>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</si>
  <si>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</si>
  <si>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</si>
  <si>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</si>
  <si>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</si>
  <si>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</si>
  <si>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</si>
  <si>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</si>
  <si>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</si>
  <si>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</si>
  <si>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</si>
  <si>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</si>
  <si>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</si>
  <si>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</si>
  <si>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</si>
  <si>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</si>
  <si>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</si>
  <si>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</si>
  <si>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</si>
  <si>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</si>
  <si>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</si>
  <si>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</si>
  <si>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</si>
  <si>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</si>
  <si>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</si>
  <si>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</si>
  <si>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</si>
  <si>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</si>
  <si>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</si>
  <si>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</si>
  <si>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</si>
  <si>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</si>
  <si>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</si>
  <si>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</si>
  <si>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</si>
  <si>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</si>
  <si>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</si>
  <si>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</si>
  <si>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</si>
  <si>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</si>
  <si>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</si>
  <si>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</si>
  <si>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</si>
  <si>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</si>
  <si>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</si>
  <si>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</si>
  <si>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</si>
  <si>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</si>
  <si>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</si>
  <si>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</si>
  <si>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</si>
  <si>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</si>
  <si>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</si>
  <si>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</si>
  <si>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</si>
  <si>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</si>
  <si>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</si>
  <si>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</si>
  <si>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</si>
  <si>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</si>
  <si>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</si>
  <si>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</si>
  <si>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</si>
  <si>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</si>
  <si>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</si>
  <si>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</si>
  <si>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</si>
  <si>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</si>
  <si>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</si>
  <si>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</si>
  <si>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</si>
  <si>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</si>
  <si>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</si>
  <si>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</si>
  <si>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</si>
  <si>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</si>
  <si>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</si>
  <si>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</si>
  <si>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</si>
  <si>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</si>
  <si>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</si>
  <si>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</si>
  <si>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</si>
  <si>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</si>
  <si>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</si>
  <si>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</si>
  <si>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</si>
  <si>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</si>
  <si>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</si>
  <si>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</si>
  <si>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</si>
  <si>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</si>
  <si>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</si>
  <si>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</si>
  <si>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</si>
  <si>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</si>
  <si>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</si>
  <si>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</si>
  <si>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</si>
  <si>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</si>
  <si>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</si>
  <si>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</si>
  <si>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</si>
  <si>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</si>
  <si>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</si>
  <si>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</si>
  <si>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</si>
  <si>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</si>
  <si>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</si>
  <si>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</si>
  <si>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</si>
  <si>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</si>
  <si>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</si>
  <si>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</si>
  <si>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</si>
  <si>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</si>
  <si>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</si>
  <si>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</si>
  <si>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</si>
  <si>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</si>
  <si>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</si>
  <si>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</si>
  <si>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</si>
  <si>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</si>
  <si>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</si>
  <si>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</si>
  <si>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</si>
  <si>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</si>
  <si>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</si>
  <si>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</si>
  <si>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</si>
  <si>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</si>
  <si>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</si>
  <si>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</si>
  <si>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</si>
  <si>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</si>
  <si>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</si>
  <si>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</si>
  <si>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</si>
  <si>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</si>
  <si>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</si>
  <si>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</si>
  <si>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</si>
  <si>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</si>
  <si>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</si>
  <si>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</si>
  <si>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</si>
  <si>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</si>
  <si>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</si>
  <si>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</si>
  <si>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</si>
  <si>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</si>
  <si>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</si>
  <si>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</si>
  <si>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</si>
  <si>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</si>
  <si>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</si>
  <si>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</si>
  <si>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</si>
  <si>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</si>
  <si>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</si>
  <si>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</si>
  <si>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</si>
  <si>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</si>
  <si>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</si>
  <si>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</si>
  <si>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</si>
  <si>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</si>
  <si>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</si>
  <si>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</si>
  <si>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</si>
  <si>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</si>
  <si>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</si>
  <si>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</si>
  <si>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</si>
  <si>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</si>
  <si>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</si>
  <si>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</si>
  <si>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</si>
  <si>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</si>
  <si>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</si>
  <si>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</si>
  <si>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</si>
  <si>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</si>
  <si>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</si>
  <si>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</si>
  <si>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</si>
  <si>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</si>
  <si>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</si>
  <si>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</si>
  <si>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</si>
  <si>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</si>
  <si>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</si>
  <si>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</si>
  <si>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</si>
  <si>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</si>
  <si>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</si>
  <si>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</si>
  <si>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</si>
  <si>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</si>
  <si>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</si>
  <si>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</si>
  <si>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</si>
  <si>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</si>
  <si>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</si>
  <si>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</si>
  <si>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</si>
  <si>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</si>
  <si>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</si>
  <si>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</si>
  <si>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</si>
  <si>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</si>
  <si>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</si>
  <si>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</si>
  <si>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</si>
  <si>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</si>
  <si>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</si>
  <si>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</si>
  <si>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</si>
  <si>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</si>
  <si>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</si>
  <si>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</si>
  <si>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</si>
  <si>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</si>
  <si>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</si>
  <si>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</si>
  <si>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</si>
  <si>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</si>
  <si>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</si>
  <si>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</si>
  <si>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</si>
  <si>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</si>
  <si>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</si>
  <si>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</si>
  <si>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</si>
  <si>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</si>
  <si>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</si>
  <si>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</si>
  <si>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</si>
  <si>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</si>
  <si>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</si>
  <si>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</si>
  <si>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</si>
  <si>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</si>
  <si>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</si>
  <si>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</si>
  <si>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</si>
  <si>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</si>
  <si>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</si>
  <si>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</si>
  <si>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</si>
  <si>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</si>
  <si>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</si>
  <si>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</si>
  <si>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</si>
  <si>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</si>
  <si>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</si>
  <si>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</si>
  <si>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</si>
  <si>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</si>
  <si>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</si>
  <si>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</si>
  <si>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</si>
  <si>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</si>
  <si>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</si>
  <si>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</si>
  <si>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</si>
  <si>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</si>
  <si>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</si>
  <si>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</si>
  <si>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</si>
  <si>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</si>
  <si>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</si>
  <si>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</si>
  <si>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</si>
  <si>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</si>
  <si>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</si>
  <si>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</si>
  <si>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</si>
  <si>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</si>
  <si>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</si>
  <si>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</si>
  <si>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</si>
  <si>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</si>
  <si>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</si>
  <si>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</si>
  <si>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</si>
  <si>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</si>
  <si>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</si>
  <si>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</si>
  <si>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</si>
  <si>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</si>
  <si>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</si>
  <si>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</si>
  <si>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</si>
  <si>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</si>
  <si>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</si>
  <si>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</si>
  <si>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</si>
  <si>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</si>
  <si>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</si>
  <si>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</si>
  <si>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</si>
  <si>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</si>
  <si>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</si>
  <si>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</si>
  <si>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</si>
  <si>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</si>
  <si>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</si>
  <si>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</si>
  <si>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</si>
  <si>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</si>
  <si>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</si>
  <si>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</si>
  <si>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</si>
  <si>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</si>
  <si>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</si>
  <si>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</si>
  <si>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</si>
  <si>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</si>
  <si>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</si>
  <si>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</si>
  <si>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</si>
  <si>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</si>
  <si>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</si>
  <si>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</si>
  <si>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</si>
  <si>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</si>
  <si>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</si>
  <si>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</si>
  <si>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</si>
  <si>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</si>
  <si>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</si>
  <si>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</si>
  <si>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</si>
  <si>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</si>
  <si>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</si>
  <si>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</si>
  <si>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</si>
  <si>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</si>
  <si>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</si>
  <si>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</si>
  <si>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</si>
  <si>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</si>
  <si>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</si>
  <si>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</si>
  <si>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</si>
  <si>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</si>
  <si>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</si>
  <si>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</si>
  <si>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</si>
  <si>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</si>
  <si>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</si>
  <si>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</si>
  <si>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</si>
  <si>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</si>
  <si>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</si>
  <si>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</si>
  <si>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</si>
  <si>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</si>
  <si>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</si>
  <si>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</si>
  <si>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</si>
  <si>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</si>
  <si>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</si>
  <si>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</si>
  <si>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</si>
  <si>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</si>
  <si>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</si>
  <si>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</si>
  <si>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</si>
  <si>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</si>
  <si>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</si>
  <si>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</si>
  <si>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</si>
  <si>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</si>
  <si>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</si>
  <si>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</si>
  <si>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</si>
  <si>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</si>
  <si>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</si>
  <si>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</si>
  <si>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</si>
  <si>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</si>
  <si>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</si>
  <si>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</si>
  <si>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</si>
  <si>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</si>
  <si>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</si>
  <si>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</si>
  <si>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</si>
  <si>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</si>
  <si>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</si>
  <si>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</si>
  <si>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</si>
  <si>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</si>
  <si>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</si>
  <si>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</si>
  <si>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</si>
  <si>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</si>
  <si>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</si>
  <si>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</si>
  <si>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</si>
  <si>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</si>
  <si>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</si>
  <si>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</si>
  <si>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</si>
  <si>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</si>
  <si>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</si>
  <si>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</si>
  <si>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</si>
  <si>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</si>
  <si>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</si>
  <si>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</si>
  <si>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</si>
  <si>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</si>
  <si>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</si>
  <si>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</si>
  <si>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</si>
  <si>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</si>
  <si>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</si>
  <si>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</si>
  <si>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</si>
  <si>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</si>
  <si>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</si>
  <si>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</si>
  <si>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</si>
  <si>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</si>
  <si>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</si>
  <si>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</si>
  <si>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</si>
  <si>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</si>
  <si>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</si>
  <si>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</si>
  <si>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</si>
  <si>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</si>
  <si>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</si>
  <si>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</si>
  <si>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</si>
  <si>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</si>
  <si>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</si>
  <si>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</si>
  <si>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</si>
  <si>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</si>
  <si>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</si>
  <si>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</si>
  <si>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</si>
  <si>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</si>
  <si>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</si>
  <si>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</si>
  <si>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</si>
  <si>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</si>
  <si>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</si>
  <si>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</si>
  <si>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</si>
  <si>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</si>
  <si>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</si>
  <si>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</si>
  <si>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</si>
  <si>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</si>
  <si>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</si>
  <si>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</si>
  <si>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</si>
  <si>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</si>
  <si>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</si>
  <si>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</si>
  <si>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</si>
  <si>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</si>
  <si>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</si>
  <si>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</si>
  <si>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</si>
  <si>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</si>
  <si>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</si>
  <si>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</si>
  <si>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</si>
  <si>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</si>
  <si>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</si>
  <si>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</si>
  <si>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</si>
  <si>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</si>
  <si>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</si>
  <si>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</si>
  <si>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</si>
  <si>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</si>
  <si>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</si>
  <si>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</si>
  <si>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</si>
  <si>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</si>
  <si>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</si>
  <si>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</si>
  <si>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</si>
  <si>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</si>
  <si>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</si>
  <si>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</si>
  <si>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</si>
  <si>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</si>
  <si>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</si>
  <si>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</si>
  <si>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</si>
  <si>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</si>
  <si>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</si>
  <si>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</si>
  <si>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</si>
  <si>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</si>
  <si>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</si>
  <si>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</si>
  <si>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</si>
  <si>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</si>
  <si>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</si>
  <si>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</si>
  <si>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</si>
  <si>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</si>
  <si>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</si>
  <si>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</si>
  <si>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</si>
  <si>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</si>
  <si>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</si>
  <si>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</si>
  <si>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</si>
  <si>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</si>
  <si>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</si>
  <si>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</si>
  <si>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</si>
  <si>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</si>
  <si>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</si>
  <si>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</si>
  <si>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</si>
  <si>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</si>
  <si>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</si>
  <si>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</si>
  <si>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</si>
  <si>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</si>
  <si>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</si>
  <si>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</si>
  <si>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</si>
  <si>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</si>
  <si>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</si>
  <si>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</si>
  <si>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</si>
  <si>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</si>
  <si>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</si>
  <si>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</si>
  <si>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</si>
  <si>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</si>
  <si>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</si>
  <si>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</si>
  <si>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r>
      <t>1</t>
    </r>
    <r>
      <rPr>
        <sz val="10"/>
        <color indexed="8"/>
        <rFont val="宋体"/>
        <family val="3"/>
        <charset val="134"/>
      </rPr>
      <t>号楼</t>
    </r>
    <phoneticPr fontId="3" type="noConversion"/>
  </si>
  <si>
    <t>是</t>
  </si>
  <si>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</si>
  <si>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</si>
  <si>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</si>
  <si>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</si>
  <si>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</si>
  <si>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</si>
  <si>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</si>
  <si>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</si>
  <si>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</si>
  <si>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</si>
  <si>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t>地上</t>
  </si>
  <si>
    <t>地下</t>
  </si>
  <si>
    <t>工业</t>
    <phoneticPr fontId="7" type="noConversion"/>
  </si>
  <si>
    <t>成新度</t>
  </si>
  <si>
    <t>直线</t>
    <phoneticPr fontId="3" type="noConversion"/>
  </si>
  <si>
    <t>观察</t>
    <phoneticPr fontId="3" type="noConversion"/>
  </si>
  <si>
    <t>综合</t>
    <phoneticPr fontId="3" type="noConversion"/>
  </si>
  <si>
    <t>收益法</t>
  </si>
  <si>
    <t>押一</t>
  </si>
  <si>
    <t>钢混</t>
  </si>
  <si>
    <t>非生产用房</t>
  </si>
  <si>
    <t>否</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</si>
  <si>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</si>
  <si>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</si>
  <si>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</si>
  <si>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</si>
  <si>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</si>
  <si>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</si>
  <si>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</si>
  <si>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</si>
  <si>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</si>
  <si>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</si>
  <si>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</si>
  <si>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</si>
  <si>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</si>
  <si>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</si>
  <si>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</si>
  <si>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</si>
  <si>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</si>
  <si>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</si>
  <si>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</si>
  <si>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</si>
  <si>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</si>
  <si>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</si>
  <si>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</si>
  <si>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</si>
  <si>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</si>
  <si>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</si>
  <si>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</si>
  <si>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</si>
  <si>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</si>
  <si>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</si>
  <si>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</si>
  <si>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</si>
  <si>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</si>
  <si>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</si>
  <si>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</si>
  <si>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</si>
  <si>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</si>
  <si>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</si>
  <si>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</si>
  <si>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</si>
  <si>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</si>
  <si>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</si>
  <si>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</si>
  <si>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</si>
  <si>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</si>
  <si>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</si>
  <si>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</si>
  <si>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</si>
  <si>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</si>
  <si>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</si>
  <si>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</si>
  <si>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</si>
  <si>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年期修正</t>
  </si>
  <si>
    <t>修正后单价</t>
    <phoneticPr fontId="134" type="noConversion"/>
  </si>
  <si>
    <t>北京市房山区燕房组团FS00-0226-0033地块M4工业研发用地</t>
  </si>
  <si>
    <t>京土整储挂(房)工业〔2023〕002号</t>
  </si>
  <si>
    <t xml:space="preserve"> 北京</t>
  </si>
  <si>
    <t xml:space="preserve"> 房山区</t>
  </si>
  <si>
    <t xml:space="preserve"> --</t>
  </si>
  <si>
    <t xml:space="preserve"> 房山区城关街道</t>
  </si>
  <si>
    <t xml:space="preserve"> 工业用地</t>
  </si>
  <si>
    <t xml:space="preserve"> 挂牌</t>
  </si>
  <si>
    <t xml:space="preserve"> M4工业研发用地</t>
  </si>
  <si>
    <t xml:space="preserve">-- </t>
  </si>
  <si>
    <t xml:space="preserve"> -- </t>
  </si>
  <si>
    <t xml:space="preserve"> 京土整储挂(房)工业〔2023〕002号</t>
  </si>
  <si>
    <t xml:space="preserve"> 已成交</t>
  </si>
  <si>
    <t xml:space="preserve"> 北京中联云天数据科技有限公司  </t>
  </si>
  <si>
    <t>2023-06-15 15:00</t>
  </si>
  <si>
    <t xml:space="preserve"> 20年</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</si>
  <si>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</si>
  <si>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</si>
  <si>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</si>
  <si>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</si>
  <si>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</si>
  <si>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</si>
  <si>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</si>
  <si>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</si>
  <si>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</si>
  <si>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</si>
  <si>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</si>
  <si>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</si>
  <si>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</si>
  <si>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</si>
  <si>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</si>
  <si>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</si>
  <si>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</si>
  <si>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</si>
  <si>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</si>
  <si>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</si>
  <si>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</si>
  <si>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</si>
  <si>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</si>
  <si>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</si>
  <si>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</si>
  <si>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</si>
  <si>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</si>
  <si>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</si>
  <si>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</si>
  <si>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</si>
  <si>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</si>
  <si>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</si>
  <si>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</si>
  <si>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</si>
  <si>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</si>
  <si>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京土整储挂(房)工业【2020】002号</t>
  </si>
  <si>
    <t xml:space="preserve"> 北京京东方生命科技有限公司  </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</si>
  <si>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</si>
  <si>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</si>
  <si>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</si>
  <si>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</si>
  <si>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</si>
  <si>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</si>
  <si>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</si>
  <si>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</si>
  <si>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</si>
  <si>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</si>
  <si>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</si>
  <si>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</si>
  <si>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 xml:space="preserve"> 地方国有企业</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</si>
  <si>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</si>
  <si>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</si>
  <si>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</si>
  <si>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</si>
  <si>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</si>
  <si>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</si>
  <si>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</si>
  <si>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</si>
  <si>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</si>
  <si>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</si>
  <si>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</si>
  <si>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</si>
  <si>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</si>
  <si>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</si>
  <si>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</si>
  <si>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</si>
  <si>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</si>
  <si>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</si>
  <si>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</si>
  <si>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</si>
  <si>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</si>
  <si>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</si>
  <si>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</si>
  <si>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</si>
  <si>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</si>
  <si>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</si>
  <si>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</si>
  <si>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</si>
  <si>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</si>
  <si>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</si>
  <si>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</si>
  <si>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</si>
  <si>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</si>
  <si>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</si>
  <si>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</si>
  <si>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</si>
  <si>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</si>
  <si>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</si>
  <si>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</si>
  <si>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</si>
  <si>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</si>
  <si>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</si>
  <si>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</si>
  <si>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</si>
  <si>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</si>
  <si>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</si>
  <si>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</si>
  <si>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</si>
  <si>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</si>
  <si>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</si>
  <si>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建筑物价值</t>
  </si>
  <si>
    <t>土地面积</t>
  </si>
  <si>
    <t>建筑面积</t>
  </si>
  <si>
    <t>土地价款</t>
    <phoneticPr fontId="8" type="noConversion"/>
  </si>
  <si>
    <t>出让金+开发费</t>
  </si>
  <si>
    <t>企业提供（在右侧录入）</t>
  </si>
  <si>
    <t>情况3</t>
  </si>
  <si>
    <t>正常</t>
  </si>
  <si>
    <t>自行开发建设</t>
  </si>
  <si>
    <t>非个人房产</t>
  </si>
  <si>
    <t>现房</t>
  </si>
  <si>
    <t>项目全部</t>
  </si>
  <si>
    <t>北京高端制造业基地01街区01-02(2)地块工业用地项目</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</si>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</sst>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name val="宋体"/>
      <family val="3"/>
      <charset val="134"/>
      <scheme val="minor"/>
    </font>
    <font>
      <sz val="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0" fontId="269" fillId="0" borderId="0" xfId="19" applyNumberFormat="1"/>
    <xf numFmtId="0" fontId="95" fillId="0" borderId="0" xfId="19" applyFont="1" applyAlignment="1">
      <alignment horizontal="center" vertical="center" wrapText="1"/>
    </xf>
    <xf numFmtId="0" fontId="107" fillId="0" borderId="0" xfId="19" applyNumberFormat="1" applyFont="1" applyAlignment="1"/>
    <xf numFmtId="14" fontId="269" fillId="0" borderId="0" xfId="19" applyNumberFormat="1"/>
    <xf numFmtId="0" fontId="270" fillId="0" borderId="0" xfId="19" applyFont="1" applyAlignment="1">
      <alignment horizontal="center" vertical="center" wrapText="1"/>
    </xf>
    <xf numFmtId="0" fontId="271" fillId="0" borderId="0" xfId="19" applyNumberFormat="1" applyFont="1" applyAlignment="1"/>
    <xf numFmtId="0" fontId="272" fillId="0" borderId="0" xfId="19" applyNumberFormat="1" applyFont="1" applyAlignment="1"/>
    <xf numFmtId="0" fontId="269" fillId="0" borderId="0" xfId="19" applyNumberFormat="1" applyFill="1"/>
    <xf numFmtId="14" fontId="269" fillId="0" borderId="0" xfId="19" applyNumberFormat="1" applyFill="1"/>
    <xf numFmtId="0" fontId="271" fillId="0" borderId="0" xfId="19" applyNumberFormat="1" applyFont="1" applyFill="1" applyAlignment="1"/>
    <xf numFmtId="0" fontId="269" fillId="9" borderId="0" xfId="19" applyNumberFormat="1" applyFill="1"/>
    <xf numFmtId="14" fontId="269" fillId="9" borderId="0" xfId="19" applyNumberFormat="1" applyFill="1"/>
    <xf numFmtId="0" fontId="271" fillId="9" borderId="0" xfId="19" applyNumberFormat="1" applyFont="1" applyFill="1" applyAlignment="1"/>
    <xf numFmtId="0" fontId="272" fillId="0" borderId="0" xfId="19"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估价对象为北京市房地产，为所有。根据《国有土地使用证》[]，估价对象（分摊）出让国有建设用地使用权面积为32779.72平方米，建筑面积为58700.09平方米。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估价对象为北京市房地产,为开发建设的，该项目尚在开发建设中。根据《国有土地使用证》[]，估价对象（分摊）出让国有建设用地使用权面积为32779.72平方米，规划建筑面积为58700.09平方米。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2023年7月5日（评估专业人员实地查勘之日）</v>
      </c>
    </row>
    <row r="13" spans="1:2" s="1202" customFormat="1">
      <c r="A13" s="1200" t="s">
        <v>529</v>
      </c>
      <c r="B13" s="1201"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54777</v>
      </c>
    </row>
    <row r="21" spans="1:2" s="1202" customFormat="1">
      <c r="A21" s="1200" t="s">
        <v>537</v>
      </c>
      <c r="B21" s="1201">
        <f ca="1">'预评函-2'!D7</f>
        <v>9332</v>
      </c>
    </row>
    <row r="22" spans="1:2" s="1202" customFormat="1">
      <c r="A22" s="1200" t="s">
        <v>538</v>
      </c>
      <c r="B22" s="1201" t="str">
        <f ca="1">'预评函-2'!D6</f>
        <v>伍亿肆仟柒佰柒拾柒万元整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54777</v>
      </c>
    </row>
    <row r="31" spans="1:2" s="1202" customFormat="1">
      <c r="A31" s="1200" t="s">
        <v>576</v>
      </c>
      <c r="B31" s="1201">
        <f ca="1">'预评函-2'!D15</f>
        <v>9332</v>
      </c>
    </row>
    <row r="32" spans="1:2" s="1202" customFormat="1">
      <c r="A32" s="1200" t="s">
        <v>543</v>
      </c>
      <c r="B32" s="1201" t="str">
        <f ca="1">'预评函-2'!D14</f>
        <v>伍亿肆仟柒佰柒拾柒万元整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53155</v>
      </c>
    </row>
    <row r="39" spans="1:2" s="1202" customFormat="1">
      <c r="A39" s="1200" t="s">
        <v>545</v>
      </c>
      <c r="B39" s="1201">
        <f ca="1">'预评函-2'!D21</f>
        <v>9055</v>
      </c>
    </row>
    <row r="40" spans="1:2" s="1202" customFormat="1">
      <c r="A40" s="1200" t="s">
        <v>546</v>
      </c>
      <c r="B40" s="1201" t="str">
        <f ca="1">'预评函-2'!D20</f>
        <v>伍亿叁仟壹佰伍拾伍万元整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58700.09</v>
      </c>
    </row>
    <row r="44" spans="1:2" s="1202" customFormat="1">
      <c r="A44" s="1200" t="s">
        <v>575</v>
      </c>
      <c r="B44" s="1201" t="str">
        <f>'预评函-3'!C2</f>
        <v>(分摊)土地面积</v>
      </c>
    </row>
    <row r="45" spans="1:2" s="1202" customFormat="1">
      <c r="A45" s="1200" t="s">
        <v>547</v>
      </c>
      <c r="B45" s="1201">
        <f>'预评函-3'!C4</f>
        <v>32779.72</v>
      </c>
    </row>
    <row r="46" spans="1:2" s="1202" customFormat="1">
      <c r="A46" s="1200" t="s">
        <v>573</v>
      </c>
      <c r="B46" s="1201" t="str">
        <f>'预评函-3'!D2</f>
        <v>出让国有建设用地使用权价值</v>
      </c>
    </row>
    <row r="47" spans="1:2" s="1202" customFormat="1">
      <c r="A47" s="1200" t="s">
        <v>548</v>
      </c>
      <c r="B47" s="1201">
        <f ca="1">'预评函-3'!D4</f>
        <v>18022</v>
      </c>
    </row>
    <row r="48" spans="1:2" s="1202" customFormat="1">
      <c r="A48" s="1200" t="s">
        <v>549</v>
      </c>
      <c r="B48" s="1201">
        <f ca="1">'预评函-3'!E4</f>
        <v>3071</v>
      </c>
    </row>
    <row r="49" spans="1:2" s="1202" customFormat="1">
      <c r="A49" s="1200" t="s">
        <v>550</v>
      </c>
      <c r="B49" s="1201" t="str">
        <f ca="1">'预评函-3'!D5</f>
        <v>壹亿捌仟零贰拾贰万元整</v>
      </c>
    </row>
    <row r="50" spans="1:2" s="1202" customFormat="1">
      <c r="A50" s="1200" t="s">
        <v>574</v>
      </c>
      <c r="B50" s="1201" t="str">
        <f>'预评函-3'!F2</f>
        <v>建筑物价值</v>
      </c>
    </row>
    <row r="51" spans="1:2" s="1202" customFormat="1">
      <c r="A51" s="1200" t="s">
        <v>551</v>
      </c>
      <c r="B51" s="1201">
        <f ca="1">'预评函-3'!F4</f>
        <v>36755</v>
      </c>
    </row>
    <row r="52" spans="1:2" s="1202" customFormat="1">
      <c r="A52" s="1200" t="s">
        <v>552</v>
      </c>
      <c r="B52" s="1201">
        <f ca="1">'预评函-3'!G4</f>
        <v>6261</v>
      </c>
    </row>
    <row r="53" spans="1:2" s="1202" customFormat="1">
      <c r="A53" s="1200" t="s">
        <v>580</v>
      </c>
      <c r="B53" s="1201" t="str">
        <f ca="1">'预评函-3'!F5</f>
        <v>叁亿陆仟柒佰伍拾伍万元整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2577</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2578</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2289</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5" t="s">
        <v>2580</v>
      </c>
      <c r="J2" s="3515"/>
      <c r="K2" s="3515"/>
      <c r="L2" s="3515"/>
      <c r="M2" s="3515"/>
      <c r="N2" s="3515"/>
      <c r="O2" s="3515"/>
      <c r="P2" s="3515"/>
      <c r="Q2" s="3515"/>
      <c r="R2" s="3515"/>
    </row>
    <row r="3" spans="1:18">
      <c r="A3" s="3019" t="s">
        <v>2501</v>
      </c>
      <c r="B3" s="3020">
        <f>项目基本情况!D3</f>
        <v>45112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3.46</v>
      </c>
      <c r="D5" s="3024">
        <f>IF(ISERROR(ROUND(POWER(1+E5,A5-C5)*(POWER(1+E5,C5)-1)/(POWER(1+E5,A5)-1),3)),0,ROUND(POWER(1+E5,A5-C5)*(POWER(1+E5,C5)-1)/(POWER(1+E5,A5)-1),4))</f>
        <v>0.1603</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13.46</v>
      </c>
      <c r="D6" s="3024">
        <f>IF(ISERROR(ROUND(POWER(1+E6,A6-C6)*(POWER(1+E6,C6)-1)/(POWER(1+E6,A6)-1),3)),0,ROUND(POWER(1+E6,A6-C6)*(POWER(1+E6,C6)-1)/(POWER(1+E6,A6)-1),4))</f>
        <v>0.4773</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33.479999999999997</v>
      </c>
      <c r="D7" s="3024">
        <f>IF(ISERROR(ROUND(POWER(1+E7,A7-C7)*(POWER(1+E7,C7)-1)/(POWER(1+E7,A7)-1),3)),0,ROUND(POWER(1+E7,A7-C7)*(POWER(1+E7,C7)-1)/(POWER(1+E7,A7)-1),4))</f>
        <v>0.78120000000000001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D12" sqref="D1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45112</v>
      </c>
      <c r="C3" s="2373" t="s">
        <v>2167</v>
      </c>
      <c r="D3" s="2372">
        <v>45112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2168</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3377</v>
      </c>
      <c r="C8" s="2389"/>
      <c r="D8" s="3519" t="s">
        <v>2173</v>
      </c>
      <c r="E8" s="2390" t="s">
        <v>3378</v>
      </c>
      <c r="F8" s="2391"/>
      <c r="G8" s="2662"/>
      <c r="H8" s="2662"/>
      <c r="I8" s="2662"/>
      <c r="J8" s="2438"/>
      <c r="K8" s="2613"/>
      <c r="L8" s="2612"/>
      <c r="M8" s="2612"/>
      <c r="N8" s="2438"/>
      <c r="O8" s="2449"/>
      <c r="P8" s="2438"/>
      <c r="Q8" s="2438"/>
      <c r="R8" s="2438"/>
    </row>
    <row r="9" spans="1:30" ht="13.5" thickBot="1">
      <c r="A9" s="2392" t="s">
        <v>2174</v>
      </c>
      <c r="B9" s="2393" t="s">
        <v>3378</v>
      </c>
      <c r="C9" s="2394"/>
      <c r="D9" s="3520"/>
      <c r="E9" s="2393" t="s">
        <v>587</v>
      </c>
      <c r="F9" s="2395"/>
      <c r="G9" s="2664"/>
      <c r="H9" s="2664"/>
      <c r="I9" s="2664"/>
      <c r="J9" s="2438"/>
      <c r="K9" s="2615"/>
      <c r="L9" s="2612"/>
      <c r="M9" s="2612"/>
      <c r="N9" s="2438"/>
      <c r="O9" s="2449"/>
      <c r="P9" s="2438"/>
      <c r="Q9" s="2438"/>
      <c r="R9" s="2438"/>
    </row>
    <row r="10" spans="1:30" ht="13.5" thickTop="1">
      <c r="A10" s="2396" t="s">
        <v>2175</v>
      </c>
      <c r="B10" s="2397" t="s">
        <v>3379</v>
      </c>
      <c r="C10" s="2398"/>
      <c r="D10" s="2381"/>
      <c r="E10" s="2399" t="s">
        <v>2176</v>
      </c>
      <c r="F10" s="2665"/>
      <c r="G10" s="2666"/>
      <c r="H10" s="2667"/>
      <c r="I10" s="2668"/>
      <c r="J10" s="2438"/>
      <c r="K10" s="2615"/>
      <c r="L10" s="2612"/>
      <c r="M10" s="2612"/>
      <c r="N10" s="2438"/>
      <c r="O10" s="2449"/>
      <c r="P10" s="2438"/>
      <c r="Q10" s="2438"/>
      <c r="R10" s="2438"/>
    </row>
    <row r="11" spans="1:30">
      <c r="A11" s="2400" t="s">
        <v>2177</v>
      </c>
      <c r="B11" s="2401" t="s">
        <v>3594</v>
      </c>
      <c r="C11" s="2402"/>
      <c r="D11" s="2403"/>
      <c r="E11" s="2369"/>
      <c r="F11" s="2369"/>
      <c r="G11" s="2369"/>
      <c r="H11" s="2369"/>
      <c r="I11" s="2369"/>
      <c r="J11" s="3060"/>
      <c r="K11" s="3059"/>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8" t="s">
        <v>2576</v>
      </c>
      <c r="J12" s="3061"/>
      <c r="K12" s="2612"/>
      <c r="L12" s="2612"/>
      <c r="M12" s="2438"/>
      <c r="N12" s="2449"/>
      <c r="O12" s="2438"/>
      <c r="P12" s="2438"/>
      <c r="Q12" s="2438"/>
      <c r="AD12" s="1744"/>
    </row>
    <row r="13" spans="1:30">
      <c r="A13" s="3422" t="s">
        <v>3334</v>
      </c>
      <c r="B13" s="2406" t="s">
        <v>2186</v>
      </c>
      <c r="C13" s="856"/>
      <c r="D13" s="856"/>
      <c r="E13" s="856"/>
      <c r="F13" s="856"/>
      <c r="G13" s="856"/>
      <c r="H13" s="856">
        <v>60994</v>
      </c>
      <c r="I13" s="856"/>
      <c r="J13" s="3061"/>
      <c r="K13" s="2612"/>
      <c r="L13" s="2612"/>
      <c r="M13" s="2438"/>
      <c r="N13" s="2449"/>
      <c r="O13" s="2438"/>
      <c r="P13" s="2438"/>
      <c r="Q13" s="2438"/>
      <c r="AD13" s="1744"/>
    </row>
    <row r="14" spans="1:30">
      <c r="A14" s="1081"/>
      <c r="B14" s="2406" t="s">
        <v>2187</v>
      </c>
      <c r="C14" s="2407"/>
      <c r="D14" s="2407"/>
      <c r="E14" s="2407"/>
      <c r="F14" s="2407"/>
      <c r="G14" s="2407"/>
      <c r="H14" s="2407">
        <v>50</v>
      </c>
      <c r="I14" s="2407"/>
      <c r="J14" s="3062"/>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43.51</v>
      </c>
      <c r="I15" s="2409" t="str">
        <f>IF(A13="出让",IF(I13="","",ROUNDDOWN(MIN((I13-$D$3)/365,I14),2)),I14)</f>
        <v/>
      </c>
      <c r="J15" s="3063"/>
      <c r="K15" s="2450"/>
      <c r="L15" s="2450"/>
      <c r="M15" s="2508"/>
      <c r="N15" s="2450"/>
      <c r="O15" s="2508"/>
      <c r="P15" s="2438"/>
      <c r="Q15" s="2438"/>
      <c r="AD15" s="1744"/>
    </row>
    <row r="16" spans="1:30">
      <c r="A16" s="2399" t="s">
        <v>2189</v>
      </c>
      <c r="B16" s="3526"/>
      <c r="C16" s="3527"/>
      <c r="D16" s="3528"/>
      <c r="E16" s="2412" t="s">
        <v>2190</v>
      </c>
      <c r="F16" s="3529"/>
      <c r="G16" s="3530"/>
      <c r="H16" s="3530"/>
      <c r="I16" s="3531"/>
      <c r="J16" s="2438"/>
      <c r="K16" s="2616"/>
      <c r="L16" s="2450"/>
      <c r="M16" s="2450"/>
      <c r="N16" s="2508"/>
      <c r="O16" s="2450"/>
      <c r="P16" s="2508"/>
      <c r="Q16" s="2438"/>
      <c r="R16" s="2438"/>
    </row>
    <row r="17" spans="1:28">
      <c r="A17" s="313" t="s">
        <v>2191</v>
      </c>
      <c r="B17" s="302" t="s">
        <v>2192</v>
      </c>
      <c r="C17" s="8">
        <f>'数据-汇总表'!E3</f>
        <v>58700.09</v>
      </c>
      <c r="D17" s="2321" t="s">
        <v>2193</v>
      </c>
      <c r="E17" s="3532" t="s">
        <v>2194</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2195</v>
      </c>
      <c r="B18" s="1090" t="s">
        <v>2196</v>
      </c>
      <c r="C18" s="2414">
        <f>'数据-汇总表'!D3</f>
        <v>32779.72</v>
      </c>
      <c r="D18" s="1092" t="s">
        <v>2197</v>
      </c>
      <c r="E18" s="3535" t="s">
        <v>2198</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522" t="s">
        <v>2202</v>
      </c>
      <c r="C20" s="3523"/>
      <c r="D20" s="3524" t="s">
        <v>2203</v>
      </c>
      <c r="E20" s="3525"/>
      <c r="F20" s="2646" t="s">
        <v>1056</v>
      </c>
      <c r="G20" s="2663"/>
      <c r="H20" s="2663"/>
      <c r="I20" s="2663"/>
      <c r="J20" s="2438"/>
      <c r="K20" s="3521"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2205</v>
      </c>
      <c r="C21" s="2633" t="s">
        <v>1057</v>
      </c>
      <c r="D21" s="1567" t="s">
        <v>2206</v>
      </c>
      <c r="E21" s="2634" t="s">
        <v>1057</v>
      </c>
      <c r="F21" s="2647"/>
      <c r="G21" s="2663"/>
      <c r="H21" s="2663"/>
      <c r="I21" s="2663"/>
      <c r="J21" s="2438"/>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2207</v>
      </c>
      <c r="C22" s="2633" t="s">
        <v>1058</v>
      </c>
      <c r="D22" s="2662"/>
      <c r="E22" s="2662"/>
      <c r="F22" s="2662"/>
      <c r="G22" s="2663"/>
      <c r="H22" s="2663"/>
      <c r="I22" s="2663"/>
      <c r="J22" s="2438"/>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9" t="s">
        <v>2210</v>
      </c>
      <c r="B27" s="320" t="s">
        <v>2211</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2212</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2213</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2214</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2215</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t="s">
        <v>3380</v>
      </c>
      <c r="C34" s="2025" t="s">
        <v>3381</v>
      </c>
      <c r="D34" s="2025" t="s">
        <v>3382</v>
      </c>
      <c r="E34" s="2025" t="s">
        <v>3383</v>
      </c>
      <c r="F34" s="2025" t="s">
        <v>3384</v>
      </c>
      <c r="G34" s="2025" t="s">
        <v>3386</v>
      </c>
      <c r="H34" s="2025" t="s">
        <v>3385</v>
      </c>
      <c r="I34" s="2663"/>
      <c r="J34" s="2438"/>
      <c r="K34" s="2426">
        <f>COUNTIF(B34:H34,"——")</f>
        <v>0</v>
      </c>
      <c r="L34" s="323" t="s">
        <v>2217</v>
      </c>
      <c r="M34" s="323" t="s">
        <v>2218</v>
      </c>
      <c r="N34" s="323" t="s">
        <v>2219</v>
      </c>
      <c r="O34" s="323" t="s">
        <v>2220</v>
      </c>
      <c r="P34" s="323" t="s">
        <v>2221</v>
      </c>
      <c r="Q34" s="323" t="s">
        <v>2222</v>
      </c>
      <c r="R34" s="323" t="s">
        <v>2223</v>
      </c>
      <c r="S34" s="3538" t="s">
        <v>2224</v>
      </c>
      <c r="T34" s="2427" t="str">
        <f>NUMBERSTRING(7-K34,1)&amp;"通"</f>
        <v>七通</v>
      </c>
      <c r="U34" s="2438"/>
      <c r="V34" s="2438"/>
    </row>
    <row r="35" spans="1:30">
      <c r="A35" s="2428"/>
      <c r="B35" s="3545" t="s">
        <v>2225</v>
      </c>
      <c r="C35" s="3545"/>
      <c r="D35" s="3545"/>
      <c r="E35" s="3545"/>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8"/>
      <c r="T35" s="329" t="str">
        <f>IF(T34="一通",L35,IF(T34="二通",M35,IF(T34="三通",N35,IF(T34="四通",O35,IF(T34="五通",P35,IF(T34="六通",Q35,R35))))))</f>
        <v>通路、通电、通讯、通上水、通下水、燃气、平整</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t="s">
        <v>306</v>
      </c>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t="s">
        <v>192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32779.72</v>
      </c>
      <c r="B3" s="11">
        <f>IF(C3="否",G5-AT5,G5)</f>
        <v>58700.09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58700.09</v>
      </c>
      <c r="H5" s="13">
        <f t="shared" ref="H5:AT5" si="0">SUM(H13:H656)</f>
        <v>58700.09</v>
      </c>
      <c r="I5" s="13">
        <f t="shared" si="0"/>
        <v>39191.68</v>
      </c>
      <c r="J5" s="13">
        <f t="shared" si="0"/>
        <v>0</v>
      </c>
      <c r="K5" s="13">
        <f t="shared" si="0"/>
        <v>19508.41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58700.09</v>
      </c>
      <c r="BA5" s="15">
        <f t="shared" si="1"/>
        <v>58700.09</v>
      </c>
      <c r="BB5" s="15">
        <f t="shared" si="1"/>
        <v>39191.68</v>
      </c>
      <c r="BC5" s="15">
        <f t="shared" si="1"/>
        <v>19508.41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32779.72</v>
      </c>
      <c r="F6" s="13" t="s">
        <v>0</v>
      </c>
      <c r="G6" s="13" t="s">
        <v>1</v>
      </c>
      <c r="H6" s="17">
        <f>SUMIF(I$12:AB$12,"总值",I6:AB6)</f>
        <v>32779.72</v>
      </c>
      <c r="I6" s="13">
        <f t="shared" ref="I6:AB6" si="2">ROUND($A$3*I5/$B$3,2)</f>
        <v>21885.7</v>
      </c>
      <c r="J6" s="13">
        <f t="shared" si="2"/>
        <v>0</v>
      </c>
      <c r="K6" s="13">
        <f t="shared" si="2"/>
        <v>10894.02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32779.72</v>
      </c>
      <c r="AZ6" s="13" t="s">
        <v>2</v>
      </c>
      <c r="BA6" s="13">
        <f>ROUND($AY$6*BA5/$AZ$5,2)</f>
        <v>32779.72</v>
      </c>
      <c r="BB6" s="13">
        <f>ROUND($AY$6*BB5/$AZ$5,2)</f>
        <v>21885.7</v>
      </c>
      <c r="BC6" s="13">
        <f t="shared" ref="BC6:BH6" si="4">ROUND($AY$6*BC5/$AZ$5,2)</f>
        <v>10894.02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3399</v>
      </c>
      <c r="J9" s="809"/>
      <c r="K9" s="1602" t="s">
        <v>3400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2"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3730.61</v>
      </c>
      <c r="C13" s="1051" t="s">
        <v>3387</v>
      </c>
      <c r="D13" s="1624" t="s">
        <v>3388</v>
      </c>
      <c r="E13" s="13">
        <f>IF($C$3="是",ROUND($A$3*G13/$B$3,2),ROUND($A$3*(G13-AT13)/$B$3,2))</f>
        <v>2083.27</v>
      </c>
      <c r="F13" s="29"/>
      <c r="G13" s="30">
        <f>H13+AC13+AT13</f>
        <v>3730.61</v>
      </c>
      <c r="H13" s="17">
        <f>SUMIF(I$12:AB$12,"总值",I13:AB13)</f>
        <v>3730.61</v>
      </c>
      <c r="I13" s="1625">
        <f>B13-K13</f>
        <v>3730.61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3730.61</v>
      </c>
      <c r="AX13" s="8" t="str">
        <f t="shared" si="6"/>
        <v>1号楼</v>
      </c>
      <c r="AY13" s="1348">
        <f>ROUND($AY$6*AZ13/$AZ$5,2)</f>
        <v>2083.27</v>
      </c>
      <c r="AZ13" s="13">
        <f>BA13+BL13</f>
        <v>3730.61</v>
      </c>
      <c r="BA13" s="13">
        <f>SUM(BB13:BK13)</f>
        <v>3730.61</v>
      </c>
      <c r="BB13" s="13">
        <f>IF($D13="是",I13-J13,0)</f>
        <v>3730.61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v>3625.09</v>
      </c>
      <c r="C14" s="1051" t="s">
        <v>3389</v>
      </c>
      <c r="D14" s="1624" t="s">
        <v>3388</v>
      </c>
      <c r="E14" s="13">
        <f>IF($C$3="是",ROUND($A$3*G14/$B$3,2),ROUND($A$3*(G14-AT14)/$B$3,2))</f>
        <v>2024.35</v>
      </c>
      <c r="F14" s="29"/>
      <c r="G14" s="30">
        <f>H14+AC14+AT14</f>
        <v>3625.09</v>
      </c>
      <c r="H14" s="17">
        <f>SUMIF(I$12:AB$12,"总值",I14:AB14)</f>
        <v>3625.09</v>
      </c>
      <c r="I14" s="1625">
        <f t="shared" ref="I14:I22" si="7">B14-K14</f>
        <v>3625.09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3625.09</v>
      </c>
      <c r="AX14" s="8" t="str">
        <f t="shared" si="6"/>
        <v>2号楼</v>
      </c>
      <c r="AY14" s="1348">
        <f>ROUND($AY$6*AZ14/$AZ$5,2)</f>
        <v>2024.35</v>
      </c>
      <c r="AZ14" s="13">
        <f>BA14+BL14</f>
        <v>3625.09</v>
      </c>
      <c r="BA14" s="13">
        <f>SUM(BB14:BK14)</f>
        <v>3625.09</v>
      </c>
      <c r="BB14" s="13">
        <f>IF($D14="是",I14-J14,0)</f>
        <v>3625.09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v>3625.09</v>
      </c>
      <c r="C15" s="1051" t="s">
        <v>3390</v>
      </c>
      <c r="D15" s="1624" t="s">
        <v>3388</v>
      </c>
      <c r="E15" s="13">
        <f>IF($C$3="是",ROUND($A$3*G15/$B$3,2),ROUND($A$3*(G15-AT15)/$B$3,2))</f>
        <v>2024.35</v>
      </c>
      <c r="F15" s="29"/>
      <c r="G15" s="30">
        <f>H15+AC15+AT15</f>
        <v>3625.09</v>
      </c>
      <c r="H15" s="17">
        <f>SUMIF(I$12:AB$12,"总值",I15:AB15)</f>
        <v>3625.09</v>
      </c>
      <c r="I15" s="1625">
        <f t="shared" si="7"/>
        <v>3625.09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3625.09</v>
      </c>
      <c r="AX15" s="8" t="str">
        <f t="shared" si="6"/>
        <v>3号楼</v>
      </c>
      <c r="AY15" s="1348">
        <f>ROUND($AY$6*AZ15/$AZ$5,2)</f>
        <v>2024.35</v>
      </c>
      <c r="AZ15" s="13">
        <f>BA15+BL15</f>
        <v>3625.09</v>
      </c>
      <c r="BA15" s="13">
        <f>SUM(BB15:BK15)</f>
        <v>3625.09</v>
      </c>
      <c r="BB15" s="13">
        <f>IF($D15="是",I15-J15,0)</f>
        <v>3625.09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v>3709.79</v>
      </c>
      <c r="C16" s="1051" t="s">
        <v>3391</v>
      </c>
      <c r="D16" s="1624" t="s">
        <v>3388</v>
      </c>
      <c r="E16" s="13">
        <f>IF($C$3="是",ROUND($A$3*G16/$B$3,2),ROUND($A$3*(G16-AT16)/$B$3,2))</f>
        <v>2071.65</v>
      </c>
      <c r="F16" s="29"/>
      <c r="G16" s="30">
        <f>H16+AC16+AT16</f>
        <v>3709.79</v>
      </c>
      <c r="H16" s="17">
        <f>SUMIF(I$12:AB$12,"总值",I16:AB16)</f>
        <v>3709.79</v>
      </c>
      <c r="I16" s="1625">
        <f t="shared" si="7"/>
        <v>3709.79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3709.79</v>
      </c>
      <c r="AX16" s="8" t="str">
        <f t="shared" si="6"/>
        <v>4号楼</v>
      </c>
      <c r="AY16" s="1348">
        <f>ROUND($AY$6*AZ16/$AZ$5,2)</f>
        <v>2071.65</v>
      </c>
      <c r="AZ16" s="13">
        <f>BA16+BL16</f>
        <v>3709.79</v>
      </c>
      <c r="BA16" s="13">
        <f>SUM(BB16:BK16)</f>
        <v>3709.79</v>
      </c>
      <c r="BB16" s="13">
        <f>IF($D16="是",I16-J16,0)</f>
        <v>3709.79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v>4060.42</v>
      </c>
      <c r="C17" s="1051" t="s">
        <v>3392</v>
      </c>
      <c r="D17" s="1624" t="s">
        <v>3388</v>
      </c>
      <c r="E17" s="13">
        <f>IF($C$3="是",ROUND($A$3*G17/$B$3,2),ROUND($A$3*(G17-AT17)/$B$3,2))</f>
        <v>2267.4499999999998</v>
      </c>
      <c r="F17" s="29"/>
      <c r="G17" s="30">
        <f>H17+AC17+AT17</f>
        <v>4060.42</v>
      </c>
      <c r="H17" s="17">
        <f>SUMIF(I$12:AB$12,"总值",I17:AB17)</f>
        <v>4060.42</v>
      </c>
      <c r="I17" s="1625">
        <f t="shared" si="7"/>
        <v>4060.42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4060.42</v>
      </c>
      <c r="AX17" s="8" t="str">
        <f t="shared" si="6"/>
        <v>5号楼</v>
      </c>
      <c r="AY17" s="1348">
        <f>ROUND($AY$6*AZ17/$AZ$5,2)</f>
        <v>2267.4499999999998</v>
      </c>
      <c r="AZ17" s="13">
        <f>BA17+BL17</f>
        <v>4060.42</v>
      </c>
      <c r="BA17" s="13">
        <f>SUM(BB17:BK17)</f>
        <v>4060.42</v>
      </c>
      <c r="BB17" s="13">
        <f>IF($D17="是",I17-J17,0)</f>
        <v>4060.42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v>5454.14</v>
      </c>
      <c r="C18" s="1051" t="s">
        <v>3393</v>
      </c>
      <c r="D18" s="1624" t="s">
        <v>3388</v>
      </c>
      <c r="E18" s="32">
        <f t="shared" ref="E18:E112" si="8">IF($C$3="是",ROUND($A$3*G18/$B$3,2),ROUND($A$3*(G18-AT18)/$B$3,2))</f>
        <v>3045.74</v>
      </c>
      <c r="F18" s="33"/>
      <c r="G18" s="34">
        <f t="shared" ref="G18:G109" si="9">H18+AC18+AT18</f>
        <v>5454.14</v>
      </c>
      <c r="H18" s="35">
        <f t="shared" ref="H18:H109" si="10">SUMIF(I$12:AB$12,"总值",I18:AB18)</f>
        <v>5454.14</v>
      </c>
      <c r="I18" s="1625">
        <f t="shared" si="7"/>
        <v>5454.14</v>
      </c>
      <c r="J18" s="36"/>
      <c r="K18" s="1625"/>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2">A18</f>
        <v>0</v>
      </c>
      <c r="AW18" s="1342">
        <f t="shared" ref="AW18:AW112" si="13">B18</f>
        <v>5454.14</v>
      </c>
      <c r="AX18" s="1342" t="str">
        <f t="shared" ref="AX18:AX112" si="14">C18</f>
        <v>6号楼</v>
      </c>
      <c r="AY18" s="39">
        <f t="shared" ref="AY18:AY109" si="15">ROUND($AY$6*AZ18/$AZ$5,2)</f>
        <v>3045.74</v>
      </c>
      <c r="AZ18" s="32">
        <f t="shared" ref="AZ18:AZ109" si="16">BA18+BL18</f>
        <v>5454.14</v>
      </c>
      <c r="BA18" s="32">
        <f t="shared" ref="BA18:BA109" si="17">SUM(BB18:BK18)</f>
        <v>5454.14</v>
      </c>
      <c r="BB18" s="32">
        <f t="shared" ref="BB18:BB109" si="18">IF($D18="是",I18-J18,0)</f>
        <v>5454.14</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40">
        <f t="shared" ref="BT18:BT109" si="36">IF($D18="是",AR18-AS18,0)</f>
        <v>0</v>
      </c>
    </row>
    <row r="19" spans="1:72">
      <c r="A19" s="6"/>
      <c r="B19" s="1051">
        <v>3755.07</v>
      </c>
      <c r="C19" s="1051" t="s">
        <v>3394</v>
      </c>
      <c r="D19" s="1624" t="s">
        <v>3388</v>
      </c>
      <c r="E19" s="32">
        <f t="shared" si="8"/>
        <v>2096.9299999999998</v>
      </c>
      <c r="F19" s="33"/>
      <c r="G19" s="34">
        <f t="shared" si="9"/>
        <v>3755.07</v>
      </c>
      <c r="H19" s="35">
        <f t="shared" si="10"/>
        <v>3755.07</v>
      </c>
      <c r="I19" s="1625">
        <f t="shared" si="7"/>
        <v>3755.07</v>
      </c>
      <c r="J19" s="36"/>
      <c r="K19" s="1625"/>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0"/>
      <c r="AV19" s="1342">
        <f t="shared" si="12"/>
        <v>0</v>
      </c>
      <c r="AW19" s="1342">
        <f t="shared" si="13"/>
        <v>3755.07</v>
      </c>
      <c r="AX19" s="1342" t="str">
        <f t="shared" si="14"/>
        <v>7号楼</v>
      </c>
      <c r="AY19" s="39">
        <f t="shared" si="15"/>
        <v>2096.9299999999998</v>
      </c>
      <c r="AZ19" s="32">
        <f t="shared" si="16"/>
        <v>3755.07</v>
      </c>
      <c r="BA19" s="32">
        <f t="shared" si="17"/>
        <v>3755.07</v>
      </c>
      <c r="BB19" s="32">
        <f t="shared" si="18"/>
        <v>3755.07</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40">
        <f t="shared" si="36"/>
        <v>0</v>
      </c>
    </row>
    <row r="20" spans="1:72" ht="15" customHeight="1">
      <c r="A20" s="6"/>
      <c r="B20" s="1051">
        <v>3783.33</v>
      </c>
      <c r="C20" s="1051" t="s">
        <v>3395</v>
      </c>
      <c r="D20" s="1624" t="s">
        <v>3388</v>
      </c>
      <c r="E20" s="32">
        <f t="shared" si="8"/>
        <v>2112.71</v>
      </c>
      <c r="F20" s="33"/>
      <c r="G20" s="34">
        <f t="shared" si="9"/>
        <v>3783.33</v>
      </c>
      <c r="H20" s="35">
        <f t="shared" si="10"/>
        <v>3783.33</v>
      </c>
      <c r="I20" s="1625">
        <f t="shared" si="7"/>
        <v>3783.33</v>
      </c>
      <c r="J20" s="36"/>
      <c r="K20" s="1625"/>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0"/>
      <c r="AV20" s="1342">
        <f t="shared" si="12"/>
        <v>0</v>
      </c>
      <c r="AW20" s="1342">
        <f t="shared" si="13"/>
        <v>3783.33</v>
      </c>
      <c r="AX20" s="1342" t="str">
        <f t="shared" si="14"/>
        <v>8号楼</v>
      </c>
      <c r="AY20" s="39">
        <f t="shared" si="15"/>
        <v>2112.71</v>
      </c>
      <c r="AZ20" s="32">
        <f t="shared" si="16"/>
        <v>3783.33</v>
      </c>
      <c r="BA20" s="32">
        <f t="shared" si="17"/>
        <v>3783.33</v>
      </c>
      <c r="BB20" s="32">
        <f t="shared" si="18"/>
        <v>3783.33</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40">
        <f t="shared" si="36"/>
        <v>0</v>
      </c>
    </row>
    <row r="21" spans="1:72">
      <c r="A21" s="6"/>
      <c r="B21" s="1051">
        <v>3727.07</v>
      </c>
      <c r="C21" s="1051" t="s">
        <v>3396</v>
      </c>
      <c r="D21" s="1624" t="s">
        <v>3388</v>
      </c>
      <c r="E21" s="32">
        <f t="shared" si="8"/>
        <v>2081.3000000000002</v>
      </c>
      <c r="F21" s="33"/>
      <c r="G21" s="34">
        <f t="shared" si="9"/>
        <v>3727.07</v>
      </c>
      <c r="H21" s="35">
        <f t="shared" si="10"/>
        <v>3727.07</v>
      </c>
      <c r="I21" s="1625">
        <f t="shared" si="7"/>
        <v>3727.07</v>
      </c>
      <c r="J21" s="36"/>
      <c r="K21" s="1625"/>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0"/>
      <c r="AV21" s="1342">
        <f t="shared" si="12"/>
        <v>0</v>
      </c>
      <c r="AW21" s="1342">
        <f t="shared" si="13"/>
        <v>3727.07</v>
      </c>
      <c r="AX21" s="1342" t="str">
        <f t="shared" si="14"/>
        <v>9号楼</v>
      </c>
      <c r="AY21" s="39">
        <f t="shared" si="15"/>
        <v>2081.3000000000002</v>
      </c>
      <c r="AZ21" s="32">
        <f t="shared" si="16"/>
        <v>3727.07</v>
      </c>
      <c r="BA21" s="32">
        <f t="shared" si="17"/>
        <v>3727.07</v>
      </c>
      <c r="BB21" s="32">
        <f t="shared" si="18"/>
        <v>3727.07</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40">
        <f t="shared" si="36"/>
        <v>0</v>
      </c>
    </row>
    <row r="22" spans="1:72">
      <c r="A22" s="6"/>
      <c r="B22" s="1051">
        <v>3721.07</v>
      </c>
      <c r="C22" s="1051" t="s">
        <v>3397</v>
      </c>
      <c r="D22" s="1624" t="s">
        <v>3388</v>
      </c>
      <c r="E22" s="32">
        <f t="shared" si="8"/>
        <v>2077.9499999999998</v>
      </c>
      <c r="F22" s="33"/>
      <c r="G22" s="34">
        <f t="shared" si="9"/>
        <v>3721.07</v>
      </c>
      <c r="H22" s="35">
        <f t="shared" si="10"/>
        <v>3721.07</v>
      </c>
      <c r="I22" s="1625">
        <f t="shared" si="7"/>
        <v>3721.07</v>
      </c>
      <c r="J22" s="36"/>
      <c r="K22" s="1625"/>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0"/>
      <c r="AV22" s="1342">
        <f t="shared" si="12"/>
        <v>0</v>
      </c>
      <c r="AW22" s="1342">
        <f t="shared" si="13"/>
        <v>3721.07</v>
      </c>
      <c r="AX22" s="1342" t="str">
        <f t="shared" si="14"/>
        <v>10号楼</v>
      </c>
      <c r="AY22" s="39">
        <f t="shared" si="15"/>
        <v>2077.9499999999998</v>
      </c>
      <c r="AZ22" s="32">
        <f t="shared" si="16"/>
        <v>3721.07</v>
      </c>
      <c r="BA22" s="32">
        <f t="shared" si="17"/>
        <v>3721.07</v>
      </c>
      <c r="BB22" s="32">
        <f t="shared" si="18"/>
        <v>3721.07</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40">
        <f t="shared" si="36"/>
        <v>0</v>
      </c>
    </row>
    <row r="23" spans="1:72">
      <c r="A23" s="6"/>
      <c r="B23" s="1051">
        <v>19508.41</v>
      </c>
      <c r="C23" s="1051" t="s">
        <v>3398</v>
      </c>
      <c r="D23" s="1624" t="s">
        <v>3388</v>
      </c>
      <c r="E23" s="32">
        <f t="shared" si="8"/>
        <v>10894.02</v>
      </c>
      <c r="F23" s="33"/>
      <c r="G23" s="34">
        <f t="shared" si="9"/>
        <v>19508.41</v>
      </c>
      <c r="H23" s="35">
        <f t="shared" si="10"/>
        <v>19508.41</v>
      </c>
      <c r="I23" s="1625"/>
      <c r="J23" s="36"/>
      <c r="K23" s="1625">
        <f>B23</f>
        <v>19508.41</v>
      </c>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0"/>
      <c r="AV23" s="1342">
        <f t="shared" si="12"/>
        <v>0</v>
      </c>
      <c r="AW23" s="1342">
        <f t="shared" si="13"/>
        <v>19508.41</v>
      </c>
      <c r="AX23" s="1342" t="str">
        <f t="shared" si="14"/>
        <v>11号楼</v>
      </c>
      <c r="AY23" s="39">
        <f t="shared" si="15"/>
        <v>10894.02</v>
      </c>
      <c r="AZ23" s="32">
        <f t="shared" si="16"/>
        <v>19508.41</v>
      </c>
      <c r="BA23" s="32">
        <f t="shared" si="17"/>
        <v>19508.41</v>
      </c>
      <c r="BB23" s="32">
        <f t="shared" si="18"/>
        <v>0</v>
      </c>
      <c r="BC23" s="32">
        <f t="shared" si="19"/>
        <v>19508.41</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40">
        <f t="shared" si="36"/>
        <v>0</v>
      </c>
    </row>
    <row r="24" spans="1:72">
      <c r="A24" s="6"/>
      <c r="B24" s="31"/>
      <c r="C24" s="31"/>
      <c r="D24" s="1629"/>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0"/>
      <c r="AV24" s="1342">
        <f t="shared" si="12"/>
        <v>0</v>
      </c>
      <c r="AW24" s="1342">
        <f t="shared" si="13"/>
        <v>0</v>
      </c>
      <c r="AX24" s="1342">
        <f t="shared" si="14"/>
        <v>0</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40">
        <f t="shared" si="36"/>
        <v>0</v>
      </c>
    </row>
    <row r="25" spans="1:72">
      <c r="A25" s="6"/>
      <c r="B25" s="31"/>
      <c r="C25" s="31"/>
      <c r="D25" s="1629"/>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0"/>
      <c r="AV25" s="1342">
        <f t="shared" si="12"/>
        <v>0</v>
      </c>
      <c r="AW25" s="1342">
        <f t="shared" si="13"/>
        <v>0</v>
      </c>
      <c r="AX25" s="1342">
        <f t="shared" si="14"/>
        <v>0</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40">
        <f t="shared" si="36"/>
        <v>0</v>
      </c>
    </row>
    <row r="26" spans="1:72">
      <c r="A26" s="6"/>
      <c r="B26" s="31"/>
      <c r="C26" s="31"/>
      <c r="D26" s="1629"/>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0"/>
      <c r="AV26" s="1342">
        <f t="shared" si="12"/>
        <v>0</v>
      </c>
      <c r="AW26" s="1342">
        <f t="shared" si="13"/>
        <v>0</v>
      </c>
      <c r="AX26" s="1342">
        <f t="shared" si="14"/>
        <v>0</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40">
        <f t="shared" si="36"/>
        <v>0</v>
      </c>
    </row>
    <row r="27" spans="1:72">
      <c r="A27" s="6"/>
      <c r="B27" s="31"/>
      <c r="C27" s="31"/>
      <c r="D27" s="1629"/>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0"/>
      <c r="AV27" s="1342">
        <f t="shared" si="12"/>
        <v>0</v>
      </c>
      <c r="AW27" s="1342">
        <f t="shared" si="13"/>
        <v>0</v>
      </c>
      <c r="AX27" s="1342">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40">
        <f t="shared" si="36"/>
        <v>0</v>
      </c>
    </row>
    <row r="28" spans="1:72">
      <c r="A28" s="6"/>
      <c r="B28" s="31"/>
      <c r="C28" s="31"/>
      <c r="D28" s="1629"/>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0"/>
      <c r="AV28" s="1342">
        <f t="shared" si="12"/>
        <v>0</v>
      </c>
      <c r="AW28" s="1342">
        <f t="shared" si="13"/>
        <v>0</v>
      </c>
      <c r="AX28" s="1342">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40">
        <f t="shared" si="36"/>
        <v>0</v>
      </c>
    </row>
    <row r="29" spans="1:72">
      <c r="A29" s="6"/>
      <c r="B29" s="31"/>
      <c r="C29" s="31"/>
      <c r="D29" s="1629"/>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0"/>
      <c r="AV29" s="1342">
        <f t="shared" si="12"/>
        <v>0</v>
      </c>
      <c r="AW29" s="1342">
        <f t="shared" si="13"/>
        <v>0</v>
      </c>
      <c r="AX29" s="1342">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40">
        <f t="shared" si="36"/>
        <v>0</v>
      </c>
    </row>
    <row r="30" spans="1:72">
      <c r="A30" s="6"/>
      <c r="B30" s="31"/>
      <c r="C30" s="31"/>
      <c r="D30" s="1629"/>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0"/>
      <c r="AV30" s="1342">
        <f t="shared" si="12"/>
        <v>0</v>
      </c>
      <c r="AW30" s="1342">
        <f t="shared" si="13"/>
        <v>0</v>
      </c>
      <c r="AX30" s="1342">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40">
        <f t="shared" si="36"/>
        <v>0</v>
      </c>
    </row>
    <row r="31" spans="1:72">
      <c r="A31" s="6"/>
      <c r="B31" s="31"/>
      <c r="C31" s="31"/>
      <c r="D31" s="1629"/>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0"/>
      <c r="AV31" s="1342">
        <f t="shared" si="12"/>
        <v>0</v>
      </c>
      <c r="AW31" s="1342">
        <f t="shared" si="13"/>
        <v>0</v>
      </c>
      <c r="AX31" s="1342">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40">
        <f t="shared" si="36"/>
        <v>0</v>
      </c>
    </row>
    <row r="32" spans="1:72">
      <c r="A32" s="6"/>
      <c r="B32" s="31"/>
      <c r="C32" s="31"/>
      <c r="D32" s="1629"/>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0"/>
      <c r="AV32" s="1342">
        <f t="shared" si="12"/>
        <v>0</v>
      </c>
      <c r="AW32" s="1342">
        <f t="shared" si="13"/>
        <v>0</v>
      </c>
      <c r="AX32" s="1342">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40">
        <f t="shared" si="36"/>
        <v>0</v>
      </c>
    </row>
    <row r="33" spans="1:72">
      <c r="A33" s="6"/>
      <c r="B33" s="31"/>
      <c r="C33" s="31"/>
      <c r="D33" s="1629"/>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0"/>
      <c r="AV33" s="1342">
        <f t="shared" si="12"/>
        <v>0</v>
      </c>
      <c r="AW33" s="1342">
        <f t="shared" si="13"/>
        <v>0</v>
      </c>
      <c r="AX33" s="1342">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40">
        <f t="shared" si="36"/>
        <v>0</v>
      </c>
    </row>
    <row r="34" spans="1:72">
      <c r="A34" s="6"/>
      <c r="B34" s="31"/>
      <c r="C34" s="31"/>
      <c r="D34" s="1629"/>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0"/>
      <c r="AV34" s="1342">
        <f t="shared" si="12"/>
        <v>0</v>
      </c>
      <c r="AW34" s="1342">
        <f t="shared" si="13"/>
        <v>0</v>
      </c>
      <c r="AX34" s="1342">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40">
        <f t="shared" si="36"/>
        <v>0</v>
      </c>
    </row>
    <row r="35" spans="1:72">
      <c r="A35" s="6"/>
      <c r="B35" s="31"/>
      <c r="C35" s="31"/>
      <c r="D35" s="1629"/>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0"/>
      <c r="AV35" s="1342">
        <f t="shared" si="12"/>
        <v>0</v>
      </c>
      <c r="AW35" s="1342">
        <f t="shared" si="13"/>
        <v>0</v>
      </c>
      <c r="AX35" s="1342">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40">
        <f t="shared" si="36"/>
        <v>0</v>
      </c>
    </row>
    <row r="36" spans="1:72">
      <c r="A36" s="6"/>
      <c r="B36" s="31"/>
      <c r="C36" s="31"/>
      <c r="D36" s="1629"/>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0"/>
      <c r="AV36" s="1342">
        <f t="shared" si="12"/>
        <v>0</v>
      </c>
      <c r="AW36" s="1342">
        <f t="shared" si="13"/>
        <v>0</v>
      </c>
      <c r="AX36" s="1342">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40">
        <f t="shared" si="36"/>
        <v>0</v>
      </c>
    </row>
    <row r="37" spans="1:72">
      <c r="A37" s="6"/>
      <c r="B37" s="31"/>
      <c r="C37" s="31"/>
      <c r="D37" s="1629"/>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0"/>
      <c r="AV37" s="1342">
        <f t="shared" si="12"/>
        <v>0</v>
      </c>
      <c r="AW37" s="1342">
        <f t="shared" si="13"/>
        <v>0</v>
      </c>
      <c r="AX37" s="1342">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40">
        <f t="shared" si="36"/>
        <v>0</v>
      </c>
    </row>
    <row r="38" spans="1:72">
      <c r="A38" s="6"/>
      <c r="B38" s="31"/>
      <c r="C38" s="31"/>
      <c r="D38" s="1629"/>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0"/>
      <c r="AV38" s="1342">
        <f t="shared" si="12"/>
        <v>0</v>
      </c>
      <c r="AW38" s="1342">
        <f t="shared" si="13"/>
        <v>0</v>
      </c>
      <c r="AX38" s="1342">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40">
        <f t="shared" si="36"/>
        <v>0</v>
      </c>
    </row>
    <row r="39" spans="1:72">
      <c r="A39" s="6"/>
      <c r="B39" s="31"/>
      <c r="C39" s="31"/>
      <c r="D39" s="1629"/>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0"/>
      <c r="AV39" s="1342">
        <f t="shared" si="12"/>
        <v>0</v>
      </c>
      <c r="AW39" s="1342">
        <f t="shared" si="13"/>
        <v>0</v>
      </c>
      <c r="AX39" s="1342">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40">
        <f t="shared" si="36"/>
        <v>0</v>
      </c>
    </row>
    <row r="40" spans="1:72">
      <c r="A40" s="6"/>
      <c r="B40" s="31"/>
      <c r="C40" s="31"/>
      <c r="D40" s="1629"/>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0"/>
      <c r="AV40" s="1342">
        <f t="shared" si="12"/>
        <v>0</v>
      </c>
      <c r="AW40" s="1342">
        <f t="shared" si="13"/>
        <v>0</v>
      </c>
      <c r="AX40" s="1342">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40">
        <f t="shared" si="36"/>
        <v>0</v>
      </c>
    </row>
    <row r="41" spans="1:72">
      <c r="A41" s="6"/>
      <c r="B41" s="31"/>
      <c r="C41" s="31"/>
      <c r="D41" s="1629"/>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0"/>
      <c r="AV41" s="1342">
        <f t="shared" si="12"/>
        <v>0</v>
      </c>
      <c r="AW41" s="1342">
        <f t="shared" si="13"/>
        <v>0</v>
      </c>
      <c r="AX41" s="1342">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40">
        <f t="shared" si="36"/>
        <v>0</v>
      </c>
    </row>
    <row r="42" spans="1:72">
      <c r="A42" s="6"/>
      <c r="B42" s="31"/>
      <c r="C42" s="31"/>
      <c r="D42" s="1629"/>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0"/>
      <c r="AV42" s="1342">
        <f t="shared" si="12"/>
        <v>0</v>
      </c>
      <c r="AW42" s="1342">
        <f t="shared" si="13"/>
        <v>0</v>
      </c>
      <c r="AX42" s="1342">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40">
        <f t="shared" si="36"/>
        <v>0</v>
      </c>
    </row>
    <row r="43" spans="1:72">
      <c r="A43" s="6"/>
      <c r="B43" s="31"/>
      <c r="C43" s="31"/>
      <c r="D43" s="1629"/>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0"/>
      <c r="AV43" s="1342">
        <f t="shared" si="12"/>
        <v>0</v>
      </c>
      <c r="AW43" s="1342">
        <f t="shared" si="13"/>
        <v>0</v>
      </c>
      <c r="AX43" s="1342">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40">
        <f t="shared" si="36"/>
        <v>0</v>
      </c>
    </row>
    <row r="44" spans="1:72">
      <c r="A44" s="6"/>
      <c r="B44" s="31"/>
      <c r="C44" s="31"/>
      <c r="D44" s="1629"/>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0"/>
      <c r="AV44" s="1342">
        <f t="shared" si="12"/>
        <v>0</v>
      </c>
      <c r="AW44" s="1342">
        <f t="shared" si="13"/>
        <v>0</v>
      </c>
      <c r="AX44" s="1342">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40">
        <f t="shared" si="36"/>
        <v>0</v>
      </c>
    </row>
    <row r="45" spans="1:72">
      <c r="A45" s="6"/>
      <c r="B45" s="31"/>
      <c r="C45" s="31"/>
      <c r="D45" s="1629"/>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0"/>
      <c r="AV45" s="1342">
        <f t="shared" si="12"/>
        <v>0</v>
      </c>
      <c r="AW45" s="1342">
        <f t="shared" si="13"/>
        <v>0</v>
      </c>
      <c r="AX45" s="1342">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40">
        <f t="shared" si="36"/>
        <v>0</v>
      </c>
    </row>
    <row r="46" spans="1:72">
      <c r="A46" s="6"/>
      <c r="B46" s="31"/>
      <c r="C46" s="31"/>
      <c r="D46" s="1629"/>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0"/>
      <c r="AV46" s="1342">
        <f t="shared" si="12"/>
        <v>0</v>
      </c>
      <c r="AW46" s="1342">
        <f t="shared" si="13"/>
        <v>0</v>
      </c>
      <c r="AX46" s="1342">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40">
        <f t="shared" si="36"/>
        <v>0</v>
      </c>
    </row>
    <row r="47" spans="1:72">
      <c r="A47" s="6"/>
      <c r="B47" s="31"/>
      <c r="C47" s="31"/>
      <c r="D47" s="1629"/>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0"/>
      <c r="AV47" s="1342">
        <f t="shared" si="12"/>
        <v>0</v>
      </c>
      <c r="AW47" s="1342">
        <f t="shared" si="13"/>
        <v>0</v>
      </c>
      <c r="AX47" s="1342">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40">
        <f t="shared" si="36"/>
        <v>0</v>
      </c>
    </row>
    <row r="48" spans="1:72">
      <c r="A48" s="6"/>
      <c r="B48" s="31"/>
      <c r="C48" s="31"/>
      <c r="D48" s="1629"/>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0"/>
      <c r="AV48" s="1342">
        <f t="shared" si="12"/>
        <v>0</v>
      </c>
      <c r="AW48" s="1342">
        <f t="shared" si="13"/>
        <v>0</v>
      </c>
      <c r="AX48" s="1342">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40">
        <f t="shared" si="36"/>
        <v>0</v>
      </c>
    </row>
    <row r="49" spans="1:72">
      <c r="A49" s="6"/>
      <c r="B49" s="31"/>
      <c r="C49" s="31"/>
      <c r="D49" s="1629"/>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0"/>
      <c r="AV49" s="1342">
        <f t="shared" si="12"/>
        <v>0</v>
      </c>
      <c r="AW49" s="1342">
        <f t="shared" si="13"/>
        <v>0</v>
      </c>
      <c r="AX49" s="1342">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40">
        <f t="shared" si="36"/>
        <v>0</v>
      </c>
    </row>
    <row r="50" spans="1:72">
      <c r="A50" s="6"/>
      <c r="B50" s="31"/>
      <c r="C50" s="31"/>
      <c r="D50" s="1629"/>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0"/>
      <c r="AV50" s="1342">
        <f t="shared" si="12"/>
        <v>0</v>
      </c>
      <c r="AW50" s="1342">
        <f t="shared" si="13"/>
        <v>0</v>
      </c>
      <c r="AX50" s="1342">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40">
        <f t="shared" si="36"/>
        <v>0</v>
      </c>
    </row>
    <row r="51" spans="1:72">
      <c r="A51" s="6"/>
      <c r="B51" s="31"/>
      <c r="C51" s="31"/>
      <c r="D51" s="1629"/>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0"/>
      <c r="AV51" s="1342">
        <f t="shared" si="12"/>
        <v>0</v>
      </c>
      <c r="AW51" s="1342">
        <f t="shared" si="13"/>
        <v>0</v>
      </c>
      <c r="AX51" s="1342">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40">
        <f t="shared" si="36"/>
        <v>0</v>
      </c>
    </row>
    <row r="52" spans="1:72">
      <c r="A52" s="6"/>
      <c r="B52" s="31"/>
      <c r="C52" s="31"/>
      <c r="D52" s="1629"/>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0"/>
      <c r="AV52" s="1342">
        <f t="shared" si="12"/>
        <v>0</v>
      </c>
      <c r="AW52" s="1342">
        <f t="shared" si="13"/>
        <v>0</v>
      </c>
      <c r="AX52" s="1342">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40">
        <f t="shared" si="36"/>
        <v>0</v>
      </c>
    </row>
    <row r="53" spans="1:72">
      <c r="A53" s="6"/>
      <c r="B53" s="31"/>
      <c r="C53" s="31"/>
      <c r="D53" s="1629"/>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0"/>
      <c r="AV53" s="1342">
        <f t="shared" si="12"/>
        <v>0</v>
      </c>
      <c r="AW53" s="1342">
        <f t="shared" si="13"/>
        <v>0</v>
      </c>
      <c r="AX53" s="1342">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40">
        <f t="shared" si="36"/>
        <v>0</v>
      </c>
    </row>
    <row r="54" spans="1:72">
      <c r="A54" s="6"/>
      <c r="B54" s="31"/>
      <c r="C54" s="31"/>
      <c r="D54" s="1629"/>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0"/>
      <c r="AV54" s="1342">
        <f t="shared" si="12"/>
        <v>0</v>
      </c>
      <c r="AW54" s="1342">
        <f t="shared" si="13"/>
        <v>0</v>
      </c>
      <c r="AX54" s="1342">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40">
        <f t="shared" si="36"/>
        <v>0</v>
      </c>
    </row>
    <row r="55" spans="1:72">
      <c r="A55" s="6"/>
      <c r="B55" s="31"/>
      <c r="C55" s="31"/>
      <c r="D55" s="1629"/>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0"/>
      <c r="AV55" s="1342">
        <f t="shared" si="12"/>
        <v>0</v>
      </c>
      <c r="AW55" s="1342">
        <f t="shared" si="13"/>
        <v>0</v>
      </c>
      <c r="AX55" s="1342">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40">
        <f t="shared" si="36"/>
        <v>0</v>
      </c>
    </row>
    <row r="56" spans="1:72">
      <c r="A56" s="6"/>
      <c r="B56" s="31"/>
      <c r="C56" s="31"/>
      <c r="D56" s="1629"/>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0"/>
      <c r="AV56" s="1342">
        <f t="shared" si="12"/>
        <v>0</v>
      </c>
      <c r="AW56" s="1342">
        <f t="shared" si="13"/>
        <v>0</v>
      </c>
      <c r="AX56" s="1342">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40">
        <f t="shared" si="36"/>
        <v>0</v>
      </c>
    </row>
    <row r="57" spans="1:72">
      <c r="A57" s="6"/>
      <c r="B57" s="31"/>
      <c r="C57" s="31"/>
      <c r="D57" s="1629"/>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0"/>
      <c r="AV57" s="1342">
        <f t="shared" si="12"/>
        <v>0</v>
      </c>
      <c r="AW57" s="1342">
        <f t="shared" si="13"/>
        <v>0</v>
      </c>
      <c r="AX57" s="1342">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40">
        <f t="shared" si="36"/>
        <v>0</v>
      </c>
    </row>
    <row r="58" spans="1:72">
      <c r="A58" s="6"/>
      <c r="B58" s="31"/>
      <c r="C58" s="31"/>
      <c r="D58" s="1629"/>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0"/>
      <c r="AV58" s="1342">
        <f t="shared" si="12"/>
        <v>0</v>
      </c>
      <c r="AW58" s="1342">
        <f t="shared" si="13"/>
        <v>0</v>
      </c>
      <c r="AX58" s="1342">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40">
        <f t="shared" si="36"/>
        <v>0</v>
      </c>
    </row>
    <row r="59" spans="1:72">
      <c r="A59" s="6"/>
      <c r="B59" s="31"/>
      <c r="C59" s="31"/>
      <c r="D59" s="1629"/>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0"/>
      <c r="AV59" s="1342">
        <f t="shared" si="12"/>
        <v>0</v>
      </c>
      <c r="AW59" s="1342">
        <f t="shared" si="13"/>
        <v>0</v>
      </c>
      <c r="AX59" s="1342">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40">
        <f t="shared" si="36"/>
        <v>0</v>
      </c>
    </row>
    <row r="60" spans="1:72">
      <c r="A60" s="6"/>
      <c r="B60" s="31"/>
      <c r="C60" s="31"/>
      <c r="D60" s="1629"/>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0"/>
      <c r="AV60" s="1342">
        <f t="shared" si="12"/>
        <v>0</v>
      </c>
      <c r="AW60" s="1342">
        <f t="shared" si="13"/>
        <v>0</v>
      </c>
      <c r="AX60" s="1342">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40">
        <f t="shared" si="36"/>
        <v>0</v>
      </c>
    </row>
    <row r="61" spans="1:72">
      <c r="A61" s="6"/>
      <c r="B61" s="31"/>
      <c r="C61" s="31"/>
      <c r="D61" s="1629"/>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0"/>
      <c r="AV61" s="1342">
        <f t="shared" si="12"/>
        <v>0</v>
      </c>
      <c r="AW61" s="1342">
        <f t="shared" si="13"/>
        <v>0</v>
      </c>
      <c r="AX61" s="1342">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40">
        <f t="shared" si="36"/>
        <v>0</v>
      </c>
    </row>
    <row r="62" spans="1:72">
      <c r="A62" s="6"/>
      <c r="B62" s="31"/>
      <c r="C62" s="31"/>
      <c r="D62" s="1629"/>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0"/>
      <c r="AV62" s="1342">
        <f t="shared" si="12"/>
        <v>0</v>
      </c>
      <c r="AW62" s="1342">
        <f t="shared" si="13"/>
        <v>0</v>
      </c>
      <c r="AX62" s="1342">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40">
        <f t="shared" si="36"/>
        <v>0</v>
      </c>
    </row>
    <row r="63" spans="1:72">
      <c r="A63" s="6"/>
      <c r="B63" s="31"/>
      <c r="C63" s="31"/>
      <c r="D63" s="1629"/>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0"/>
      <c r="AV63" s="1342">
        <f t="shared" si="12"/>
        <v>0</v>
      </c>
      <c r="AW63" s="1342">
        <f t="shared" si="13"/>
        <v>0</v>
      </c>
      <c r="AX63" s="1342">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40">
        <f t="shared" si="36"/>
        <v>0</v>
      </c>
    </row>
    <row r="64" spans="1:72">
      <c r="A64" s="6"/>
      <c r="B64" s="31"/>
      <c r="C64" s="31"/>
      <c r="D64" s="1629"/>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0"/>
      <c r="AV64" s="1342">
        <f t="shared" si="12"/>
        <v>0</v>
      </c>
      <c r="AW64" s="1342">
        <f t="shared" si="13"/>
        <v>0</v>
      </c>
      <c r="AX64" s="1342">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40">
        <f t="shared" si="36"/>
        <v>0</v>
      </c>
    </row>
    <row r="65" spans="1:72">
      <c r="A65" s="6"/>
      <c r="B65" s="31"/>
      <c r="C65" s="31"/>
      <c r="D65" s="1629"/>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0"/>
      <c r="AV65" s="1342">
        <f t="shared" si="12"/>
        <v>0</v>
      </c>
      <c r="AW65" s="1342">
        <f t="shared" si="13"/>
        <v>0</v>
      </c>
      <c r="AX65" s="1342">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40">
        <f t="shared" si="36"/>
        <v>0</v>
      </c>
    </row>
    <row r="66" spans="1:72">
      <c r="A66" s="6"/>
      <c r="B66" s="31"/>
      <c r="C66" s="31"/>
      <c r="D66" s="1629"/>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0"/>
      <c r="AV66" s="1342">
        <f t="shared" si="12"/>
        <v>0</v>
      </c>
      <c r="AW66" s="1342">
        <f t="shared" si="13"/>
        <v>0</v>
      </c>
      <c r="AX66" s="1342">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40">
        <f t="shared" si="36"/>
        <v>0</v>
      </c>
    </row>
    <row r="67" spans="1:72">
      <c r="A67" s="6"/>
      <c r="B67" s="31"/>
      <c r="C67" s="31"/>
      <c r="D67" s="1629"/>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0"/>
      <c r="AV67" s="1342">
        <f t="shared" si="12"/>
        <v>0</v>
      </c>
      <c r="AW67" s="1342">
        <f t="shared" si="13"/>
        <v>0</v>
      </c>
      <c r="AX67" s="1342">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40">
        <f t="shared" si="36"/>
        <v>0</v>
      </c>
    </row>
    <row r="68" spans="1:72">
      <c r="A68" s="6"/>
      <c r="B68" s="31"/>
      <c r="C68" s="31"/>
      <c r="D68" s="1629"/>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0"/>
      <c r="AV68" s="1342">
        <f t="shared" si="12"/>
        <v>0</v>
      </c>
      <c r="AW68" s="1342">
        <f t="shared" si="13"/>
        <v>0</v>
      </c>
      <c r="AX68" s="1342">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40">
        <f t="shared" si="36"/>
        <v>0</v>
      </c>
    </row>
    <row r="69" spans="1:72">
      <c r="A69" s="6"/>
      <c r="B69" s="31"/>
      <c r="C69" s="31"/>
      <c r="D69" s="1629"/>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0"/>
      <c r="AV69" s="1342">
        <f t="shared" si="12"/>
        <v>0</v>
      </c>
      <c r="AW69" s="1342">
        <f t="shared" si="13"/>
        <v>0</v>
      </c>
      <c r="AX69" s="1342">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40">
        <f t="shared" si="36"/>
        <v>0</v>
      </c>
    </row>
    <row r="70" spans="1:72">
      <c r="A70" s="6"/>
      <c r="B70" s="31"/>
      <c r="C70" s="31"/>
      <c r="D70" s="1629"/>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0"/>
      <c r="AV70" s="1342">
        <f t="shared" si="12"/>
        <v>0</v>
      </c>
      <c r="AW70" s="1342">
        <f t="shared" si="13"/>
        <v>0</v>
      </c>
      <c r="AX70" s="1342">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40">
        <f t="shared" si="36"/>
        <v>0</v>
      </c>
    </row>
    <row r="71" spans="1:72">
      <c r="A71" s="6"/>
      <c r="B71" s="31"/>
      <c r="C71" s="31"/>
      <c r="D71" s="1629"/>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0"/>
      <c r="AV71" s="1342">
        <f t="shared" si="12"/>
        <v>0</v>
      </c>
      <c r="AW71" s="1342">
        <f t="shared" si="13"/>
        <v>0</v>
      </c>
      <c r="AX71" s="1342">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40">
        <f t="shared" si="36"/>
        <v>0</v>
      </c>
    </row>
    <row r="72" spans="1:72">
      <c r="A72" s="6"/>
      <c r="B72" s="31"/>
      <c r="C72" s="31"/>
      <c r="D72" s="1629"/>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0"/>
      <c r="AV72" s="1342">
        <f t="shared" si="12"/>
        <v>0</v>
      </c>
      <c r="AW72" s="1342">
        <f t="shared" si="13"/>
        <v>0</v>
      </c>
      <c r="AX72" s="1342">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40">
        <f t="shared" si="36"/>
        <v>0</v>
      </c>
    </row>
    <row r="73" spans="1:72">
      <c r="A73" s="6"/>
      <c r="B73" s="31"/>
      <c r="C73" s="31"/>
      <c r="D73" s="1629"/>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0"/>
      <c r="AV73" s="1342">
        <f t="shared" si="12"/>
        <v>0</v>
      </c>
      <c r="AW73" s="1342">
        <f t="shared" si="13"/>
        <v>0</v>
      </c>
      <c r="AX73" s="1342">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40">
        <f t="shared" si="36"/>
        <v>0</v>
      </c>
    </row>
    <row r="74" spans="1:72">
      <c r="A74" s="6"/>
      <c r="B74" s="31"/>
      <c r="C74" s="31"/>
      <c r="D74" s="1629"/>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0"/>
      <c r="AV74" s="1342">
        <f t="shared" si="12"/>
        <v>0</v>
      </c>
      <c r="AW74" s="1342">
        <f t="shared" si="13"/>
        <v>0</v>
      </c>
      <c r="AX74" s="1342">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40">
        <f t="shared" si="36"/>
        <v>0</v>
      </c>
    </row>
    <row r="75" spans="1:72">
      <c r="A75" s="6"/>
      <c r="B75" s="31"/>
      <c r="C75" s="31"/>
      <c r="D75" s="1629"/>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0"/>
      <c r="AV75" s="1342">
        <f t="shared" si="12"/>
        <v>0</v>
      </c>
      <c r="AW75" s="1342">
        <f t="shared" si="13"/>
        <v>0</v>
      </c>
      <c r="AX75" s="1342">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40">
        <f t="shared" si="36"/>
        <v>0</v>
      </c>
    </row>
    <row r="76" spans="1:72">
      <c r="A76" s="6"/>
      <c r="B76" s="31"/>
      <c r="C76" s="31"/>
      <c r="D76" s="1629"/>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0"/>
      <c r="AV76" s="1342">
        <f t="shared" si="12"/>
        <v>0</v>
      </c>
      <c r="AW76" s="1342">
        <f t="shared" si="13"/>
        <v>0</v>
      </c>
      <c r="AX76" s="1342">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40">
        <f t="shared" si="36"/>
        <v>0</v>
      </c>
    </row>
    <row r="77" spans="1:72">
      <c r="A77" s="6"/>
      <c r="B77" s="31"/>
      <c r="C77" s="31"/>
      <c r="D77" s="1629"/>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0"/>
      <c r="AV77" s="1342">
        <f t="shared" si="12"/>
        <v>0</v>
      </c>
      <c r="AW77" s="1342">
        <f t="shared" si="13"/>
        <v>0</v>
      </c>
      <c r="AX77" s="1342">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40">
        <f t="shared" si="36"/>
        <v>0</v>
      </c>
    </row>
    <row r="78" spans="1:72">
      <c r="A78" s="6"/>
      <c r="B78" s="31"/>
      <c r="C78" s="31"/>
      <c r="D78" s="1629"/>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0"/>
      <c r="AV78" s="1342">
        <f t="shared" si="12"/>
        <v>0</v>
      </c>
      <c r="AW78" s="1342">
        <f t="shared" si="13"/>
        <v>0</v>
      </c>
      <c r="AX78" s="1342">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40">
        <f t="shared" si="36"/>
        <v>0</v>
      </c>
    </row>
    <row r="79" spans="1:72">
      <c r="A79" s="6"/>
      <c r="B79" s="31"/>
      <c r="C79" s="31"/>
      <c r="D79" s="1629"/>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0"/>
      <c r="AV79" s="1342">
        <f t="shared" si="12"/>
        <v>0</v>
      </c>
      <c r="AW79" s="1342">
        <f t="shared" si="13"/>
        <v>0</v>
      </c>
      <c r="AX79" s="1342">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40">
        <f t="shared" si="36"/>
        <v>0</v>
      </c>
    </row>
    <row r="80" spans="1:72">
      <c r="A80" s="6"/>
      <c r="B80" s="31"/>
      <c r="C80" s="31"/>
      <c r="D80" s="1629"/>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0"/>
      <c r="AV80" s="1342">
        <f t="shared" si="12"/>
        <v>0</v>
      </c>
      <c r="AW80" s="1342">
        <f t="shared" si="13"/>
        <v>0</v>
      </c>
      <c r="AX80" s="1342">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40">
        <f t="shared" si="36"/>
        <v>0</v>
      </c>
    </row>
    <row r="81" spans="1:72">
      <c r="A81" s="6"/>
      <c r="B81" s="31"/>
      <c r="C81" s="31"/>
      <c r="D81" s="1629"/>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0"/>
      <c r="AV81" s="1342">
        <f t="shared" si="12"/>
        <v>0</v>
      </c>
      <c r="AW81" s="1342">
        <f t="shared" si="13"/>
        <v>0</v>
      </c>
      <c r="AX81" s="1342">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40">
        <f t="shared" si="36"/>
        <v>0</v>
      </c>
    </row>
    <row r="82" spans="1:72">
      <c r="A82" s="6"/>
      <c r="B82" s="31"/>
      <c r="C82" s="31"/>
      <c r="D82" s="1629"/>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0"/>
      <c r="AV82" s="1342">
        <f t="shared" si="12"/>
        <v>0</v>
      </c>
      <c r="AW82" s="1342">
        <f t="shared" si="13"/>
        <v>0</v>
      </c>
      <c r="AX82" s="1342">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40">
        <f t="shared" si="36"/>
        <v>0</v>
      </c>
    </row>
    <row r="83" spans="1:72">
      <c r="A83" s="6"/>
      <c r="B83" s="31"/>
      <c r="C83" s="31"/>
      <c r="D83" s="1629"/>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0"/>
      <c r="AV83" s="1342">
        <f t="shared" si="12"/>
        <v>0</v>
      </c>
      <c r="AW83" s="1342">
        <f t="shared" si="13"/>
        <v>0</v>
      </c>
      <c r="AX83" s="1342">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40">
        <f t="shared" si="36"/>
        <v>0</v>
      </c>
    </row>
    <row r="84" spans="1:72">
      <c r="A84" s="6"/>
      <c r="B84" s="31"/>
      <c r="C84" s="31"/>
      <c r="D84" s="1629"/>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0"/>
      <c r="AV84" s="1342">
        <f t="shared" si="12"/>
        <v>0</v>
      </c>
      <c r="AW84" s="1342">
        <f t="shared" si="13"/>
        <v>0</v>
      </c>
      <c r="AX84" s="1342">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40">
        <f t="shared" si="36"/>
        <v>0</v>
      </c>
    </row>
    <row r="85" spans="1:72">
      <c r="A85" s="6"/>
      <c r="B85" s="31"/>
      <c r="C85" s="31"/>
      <c r="D85" s="1629"/>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0"/>
      <c r="AV85" s="1342">
        <f t="shared" si="12"/>
        <v>0</v>
      </c>
      <c r="AW85" s="1342">
        <f t="shared" si="13"/>
        <v>0</v>
      </c>
      <c r="AX85" s="1342">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40">
        <f t="shared" si="36"/>
        <v>0</v>
      </c>
    </row>
    <row r="86" spans="1:72">
      <c r="A86" s="6"/>
      <c r="B86" s="31"/>
      <c r="C86" s="31"/>
      <c r="D86" s="1629"/>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0"/>
      <c r="AV86" s="1342">
        <f t="shared" si="12"/>
        <v>0</v>
      </c>
      <c r="AW86" s="1342">
        <f t="shared" si="13"/>
        <v>0</v>
      </c>
      <c r="AX86" s="1342">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40">
        <f t="shared" si="36"/>
        <v>0</v>
      </c>
    </row>
    <row r="87" spans="1:72">
      <c r="A87" s="6"/>
      <c r="B87" s="31"/>
      <c r="C87" s="31"/>
      <c r="D87" s="1629"/>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0"/>
      <c r="AV87" s="1342">
        <f t="shared" si="12"/>
        <v>0</v>
      </c>
      <c r="AW87" s="1342">
        <f t="shared" si="13"/>
        <v>0</v>
      </c>
      <c r="AX87" s="1342">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40">
        <f t="shared" si="36"/>
        <v>0</v>
      </c>
    </row>
    <row r="88" spans="1:72">
      <c r="A88" s="6"/>
      <c r="B88" s="31"/>
      <c r="C88" s="31"/>
      <c r="D88" s="1629"/>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0"/>
      <c r="AV88" s="1342">
        <f t="shared" si="12"/>
        <v>0</v>
      </c>
      <c r="AW88" s="1342">
        <f t="shared" si="13"/>
        <v>0</v>
      </c>
      <c r="AX88" s="1342">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40">
        <f t="shared" si="36"/>
        <v>0</v>
      </c>
    </row>
    <row r="89" spans="1:72">
      <c r="A89" s="6"/>
      <c r="B89" s="31"/>
      <c r="C89" s="31"/>
      <c r="D89" s="1629"/>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0"/>
      <c r="AV89" s="1342">
        <f t="shared" si="12"/>
        <v>0</v>
      </c>
      <c r="AW89" s="1342">
        <f t="shared" si="13"/>
        <v>0</v>
      </c>
      <c r="AX89" s="1342">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40">
        <f t="shared" si="36"/>
        <v>0</v>
      </c>
    </row>
    <row r="90" spans="1:72">
      <c r="A90" s="6"/>
      <c r="B90" s="31"/>
      <c r="C90" s="31"/>
      <c r="D90" s="1629"/>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0"/>
      <c r="AV90" s="1342">
        <f t="shared" si="12"/>
        <v>0</v>
      </c>
      <c r="AW90" s="1342">
        <f t="shared" si="13"/>
        <v>0</v>
      </c>
      <c r="AX90" s="1342">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40">
        <f t="shared" si="36"/>
        <v>0</v>
      </c>
    </row>
    <row r="91" spans="1:72">
      <c r="A91" s="6"/>
      <c r="B91" s="31"/>
      <c r="C91" s="31"/>
      <c r="D91" s="1629"/>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0"/>
      <c r="AV91" s="1342">
        <f t="shared" si="12"/>
        <v>0</v>
      </c>
      <c r="AW91" s="1342">
        <f t="shared" si="13"/>
        <v>0</v>
      </c>
      <c r="AX91" s="1342">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40">
        <f t="shared" si="36"/>
        <v>0</v>
      </c>
    </row>
    <row r="92" spans="1:72">
      <c r="A92" s="6"/>
      <c r="B92" s="31"/>
      <c r="C92" s="31"/>
      <c r="D92" s="1629"/>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0"/>
      <c r="AV92" s="1342">
        <f t="shared" si="12"/>
        <v>0</v>
      </c>
      <c r="AW92" s="1342">
        <f t="shared" si="13"/>
        <v>0</v>
      </c>
      <c r="AX92" s="1342">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40">
        <f t="shared" si="36"/>
        <v>0</v>
      </c>
    </row>
    <row r="93" spans="1:72">
      <c r="A93" s="6"/>
      <c r="B93" s="31"/>
      <c r="C93" s="31"/>
      <c r="D93" s="1629"/>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0"/>
      <c r="AV93" s="1342">
        <f t="shared" si="12"/>
        <v>0</v>
      </c>
      <c r="AW93" s="1342">
        <f t="shared" si="13"/>
        <v>0</v>
      </c>
      <c r="AX93" s="1342">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40">
        <f t="shared" si="36"/>
        <v>0</v>
      </c>
    </row>
    <row r="94" spans="1:72">
      <c r="A94" s="6"/>
      <c r="B94" s="31"/>
      <c r="C94" s="31"/>
      <c r="D94" s="1629"/>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0"/>
      <c r="AV94" s="1342">
        <f t="shared" si="12"/>
        <v>0</v>
      </c>
      <c r="AW94" s="1342">
        <f t="shared" si="13"/>
        <v>0</v>
      </c>
      <c r="AX94" s="1342">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40">
        <f t="shared" si="36"/>
        <v>0</v>
      </c>
    </row>
    <row r="95" spans="1:72">
      <c r="A95" s="6"/>
      <c r="B95" s="31"/>
      <c r="C95" s="31"/>
      <c r="D95" s="1629"/>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0"/>
      <c r="AV95" s="1342">
        <f t="shared" si="12"/>
        <v>0</v>
      </c>
      <c r="AW95" s="1342">
        <f t="shared" si="13"/>
        <v>0</v>
      </c>
      <c r="AX95" s="1342">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40">
        <f t="shared" si="36"/>
        <v>0</v>
      </c>
    </row>
    <row r="96" spans="1:72">
      <c r="A96" s="6"/>
      <c r="B96" s="31"/>
      <c r="C96" s="31"/>
      <c r="D96" s="1629"/>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0"/>
      <c r="AV96" s="1342">
        <f t="shared" si="12"/>
        <v>0</v>
      </c>
      <c r="AW96" s="1342">
        <f t="shared" si="13"/>
        <v>0</v>
      </c>
      <c r="AX96" s="1342">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40">
        <f t="shared" si="36"/>
        <v>0</v>
      </c>
    </row>
    <row r="97" spans="1:72">
      <c r="A97" s="6"/>
      <c r="B97" s="31"/>
      <c r="C97" s="31"/>
      <c r="D97" s="1629"/>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0"/>
      <c r="AV97" s="1342">
        <f t="shared" si="12"/>
        <v>0</v>
      </c>
      <c r="AW97" s="1342">
        <f t="shared" si="13"/>
        <v>0</v>
      </c>
      <c r="AX97" s="1342">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40">
        <f t="shared" si="36"/>
        <v>0</v>
      </c>
    </row>
    <row r="98" spans="1:72">
      <c r="A98" s="6"/>
      <c r="B98" s="31"/>
      <c r="C98" s="31"/>
      <c r="D98" s="1629"/>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0"/>
      <c r="AV98" s="1342">
        <f t="shared" si="12"/>
        <v>0</v>
      </c>
      <c r="AW98" s="1342">
        <f t="shared" si="13"/>
        <v>0</v>
      </c>
      <c r="AX98" s="1342">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40">
        <f t="shared" si="36"/>
        <v>0</v>
      </c>
    </row>
    <row r="99" spans="1:72">
      <c r="A99" s="6"/>
      <c r="B99" s="31"/>
      <c r="C99" s="31"/>
      <c r="D99" s="1629"/>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0"/>
      <c r="AV99" s="1342">
        <f t="shared" si="12"/>
        <v>0</v>
      </c>
      <c r="AW99" s="1342">
        <f t="shared" si="13"/>
        <v>0</v>
      </c>
      <c r="AX99" s="1342">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40">
        <f t="shared" si="36"/>
        <v>0</v>
      </c>
    </row>
    <row r="100" spans="1:72">
      <c r="A100" s="6"/>
      <c r="B100" s="31"/>
      <c r="C100" s="31"/>
      <c r="D100" s="1629"/>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0"/>
      <c r="AV100" s="1342">
        <f t="shared" si="12"/>
        <v>0</v>
      </c>
      <c r="AW100" s="1342">
        <f t="shared" si="13"/>
        <v>0</v>
      </c>
      <c r="AX100" s="1342">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40">
        <f t="shared" si="36"/>
        <v>0</v>
      </c>
    </row>
    <row r="101" spans="1:72">
      <c r="A101" s="6"/>
      <c r="B101" s="31"/>
      <c r="C101" s="31"/>
      <c r="D101" s="1629"/>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0"/>
      <c r="AV101" s="1342">
        <f t="shared" si="12"/>
        <v>0</v>
      </c>
      <c r="AW101" s="1342">
        <f t="shared" si="13"/>
        <v>0</v>
      </c>
      <c r="AX101" s="1342">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40">
        <f t="shared" si="36"/>
        <v>0</v>
      </c>
    </row>
    <row r="102" spans="1:72">
      <c r="A102" s="6"/>
      <c r="B102" s="31"/>
      <c r="C102" s="31"/>
      <c r="D102" s="1629"/>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0"/>
      <c r="AV102" s="1342">
        <f t="shared" si="12"/>
        <v>0</v>
      </c>
      <c r="AW102" s="1342">
        <f t="shared" si="13"/>
        <v>0</v>
      </c>
      <c r="AX102" s="1342">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40">
        <f t="shared" si="36"/>
        <v>0</v>
      </c>
    </row>
    <row r="103" spans="1:72">
      <c r="A103" s="6"/>
      <c r="B103" s="31"/>
      <c r="C103" s="31"/>
      <c r="D103" s="1629"/>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0"/>
      <c r="AV103" s="1342">
        <f t="shared" si="12"/>
        <v>0</v>
      </c>
      <c r="AW103" s="1342">
        <f t="shared" si="13"/>
        <v>0</v>
      </c>
      <c r="AX103" s="1342">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40">
        <f t="shared" si="36"/>
        <v>0</v>
      </c>
    </row>
    <row r="104" spans="1:72">
      <c r="A104" s="6"/>
      <c r="B104" s="31"/>
      <c r="C104" s="31"/>
      <c r="D104" s="1629"/>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0"/>
      <c r="AV104" s="1342">
        <f t="shared" si="12"/>
        <v>0</v>
      </c>
      <c r="AW104" s="1342">
        <f t="shared" si="13"/>
        <v>0</v>
      </c>
      <c r="AX104" s="1342">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40">
        <f t="shared" si="36"/>
        <v>0</v>
      </c>
    </row>
    <row r="105" spans="1:72">
      <c r="A105" s="6"/>
      <c r="B105" s="31"/>
      <c r="C105" s="31"/>
      <c r="D105" s="1629"/>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0"/>
      <c r="AV105" s="1342">
        <f t="shared" si="12"/>
        <v>0</v>
      </c>
      <c r="AW105" s="1342">
        <f t="shared" si="13"/>
        <v>0</v>
      </c>
      <c r="AX105" s="1342">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40">
        <f t="shared" si="36"/>
        <v>0</v>
      </c>
    </row>
    <row r="106" spans="1:72">
      <c r="A106" s="6"/>
      <c r="B106" s="31"/>
      <c r="C106" s="31"/>
      <c r="D106" s="1629"/>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0"/>
      <c r="AV106" s="1342">
        <f t="shared" si="12"/>
        <v>0</v>
      </c>
      <c r="AW106" s="1342">
        <f t="shared" si="13"/>
        <v>0</v>
      </c>
      <c r="AX106" s="1342">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40">
        <f t="shared" si="36"/>
        <v>0</v>
      </c>
    </row>
    <row r="107" spans="1:72">
      <c r="A107" s="6"/>
      <c r="B107" s="31"/>
      <c r="C107" s="31"/>
      <c r="D107" s="1629"/>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0"/>
      <c r="AV107" s="1342">
        <f t="shared" si="12"/>
        <v>0</v>
      </c>
      <c r="AW107" s="1342">
        <f t="shared" si="13"/>
        <v>0</v>
      </c>
      <c r="AX107" s="1342">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40">
        <f t="shared" si="36"/>
        <v>0</v>
      </c>
    </row>
    <row r="108" spans="1:72">
      <c r="A108" s="6"/>
      <c r="B108" s="31"/>
      <c r="C108" s="31"/>
      <c r="D108" s="1629"/>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0"/>
      <c r="AV108" s="1342">
        <f t="shared" si="12"/>
        <v>0</v>
      </c>
      <c r="AW108" s="1342">
        <f t="shared" si="13"/>
        <v>0</v>
      </c>
      <c r="AX108" s="1342">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40">
        <f t="shared" si="36"/>
        <v>0</v>
      </c>
    </row>
    <row r="109" spans="1:72">
      <c r="A109" s="6"/>
      <c r="B109" s="31"/>
      <c r="C109" s="31"/>
      <c r="D109" s="1629"/>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0"/>
      <c r="AV109" s="1342">
        <f t="shared" si="12"/>
        <v>0</v>
      </c>
      <c r="AW109" s="1342">
        <f t="shared" si="13"/>
        <v>0</v>
      </c>
      <c r="AX109" s="1342">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40">
        <f t="shared" si="36"/>
        <v>0</v>
      </c>
    </row>
    <row r="110" spans="1:72">
      <c r="A110" s="6"/>
      <c r="B110" s="6"/>
      <c r="C110" s="6"/>
      <c r="D110" s="1629"/>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2"/>
        <v>0</v>
      </c>
      <c r="AW110" s="1342">
        <f t="shared" si="13"/>
        <v>0</v>
      </c>
      <c r="AX110" s="1342">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29"/>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0"/>
      <c r="AV111" s="1342">
        <f t="shared" si="12"/>
        <v>0</v>
      </c>
      <c r="AW111" s="1342">
        <f t="shared" si="13"/>
        <v>0</v>
      </c>
      <c r="AX111" s="1342">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29"/>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0"/>
      <c r="AV112" s="1342">
        <f t="shared" si="12"/>
        <v>0</v>
      </c>
      <c r="AW112" s="1342">
        <f t="shared" si="13"/>
        <v>0</v>
      </c>
      <c r="AX112" s="1342">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29"/>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3">A113</f>
        <v>0</v>
      </c>
      <c r="AW113" s="1342">
        <f t="shared" ref="AW113:AW144" si="64">B113</f>
        <v>0</v>
      </c>
      <c r="AX113" s="1342">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29"/>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0"/>
      <c r="AV114" s="1342">
        <f t="shared" si="63"/>
        <v>0</v>
      </c>
      <c r="AW114" s="1342">
        <f t="shared" si="64"/>
        <v>0</v>
      </c>
      <c r="AX114" s="1342">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29"/>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0"/>
      <c r="AV115" s="1342">
        <f t="shared" si="63"/>
        <v>0</v>
      </c>
      <c r="AW115" s="1342">
        <f t="shared" si="64"/>
        <v>0</v>
      </c>
      <c r="AX115" s="1342">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29"/>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0"/>
      <c r="AV116" s="1342">
        <f t="shared" si="63"/>
        <v>0</v>
      </c>
      <c r="AW116" s="1342">
        <f t="shared" si="64"/>
        <v>0</v>
      </c>
      <c r="AX116" s="1342">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29"/>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0"/>
      <c r="AV117" s="1342">
        <f t="shared" si="63"/>
        <v>0</v>
      </c>
      <c r="AW117" s="1342">
        <f t="shared" si="64"/>
        <v>0</v>
      </c>
      <c r="AX117" s="1342">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29"/>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0"/>
      <c r="AV118" s="1342">
        <f t="shared" si="63"/>
        <v>0</v>
      </c>
      <c r="AW118" s="1342">
        <f t="shared" si="64"/>
        <v>0</v>
      </c>
      <c r="AX118" s="1342">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29"/>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0"/>
      <c r="AV119" s="1342">
        <f t="shared" si="63"/>
        <v>0</v>
      </c>
      <c r="AW119" s="1342">
        <f t="shared" si="64"/>
        <v>0</v>
      </c>
      <c r="AX119" s="1342">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29"/>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0"/>
      <c r="AV120" s="1342">
        <f t="shared" si="63"/>
        <v>0</v>
      </c>
      <c r="AW120" s="1342">
        <f t="shared" si="64"/>
        <v>0</v>
      </c>
      <c r="AX120" s="1342">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29"/>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0"/>
      <c r="AV121" s="1342">
        <f t="shared" si="63"/>
        <v>0</v>
      </c>
      <c r="AW121" s="1342">
        <f t="shared" si="64"/>
        <v>0</v>
      </c>
      <c r="AX121" s="1342">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29"/>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0"/>
      <c r="AV122" s="1342">
        <f t="shared" si="63"/>
        <v>0</v>
      </c>
      <c r="AW122" s="1342">
        <f t="shared" si="64"/>
        <v>0</v>
      </c>
      <c r="AX122" s="1342">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29"/>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0"/>
      <c r="AV123" s="1342">
        <f t="shared" si="63"/>
        <v>0</v>
      </c>
      <c r="AW123" s="1342">
        <f t="shared" si="64"/>
        <v>0</v>
      </c>
      <c r="AX123" s="1342">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29"/>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0"/>
      <c r="AV124" s="1342">
        <f t="shared" si="63"/>
        <v>0</v>
      </c>
      <c r="AW124" s="1342">
        <f t="shared" si="64"/>
        <v>0</v>
      </c>
      <c r="AX124" s="1342">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29"/>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0"/>
      <c r="AV125" s="1342">
        <f t="shared" si="63"/>
        <v>0</v>
      </c>
      <c r="AW125" s="1342">
        <f t="shared" si="64"/>
        <v>0</v>
      </c>
      <c r="AX125" s="1342">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29"/>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0"/>
      <c r="AV126" s="1342">
        <f t="shared" si="63"/>
        <v>0</v>
      </c>
      <c r="AW126" s="1342">
        <f t="shared" si="64"/>
        <v>0</v>
      </c>
      <c r="AX126" s="1342">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29"/>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0"/>
      <c r="AV127" s="1342">
        <f t="shared" si="63"/>
        <v>0</v>
      </c>
      <c r="AW127" s="1342">
        <f t="shared" si="64"/>
        <v>0</v>
      </c>
      <c r="AX127" s="1342">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29"/>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0"/>
      <c r="AV128" s="1342">
        <f t="shared" si="63"/>
        <v>0</v>
      </c>
      <c r="AW128" s="1342">
        <f t="shared" si="64"/>
        <v>0</v>
      </c>
      <c r="AX128" s="1342">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29"/>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0"/>
      <c r="AV129" s="1342">
        <f t="shared" si="63"/>
        <v>0</v>
      </c>
      <c r="AW129" s="1342">
        <f t="shared" si="64"/>
        <v>0</v>
      </c>
      <c r="AX129" s="1342">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29"/>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0"/>
      <c r="AV130" s="1342">
        <f t="shared" si="63"/>
        <v>0</v>
      </c>
      <c r="AW130" s="1342">
        <f t="shared" si="64"/>
        <v>0</v>
      </c>
      <c r="AX130" s="1342">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29"/>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0"/>
      <c r="AV131" s="1342">
        <f t="shared" si="63"/>
        <v>0</v>
      </c>
      <c r="AW131" s="1342">
        <f t="shared" si="64"/>
        <v>0</v>
      </c>
      <c r="AX131" s="1342">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29"/>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0"/>
      <c r="AV132" s="1342">
        <f t="shared" si="63"/>
        <v>0</v>
      </c>
      <c r="AW132" s="1342">
        <f t="shared" si="64"/>
        <v>0</v>
      </c>
      <c r="AX132" s="1342">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29"/>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0"/>
      <c r="AV133" s="1342">
        <f t="shared" si="63"/>
        <v>0</v>
      </c>
      <c r="AW133" s="1342">
        <f t="shared" si="64"/>
        <v>0</v>
      </c>
      <c r="AX133" s="1342">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29"/>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0"/>
      <c r="AV134" s="1342">
        <f t="shared" si="63"/>
        <v>0</v>
      </c>
      <c r="AW134" s="1342">
        <f t="shared" si="64"/>
        <v>0</v>
      </c>
      <c r="AX134" s="1342">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29"/>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0"/>
      <c r="AV135" s="1342">
        <f t="shared" si="63"/>
        <v>0</v>
      </c>
      <c r="AW135" s="1342">
        <f t="shared" si="64"/>
        <v>0</v>
      </c>
      <c r="AX135" s="1342">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29"/>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0"/>
      <c r="AV136" s="1342">
        <f t="shared" si="63"/>
        <v>0</v>
      </c>
      <c r="AW136" s="1342">
        <f t="shared" si="64"/>
        <v>0</v>
      </c>
      <c r="AX136" s="1342">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29"/>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0"/>
      <c r="AV137" s="1342">
        <f t="shared" si="63"/>
        <v>0</v>
      </c>
      <c r="AW137" s="1342">
        <f t="shared" si="64"/>
        <v>0</v>
      </c>
      <c r="AX137" s="1342">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29"/>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0"/>
      <c r="AV138" s="1342">
        <f t="shared" si="63"/>
        <v>0</v>
      </c>
      <c r="AW138" s="1342">
        <f t="shared" si="64"/>
        <v>0</v>
      </c>
      <c r="AX138" s="1342">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29"/>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0"/>
      <c r="AV139" s="1342">
        <f t="shared" si="63"/>
        <v>0</v>
      </c>
      <c r="AW139" s="1342">
        <f t="shared" si="64"/>
        <v>0</v>
      </c>
      <c r="AX139" s="1342">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29"/>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0"/>
      <c r="AV140" s="1342">
        <f t="shared" si="63"/>
        <v>0</v>
      </c>
      <c r="AW140" s="1342">
        <f t="shared" si="64"/>
        <v>0</v>
      </c>
      <c r="AX140" s="1342">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29"/>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0"/>
      <c r="AV141" s="1342">
        <f t="shared" si="63"/>
        <v>0</v>
      </c>
      <c r="AW141" s="1342">
        <f t="shared" si="64"/>
        <v>0</v>
      </c>
      <c r="AX141" s="1342">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29"/>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3"/>
        <v>0</v>
      </c>
      <c r="AW142" s="1342">
        <f t="shared" si="64"/>
        <v>0</v>
      </c>
      <c r="AX142" s="1342">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29"/>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0"/>
      <c r="AV143" s="1342">
        <f t="shared" si="63"/>
        <v>0</v>
      </c>
      <c r="AW143" s="1342">
        <f t="shared" si="64"/>
        <v>0</v>
      </c>
      <c r="AX143" s="1342">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29"/>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0"/>
      <c r="AV144" s="1342">
        <f t="shared" si="63"/>
        <v>0</v>
      </c>
      <c r="AW144" s="1342">
        <f t="shared" si="64"/>
        <v>0</v>
      </c>
      <c r="AX144" s="1342">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29"/>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2">A145</f>
        <v>0</v>
      </c>
      <c r="AW145" s="1342">
        <f t="shared" ref="AW145:AW176" si="93">B145</f>
        <v>0</v>
      </c>
      <c r="AX145" s="1342">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29"/>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0"/>
      <c r="AV146" s="1342">
        <f t="shared" si="92"/>
        <v>0</v>
      </c>
      <c r="AW146" s="1342">
        <f t="shared" si="93"/>
        <v>0</v>
      </c>
      <c r="AX146" s="1342">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29"/>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0"/>
      <c r="AV147" s="1342">
        <f t="shared" si="92"/>
        <v>0</v>
      </c>
      <c r="AW147" s="1342">
        <f t="shared" si="93"/>
        <v>0</v>
      </c>
      <c r="AX147" s="1342">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29"/>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0"/>
      <c r="AV148" s="1342">
        <f t="shared" si="92"/>
        <v>0</v>
      </c>
      <c r="AW148" s="1342">
        <f t="shared" si="93"/>
        <v>0</v>
      </c>
      <c r="AX148" s="1342">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29"/>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0"/>
      <c r="AV149" s="1342">
        <f t="shared" si="92"/>
        <v>0</v>
      </c>
      <c r="AW149" s="1342">
        <f t="shared" si="93"/>
        <v>0</v>
      </c>
      <c r="AX149" s="1342">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29"/>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0"/>
      <c r="AV150" s="1342">
        <f t="shared" si="92"/>
        <v>0</v>
      </c>
      <c r="AW150" s="1342">
        <f t="shared" si="93"/>
        <v>0</v>
      </c>
      <c r="AX150" s="1342">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29"/>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0"/>
      <c r="AV151" s="1342">
        <f t="shared" si="92"/>
        <v>0</v>
      </c>
      <c r="AW151" s="1342">
        <f t="shared" si="93"/>
        <v>0</v>
      </c>
      <c r="AX151" s="1342">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29"/>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0"/>
      <c r="AV152" s="1342">
        <f t="shared" si="92"/>
        <v>0</v>
      </c>
      <c r="AW152" s="1342">
        <f t="shared" si="93"/>
        <v>0</v>
      </c>
      <c r="AX152" s="1342">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29"/>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0"/>
      <c r="AV153" s="1342">
        <f t="shared" si="92"/>
        <v>0</v>
      </c>
      <c r="AW153" s="1342">
        <f t="shared" si="93"/>
        <v>0</v>
      </c>
      <c r="AX153" s="1342">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29"/>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0"/>
      <c r="AV154" s="1342">
        <f t="shared" si="92"/>
        <v>0</v>
      </c>
      <c r="AW154" s="1342">
        <f t="shared" si="93"/>
        <v>0</v>
      </c>
      <c r="AX154" s="1342">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29"/>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0"/>
      <c r="AV155" s="1342">
        <f t="shared" si="92"/>
        <v>0</v>
      </c>
      <c r="AW155" s="1342">
        <f t="shared" si="93"/>
        <v>0</v>
      </c>
      <c r="AX155" s="1342">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29"/>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0"/>
      <c r="AV156" s="1342">
        <f t="shared" si="92"/>
        <v>0</v>
      </c>
      <c r="AW156" s="1342">
        <f t="shared" si="93"/>
        <v>0</v>
      </c>
      <c r="AX156" s="1342">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29"/>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0"/>
      <c r="AV157" s="1342">
        <f t="shared" si="92"/>
        <v>0</v>
      </c>
      <c r="AW157" s="1342">
        <f t="shared" si="93"/>
        <v>0</v>
      </c>
      <c r="AX157" s="1342">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29"/>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0"/>
      <c r="AV158" s="1342">
        <f t="shared" si="92"/>
        <v>0</v>
      </c>
      <c r="AW158" s="1342">
        <f t="shared" si="93"/>
        <v>0</v>
      </c>
      <c r="AX158" s="1342">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29"/>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0"/>
      <c r="AV159" s="1342">
        <f t="shared" si="92"/>
        <v>0</v>
      </c>
      <c r="AW159" s="1342">
        <f t="shared" si="93"/>
        <v>0</v>
      </c>
      <c r="AX159" s="1342">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29"/>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0"/>
      <c r="AV160" s="1342">
        <f t="shared" si="92"/>
        <v>0</v>
      </c>
      <c r="AW160" s="1342">
        <f t="shared" si="93"/>
        <v>0</v>
      </c>
      <c r="AX160" s="1342">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29"/>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0"/>
      <c r="AV161" s="1342">
        <f t="shared" si="92"/>
        <v>0</v>
      </c>
      <c r="AW161" s="1342">
        <f t="shared" si="93"/>
        <v>0</v>
      </c>
      <c r="AX161" s="1342">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29"/>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0"/>
      <c r="AV162" s="1342">
        <f t="shared" si="92"/>
        <v>0</v>
      </c>
      <c r="AW162" s="1342">
        <f t="shared" si="93"/>
        <v>0</v>
      </c>
      <c r="AX162" s="1342">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29"/>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0"/>
      <c r="AV163" s="1342">
        <f t="shared" si="92"/>
        <v>0</v>
      </c>
      <c r="AW163" s="1342">
        <f t="shared" si="93"/>
        <v>0</v>
      </c>
      <c r="AX163" s="1342">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29"/>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0"/>
      <c r="AV164" s="1342">
        <f t="shared" si="92"/>
        <v>0</v>
      </c>
      <c r="AW164" s="1342">
        <f t="shared" si="93"/>
        <v>0</v>
      </c>
      <c r="AX164" s="1342">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29"/>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0"/>
      <c r="AV165" s="1342">
        <f t="shared" si="92"/>
        <v>0</v>
      </c>
      <c r="AW165" s="1342">
        <f t="shared" si="93"/>
        <v>0</v>
      </c>
      <c r="AX165" s="1342">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29"/>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0"/>
      <c r="AV166" s="1342">
        <f t="shared" si="92"/>
        <v>0</v>
      </c>
      <c r="AW166" s="1342">
        <f t="shared" si="93"/>
        <v>0</v>
      </c>
      <c r="AX166" s="1342">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29"/>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0"/>
      <c r="AV167" s="1342">
        <f t="shared" si="92"/>
        <v>0</v>
      </c>
      <c r="AW167" s="1342">
        <f t="shared" si="93"/>
        <v>0</v>
      </c>
      <c r="AX167" s="1342">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29"/>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0"/>
      <c r="AV168" s="1342">
        <f t="shared" si="92"/>
        <v>0</v>
      </c>
      <c r="AW168" s="1342">
        <f t="shared" si="93"/>
        <v>0</v>
      </c>
      <c r="AX168" s="1342">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29"/>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0"/>
      <c r="AV169" s="1342">
        <f t="shared" si="92"/>
        <v>0</v>
      </c>
      <c r="AW169" s="1342">
        <f t="shared" si="93"/>
        <v>0</v>
      </c>
      <c r="AX169" s="1342">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29"/>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0"/>
      <c r="AV170" s="1342">
        <f t="shared" si="92"/>
        <v>0</v>
      </c>
      <c r="AW170" s="1342">
        <f t="shared" si="93"/>
        <v>0</v>
      </c>
      <c r="AX170" s="1342">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29"/>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0"/>
      <c r="AV171" s="1342">
        <f t="shared" si="92"/>
        <v>0</v>
      </c>
      <c r="AW171" s="1342">
        <f t="shared" si="93"/>
        <v>0</v>
      </c>
      <c r="AX171" s="1342">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29"/>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0"/>
      <c r="AV172" s="1342">
        <f t="shared" si="92"/>
        <v>0</v>
      </c>
      <c r="AW172" s="1342">
        <f t="shared" si="93"/>
        <v>0</v>
      </c>
      <c r="AX172" s="1342">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29"/>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0"/>
      <c r="AV173" s="1342">
        <f t="shared" si="92"/>
        <v>0</v>
      </c>
      <c r="AW173" s="1342">
        <f t="shared" si="93"/>
        <v>0</v>
      </c>
      <c r="AX173" s="1342">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29"/>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2"/>
        <v>0</v>
      </c>
      <c r="AW174" s="1342">
        <f t="shared" si="93"/>
        <v>0</v>
      </c>
      <c r="AX174" s="1342">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29"/>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0"/>
      <c r="AV175" s="1342">
        <f t="shared" si="92"/>
        <v>0</v>
      </c>
      <c r="AW175" s="1342">
        <f t="shared" si="93"/>
        <v>0</v>
      </c>
      <c r="AX175" s="1342">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29"/>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0"/>
      <c r="AV176" s="1342">
        <f t="shared" si="92"/>
        <v>0</v>
      </c>
      <c r="AW176" s="1342">
        <f t="shared" si="93"/>
        <v>0</v>
      </c>
      <c r="AX176" s="1342">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29"/>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1">A177</f>
        <v>0</v>
      </c>
      <c r="AW177" s="1342">
        <f t="shared" ref="AW177:AW207" si="122">B177</f>
        <v>0</v>
      </c>
      <c r="AX177" s="1342">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29"/>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0"/>
      <c r="AV178" s="1342">
        <f t="shared" si="121"/>
        <v>0</v>
      </c>
      <c r="AW178" s="1342">
        <f t="shared" si="122"/>
        <v>0</v>
      </c>
      <c r="AX178" s="1342">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29"/>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0"/>
      <c r="AV179" s="1342">
        <f t="shared" si="121"/>
        <v>0</v>
      </c>
      <c r="AW179" s="1342">
        <f t="shared" si="122"/>
        <v>0</v>
      </c>
      <c r="AX179" s="1342">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29"/>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0"/>
      <c r="AV180" s="1342">
        <f t="shared" si="121"/>
        <v>0</v>
      </c>
      <c r="AW180" s="1342">
        <f t="shared" si="122"/>
        <v>0</v>
      </c>
      <c r="AX180" s="1342">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29"/>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0"/>
      <c r="AV181" s="1342">
        <f t="shared" si="121"/>
        <v>0</v>
      </c>
      <c r="AW181" s="1342">
        <f t="shared" si="122"/>
        <v>0</v>
      </c>
      <c r="AX181" s="1342">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29"/>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0"/>
      <c r="AV182" s="1342">
        <f t="shared" si="121"/>
        <v>0</v>
      </c>
      <c r="AW182" s="1342">
        <f t="shared" si="122"/>
        <v>0</v>
      </c>
      <c r="AX182" s="1342">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29"/>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0"/>
      <c r="AV183" s="1342">
        <f t="shared" si="121"/>
        <v>0</v>
      </c>
      <c r="AW183" s="1342">
        <f t="shared" si="122"/>
        <v>0</v>
      </c>
      <c r="AX183" s="1342">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29"/>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0"/>
      <c r="AV184" s="1342">
        <f t="shared" si="121"/>
        <v>0</v>
      </c>
      <c r="AW184" s="1342">
        <f t="shared" si="122"/>
        <v>0</v>
      </c>
      <c r="AX184" s="1342">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29"/>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0"/>
      <c r="AV185" s="1342">
        <f t="shared" si="121"/>
        <v>0</v>
      </c>
      <c r="AW185" s="1342">
        <f t="shared" si="122"/>
        <v>0</v>
      </c>
      <c r="AX185" s="1342">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29"/>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0"/>
      <c r="AV186" s="1342">
        <f t="shared" si="121"/>
        <v>0</v>
      </c>
      <c r="AW186" s="1342">
        <f t="shared" si="122"/>
        <v>0</v>
      </c>
      <c r="AX186" s="1342">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29"/>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0"/>
      <c r="AV187" s="1342">
        <f t="shared" si="121"/>
        <v>0</v>
      </c>
      <c r="AW187" s="1342">
        <f t="shared" si="122"/>
        <v>0</v>
      </c>
      <c r="AX187" s="1342">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29"/>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0"/>
      <c r="AV188" s="1342">
        <f t="shared" si="121"/>
        <v>0</v>
      </c>
      <c r="AW188" s="1342">
        <f t="shared" si="122"/>
        <v>0</v>
      </c>
      <c r="AX188" s="1342">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29"/>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0"/>
      <c r="AV189" s="1342">
        <f t="shared" si="121"/>
        <v>0</v>
      </c>
      <c r="AW189" s="1342">
        <f t="shared" si="122"/>
        <v>0</v>
      </c>
      <c r="AX189" s="1342">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29"/>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0"/>
      <c r="AV190" s="1342">
        <f t="shared" si="121"/>
        <v>0</v>
      </c>
      <c r="AW190" s="1342">
        <f t="shared" si="122"/>
        <v>0</v>
      </c>
      <c r="AX190" s="1342">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29"/>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0"/>
      <c r="AV191" s="1342">
        <f t="shared" si="121"/>
        <v>0</v>
      </c>
      <c r="AW191" s="1342">
        <f t="shared" si="122"/>
        <v>0</v>
      </c>
      <c r="AX191" s="1342">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29"/>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0"/>
      <c r="AV192" s="1342">
        <f t="shared" si="121"/>
        <v>0</v>
      </c>
      <c r="AW192" s="1342">
        <f t="shared" si="122"/>
        <v>0</v>
      </c>
      <c r="AX192" s="1342">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29"/>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0"/>
      <c r="AV193" s="1342">
        <f t="shared" si="121"/>
        <v>0</v>
      </c>
      <c r="AW193" s="1342">
        <f t="shared" si="122"/>
        <v>0</v>
      </c>
      <c r="AX193" s="1342">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29"/>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0"/>
      <c r="AV194" s="1342">
        <f t="shared" si="121"/>
        <v>0</v>
      </c>
      <c r="AW194" s="1342">
        <f t="shared" si="122"/>
        <v>0</v>
      </c>
      <c r="AX194" s="1342">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29"/>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0"/>
      <c r="AV195" s="1342">
        <f t="shared" si="121"/>
        <v>0</v>
      </c>
      <c r="AW195" s="1342">
        <f t="shared" si="122"/>
        <v>0</v>
      </c>
      <c r="AX195" s="1342">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29"/>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0"/>
      <c r="AV196" s="1342">
        <f t="shared" si="121"/>
        <v>0</v>
      </c>
      <c r="AW196" s="1342">
        <f t="shared" si="122"/>
        <v>0</v>
      </c>
      <c r="AX196" s="1342">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29"/>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0"/>
      <c r="AV197" s="1342">
        <f t="shared" si="121"/>
        <v>0</v>
      </c>
      <c r="AW197" s="1342">
        <f t="shared" si="122"/>
        <v>0</v>
      </c>
      <c r="AX197" s="1342">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29"/>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0"/>
      <c r="AV198" s="1342">
        <f t="shared" si="121"/>
        <v>0</v>
      </c>
      <c r="AW198" s="1342">
        <f t="shared" si="122"/>
        <v>0</v>
      </c>
      <c r="AX198" s="1342">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29"/>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0"/>
      <c r="AV199" s="1342">
        <f t="shared" si="121"/>
        <v>0</v>
      </c>
      <c r="AW199" s="1342">
        <f t="shared" si="122"/>
        <v>0</v>
      </c>
      <c r="AX199" s="1342">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29"/>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0"/>
      <c r="AV200" s="1342">
        <f t="shared" si="121"/>
        <v>0</v>
      </c>
      <c r="AW200" s="1342">
        <f t="shared" si="122"/>
        <v>0</v>
      </c>
      <c r="AX200" s="1342">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29"/>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0"/>
      <c r="AV201" s="1342">
        <f t="shared" si="121"/>
        <v>0</v>
      </c>
      <c r="AW201" s="1342">
        <f t="shared" si="122"/>
        <v>0</v>
      </c>
      <c r="AX201" s="1342">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29"/>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0"/>
      <c r="AV202" s="1342">
        <f t="shared" si="121"/>
        <v>0</v>
      </c>
      <c r="AW202" s="1342">
        <f t="shared" si="122"/>
        <v>0</v>
      </c>
      <c r="AX202" s="1342">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29"/>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0"/>
      <c r="AV203" s="1342">
        <f t="shared" si="121"/>
        <v>0</v>
      </c>
      <c r="AW203" s="1342">
        <f t="shared" si="122"/>
        <v>0</v>
      </c>
      <c r="AX203" s="1342">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29"/>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0"/>
      <c r="AV204" s="1342">
        <f t="shared" si="121"/>
        <v>0</v>
      </c>
      <c r="AW204" s="1342">
        <f t="shared" si="122"/>
        <v>0</v>
      </c>
      <c r="AX204" s="1342">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29"/>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0"/>
      <c r="AV205" s="1342">
        <f t="shared" si="121"/>
        <v>0</v>
      </c>
      <c r="AW205" s="1342">
        <f t="shared" si="122"/>
        <v>0</v>
      </c>
      <c r="AX205" s="1342">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29"/>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1"/>
        <v>0</v>
      </c>
      <c r="AW206" s="1342">
        <f t="shared" si="122"/>
        <v>0</v>
      </c>
      <c r="AX206" s="1342">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29"/>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1"/>
        <v>0</v>
      </c>
      <c r="AW207" s="1342">
        <f t="shared" si="122"/>
        <v>0</v>
      </c>
      <c r="AX207" s="1342">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29"/>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8">A208</f>
        <v>0</v>
      </c>
      <c r="AW208" s="1342">
        <f t="shared" ref="AW208:AW302" si="129">B208</f>
        <v>0</v>
      </c>
      <c r="AX208" s="1342">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29"/>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0"/>
      <c r="AV209" s="1342">
        <f t="shared" si="128"/>
        <v>0</v>
      </c>
      <c r="AW209" s="1342">
        <f t="shared" si="129"/>
        <v>0</v>
      </c>
      <c r="AX209" s="1342">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29"/>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0"/>
      <c r="AV210" s="1342">
        <f t="shared" si="128"/>
        <v>0</v>
      </c>
      <c r="AW210" s="1342">
        <f t="shared" si="129"/>
        <v>0</v>
      </c>
      <c r="AX210" s="1342">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29"/>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0"/>
      <c r="AV211" s="1342">
        <f t="shared" si="128"/>
        <v>0</v>
      </c>
      <c r="AW211" s="1342">
        <f t="shared" si="129"/>
        <v>0</v>
      </c>
      <c r="AX211" s="1342">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29"/>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0"/>
      <c r="AV212" s="1342">
        <f t="shared" si="128"/>
        <v>0</v>
      </c>
      <c r="AW212" s="1342">
        <f t="shared" si="129"/>
        <v>0</v>
      </c>
      <c r="AX212" s="1342">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29"/>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0"/>
      <c r="AV213" s="1342">
        <f t="shared" si="128"/>
        <v>0</v>
      </c>
      <c r="AW213" s="1342">
        <f t="shared" si="129"/>
        <v>0</v>
      </c>
      <c r="AX213" s="1342">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29"/>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0"/>
      <c r="AV214" s="1342">
        <f t="shared" si="128"/>
        <v>0</v>
      </c>
      <c r="AW214" s="1342">
        <f t="shared" si="129"/>
        <v>0</v>
      </c>
      <c r="AX214" s="1342">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29"/>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0"/>
      <c r="AV215" s="1342">
        <f t="shared" si="128"/>
        <v>0</v>
      </c>
      <c r="AW215" s="1342">
        <f t="shared" si="129"/>
        <v>0</v>
      </c>
      <c r="AX215" s="1342">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29"/>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0"/>
      <c r="AV216" s="1342">
        <f t="shared" si="128"/>
        <v>0</v>
      </c>
      <c r="AW216" s="1342">
        <f t="shared" si="129"/>
        <v>0</v>
      </c>
      <c r="AX216" s="1342">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29"/>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0"/>
      <c r="AV217" s="1342">
        <f t="shared" si="128"/>
        <v>0</v>
      </c>
      <c r="AW217" s="1342">
        <f t="shared" si="129"/>
        <v>0</v>
      </c>
      <c r="AX217" s="1342">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29"/>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0"/>
      <c r="AV218" s="1342">
        <f t="shared" si="128"/>
        <v>0</v>
      </c>
      <c r="AW218" s="1342">
        <f t="shared" si="129"/>
        <v>0</v>
      </c>
      <c r="AX218" s="1342">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29"/>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0"/>
      <c r="AV219" s="1342">
        <f t="shared" si="128"/>
        <v>0</v>
      </c>
      <c r="AW219" s="1342">
        <f t="shared" si="129"/>
        <v>0</v>
      </c>
      <c r="AX219" s="1342">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29"/>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0"/>
      <c r="AV220" s="1342">
        <f t="shared" si="128"/>
        <v>0</v>
      </c>
      <c r="AW220" s="1342">
        <f t="shared" si="129"/>
        <v>0</v>
      </c>
      <c r="AX220" s="1342">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29"/>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0"/>
      <c r="AV221" s="1342">
        <f t="shared" si="128"/>
        <v>0</v>
      </c>
      <c r="AW221" s="1342">
        <f t="shared" si="129"/>
        <v>0</v>
      </c>
      <c r="AX221" s="1342">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29"/>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0"/>
      <c r="AV222" s="1342">
        <f t="shared" si="128"/>
        <v>0</v>
      </c>
      <c r="AW222" s="1342">
        <f t="shared" si="129"/>
        <v>0</v>
      </c>
      <c r="AX222" s="1342">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29"/>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0"/>
      <c r="AV223" s="1342">
        <f t="shared" si="128"/>
        <v>0</v>
      </c>
      <c r="AW223" s="1342">
        <f t="shared" si="129"/>
        <v>0</v>
      </c>
      <c r="AX223" s="1342">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29"/>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0"/>
      <c r="AV224" s="1342">
        <f t="shared" si="128"/>
        <v>0</v>
      </c>
      <c r="AW224" s="1342">
        <f t="shared" si="129"/>
        <v>0</v>
      </c>
      <c r="AX224" s="1342">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29"/>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0"/>
      <c r="AV225" s="1342">
        <f t="shared" si="128"/>
        <v>0</v>
      </c>
      <c r="AW225" s="1342">
        <f t="shared" si="129"/>
        <v>0</v>
      </c>
      <c r="AX225" s="1342">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29"/>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0"/>
      <c r="AV226" s="1342">
        <f t="shared" si="128"/>
        <v>0</v>
      </c>
      <c r="AW226" s="1342">
        <f t="shared" si="129"/>
        <v>0</v>
      </c>
      <c r="AX226" s="1342">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29"/>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0"/>
      <c r="AV227" s="1342">
        <f t="shared" si="128"/>
        <v>0</v>
      </c>
      <c r="AW227" s="1342">
        <f t="shared" si="129"/>
        <v>0</v>
      </c>
      <c r="AX227" s="1342">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29"/>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0"/>
      <c r="AV228" s="1342">
        <f t="shared" si="128"/>
        <v>0</v>
      </c>
      <c r="AW228" s="1342">
        <f t="shared" si="129"/>
        <v>0</v>
      </c>
      <c r="AX228" s="1342">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29"/>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0"/>
      <c r="AV229" s="1342">
        <f t="shared" si="128"/>
        <v>0</v>
      </c>
      <c r="AW229" s="1342">
        <f t="shared" si="129"/>
        <v>0</v>
      </c>
      <c r="AX229" s="1342">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29"/>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0"/>
      <c r="AV230" s="1342">
        <f t="shared" si="128"/>
        <v>0</v>
      </c>
      <c r="AW230" s="1342">
        <f t="shared" si="129"/>
        <v>0</v>
      </c>
      <c r="AX230" s="1342">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29"/>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0"/>
      <c r="AV231" s="1342">
        <f t="shared" si="128"/>
        <v>0</v>
      </c>
      <c r="AW231" s="1342">
        <f t="shared" si="129"/>
        <v>0</v>
      </c>
      <c r="AX231" s="1342">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29"/>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0"/>
      <c r="AV232" s="1342">
        <f t="shared" si="128"/>
        <v>0</v>
      </c>
      <c r="AW232" s="1342">
        <f t="shared" si="129"/>
        <v>0</v>
      </c>
      <c r="AX232" s="1342">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29"/>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0"/>
      <c r="AV233" s="1342">
        <f t="shared" si="128"/>
        <v>0</v>
      </c>
      <c r="AW233" s="1342">
        <f t="shared" si="129"/>
        <v>0</v>
      </c>
      <c r="AX233" s="1342">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29"/>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0"/>
      <c r="AV234" s="1342">
        <f t="shared" si="128"/>
        <v>0</v>
      </c>
      <c r="AW234" s="1342">
        <f t="shared" si="129"/>
        <v>0</v>
      </c>
      <c r="AX234" s="1342">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29"/>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0"/>
      <c r="AV235" s="1342">
        <f t="shared" si="128"/>
        <v>0</v>
      </c>
      <c r="AW235" s="1342">
        <f t="shared" si="129"/>
        <v>0</v>
      </c>
      <c r="AX235" s="1342">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29"/>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0"/>
      <c r="AV236" s="1342">
        <f t="shared" si="128"/>
        <v>0</v>
      </c>
      <c r="AW236" s="1342">
        <f t="shared" si="129"/>
        <v>0</v>
      </c>
      <c r="AX236" s="1342">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29"/>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0"/>
      <c r="AV237" s="1342">
        <f t="shared" si="128"/>
        <v>0</v>
      </c>
      <c r="AW237" s="1342">
        <f t="shared" si="129"/>
        <v>0</v>
      </c>
      <c r="AX237" s="1342">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29"/>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0"/>
      <c r="AV238" s="1342">
        <f t="shared" si="128"/>
        <v>0</v>
      </c>
      <c r="AW238" s="1342">
        <f t="shared" si="129"/>
        <v>0</v>
      </c>
      <c r="AX238" s="1342">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29"/>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0"/>
      <c r="AV239" s="1342">
        <f t="shared" si="128"/>
        <v>0</v>
      </c>
      <c r="AW239" s="1342">
        <f t="shared" si="129"/>
        <v>0</v>
      </c>
      <c r="AX239" s="1342">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29"/>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0"/>
      <c r="AV240" s="1342">
        <f t="shared" si="128"/>
        <v>0</v>
      </c>
      <c r="AW240" s="1342">
        <f t="shared" si="129"/>
        <v>0</v>
      </c>
      <c r="AX240" s="1342">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29"/>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0"/>
      <c r="AV241" s="1342">
        <f t="shared" si="128"/>
        <v>0</v>
      </c>
      <c r="AW241" s="1342">
        <f t="shared" si="129"/>
        <v>0</v>
      </c>
      <c r="AX241" s="1342">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29"/>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0"/>
      <c r="AV242" s="1342">
        <f t="shared" si="128"/>
        <v>0</v>
      </c>
      <c r="AW242" s="1342">
        <f t="shared" si="129"/>
        <v>0</v>
      </c>
      <c r="AX242" s="1342">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29"/>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0"/>
      <c r="AV243" s="1342">
        <f t="shared" si="128"/>
        <v>0</v>
      </c>
      <c r="AW243" s="1342">
        <f t="shared" si="129"/>
        <v>0</v>
      </c>
      <c r="AX243" s="1342">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29"/>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0"/>
      <c r="AV244" s="1342">
        <f t="shared" si="128"/>
        <v>0</v>
      </c>
      <c r="AW244" s="1342">
        <f t="shared" si="129"/>
        <v>0</v>
      </c>
      <c r="AX244" s="1342">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29"/>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0"/>
      <c r="AV245" s="1342">
        <f t="shared" si="128"/>
        <v>0</v>
      </c>
      <c r="AW245" s="1342">
        <f t="shared" si="129"/>
        <v>0</v>
      </c>
      <c r="AX245" s="1342">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29"/>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0"/>
      <c r="AV246" s="1342">
        <f t="shared" si="128"/>
        <v>0</v>
      </c>
      <c r="AW246" s="1342">
        <f t="shared" si="129"/>
        <v>0</v>
      </c>
      <c r="AX246" s="1342">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29"/>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0"/>
      <c r="AV247" s="1342">
        <f t="shared" si="128"/>
        <v>0</v>
      </c>
      <c r="AW247" s="1342">
        <f t="shared" si="129"/>
        <v>0</v>
      </c>
      <c r="AX247" s="1342">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29"/>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0"/>
      <c r="AV248" s="1342">
        <f t="shared" si="128"/>
        <v>0</v>
      </c>
      <c r="AW248" s="1342">
        <f t="shared" si="129"/>
        <v>0</v>
      </c>
      <c r="AX248" s="1342">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29"/>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0"/>
      <c r="AV249" s="1342">
        <f t="shared" si="128"/>
        <v>0</v>
      </c>
      <c r="AW249" s="1342">
        <f t="shared" si="129"/>
        <v>0</v>
      </c>
      <c r="AX249" s="1342">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29"/>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0"/>
      <c r="AV250" s="1342">
        <f t="shared" si="128"/>
        <v>0</v>
      </c>
      <c r="AW250" s="1342">
        <f t="shared" si="129"/>
        <v>0</v>
      </c>
      <c r="AX250" s="1342">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29"/>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0"/>
      <c r="AV251" s="1342">
        <f t="shared" si="128"/>
        <v>0</v>
      </c>
      <c r="AW251" s="1342">
        <f t="shared" si="129"/>
        <v>0</v>
      </c>
      <c r="AX251" s="1342">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29"/>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0"/>
      <c r="AV252" s="1342">
        <f t="shared" si="128"/>
        <v>0</v>
      </c>
      <c r="AW252" s="1342">
        <f t="shared" si="129"/>
        <v>0</v>
      </c>
      <c r="AX252" s="1342">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29"/>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0"/>
      <c r="AV253" s="1342">
        <f t="shared" si="128"/>
        <v>0</v>
      </c>
      <c r="AW253" s="1342">
        <f t="shared" si="129"/>
        <v>0</v>
      </c>
      <c r="AX253" s="1342">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29"/>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0"/>
      <c r="AV254" s="1342">
        <f t="shared" si="128"/>
        <v>0</v>
      </c>
      <c r="AW254" s="1342">
        <f t="shared" si="129"/>
        <v>0</v>
      </c>
      <c r="AX254" s="1342">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29"/>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0"/>
      <c r="AV255" s="1342">
        <f t="shared" si="128"/>
        <v>0</v>
      </c>
      <c r="AW255" s="1342">
        <f t="shared" si="129"/>
        <v>0</v>
      </c>
      <c r="AX255" s="1342">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29"/>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0"/>
      <c r="AV256" s="1342">
        <f t="shared" si="128"/>
        <v>0</v>
      </c>
      <c r="AW256" s="1342">
        <f t="shared" si="129"/>
        <v>0</v>
      </c>
      <c r="AX256" s="1342">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29"/>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0"/>
      <c r="AV257" s="1342">
        <f t="shared" si="128"/>
        <v>0</v>
      </c>
      <c r="AW257" s="1342">
        <f t="shared" si="129"/>
        <v>0</v>
      </c>
      <c r="AX257" s="1342">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29"/>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0"/>
      <c r="AV258" s="1342">
        <f t="shared" si="128"/>
        <v>0</v>
      </c>
      <c r="AW258" s="1342">
        <f t="shared" si="129"/>
        <v>0</v>
      </c>
      <c r="AX258" s="1342">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29"/>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0"/>
      <c r="AV259" s="1342">
        <f t="shared" si="128"/>
        <v>0</v>
      </c>
      <c r="AW259" s="1342">
        <f t="shared" si="129"/>
        <v>0</v>
      </c>
      <c r="AX259" s="1342">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29"/>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0"/>
      <c r="AV260" s="1342">
        <f t="shared" si="128"/>
        <v>0</v>
      </c>
      <c r="AW260" s="1342">
        <f t="shared" si="129"/>
        <v>0</v>
      </c>
      <c r="AX260" s="1342">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29"/>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0"/>
      <c r="AV261" s="1342">
        <f t="shared" si="128"/>
        <v>0</v>
      </c>
      <c r="AW261" s="1342">
        <f t="shared" si="129"/>
        <v>0</v>
      </c>
      <c r="AX261" s="1342">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29"/>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0"/>
      <c r="AV262" s="1342">
        <f t="shared" si="128"/>
        <v>0</v>
      </c>
      <c r="AW262" s="1342">
        <f t="shared" si="129"/>
        <v>0</v>
      </c>
      <c r="AX262" s="1342">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29"/>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0"/>
      <c r="AV263" s="1342">
        <f t="shared" si="128"/>
        <v>0</v>
      </c>
      <c r="AW263" s="1342">
        <f t="shared" si="129"/>
        <v>0</v>
      </c>
      <c r="AX263" s="1342">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29"/>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0"/>
      <c r="AV264" s="1342">
        <f t="shared" si="128"/>
        <v>0</v>
      </c>
      <c r="AW264" s="1342">
        <f t="shared" si="129"/>
        <v>0</v>
      </c>
      <c r="AX264" s="1342">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29"/>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0"/>
      <c r="AV265" s="1342">
        <f t="shared" si="128"/>
        <v>0</v>
      </c>
      <c r="AW265" s="1342">
        <f t="shared" si="129"/>
        <v>0</v>
      </c>
      <c r="AX265" s="1342">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29"/>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0"/>
      <c r="AV266" s="1342">
        <f t="shared" si="128"/>
        <v>0</v>
      </c>
      <c r="AW266" s="1342">
        <f t="shared" si="129"/>
        <v>0</v>
      </c>
      <c r="AX266" s="1342">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29"/>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0"/>
      <c r="AV267" s="1342">
        <f t="shared" si="128"/>
        <v>0</v>
      </c>
      <c r="AW267" s="1342">
        <f t="shared" si="129"/>
        <v>0</v>
      </c>
      <c r="AX267" s="1342">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29"/>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0"/>
      <c r="AV268" s="1342">
        <f t="shared" si="128"/>
        <v>0</v>
      </c>
      <c r="AW268" s="1342">
        <f t="shared" si="129"/>
        <v>0</v>
      </c>
      <c r="AX268" s="1342">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29"/>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0"/>
      <c r="AV269" s="1342">
        <f t="shared" si="128"/>
        <v>0</v>
      </c>
      <c r="AW269" s="1342">
        <f t="shared" si="129"/>
        <v>0</v>
      </c>
      <c r="AX269" s="1342">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29"/>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0"/>
      <c r="AV270" s="1342">
        <f t="shared" si="128"/>
        <v>0</v>
      </c>
      <c r="AW270" s="1342">
        <f t="shared" si="129"/>
        <v>0</v>
      </c>
      <c r="AX270" s="1342">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29"/>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0"/>
      <c r="AV271" s="1342">
        <f t="shared" si="128"/>
        <v>0</v>
      </c>
      <c r="AW271" s="1342">
        <f t="shared" si="129"/>
        <v>0</v>
      </c>
      <c r="AX271" s="1342">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29"/>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0"/>
      <c r="AV272" s="1342">
        <f t="shared" si="128"/>
        <v>0</v>
      </c>
      <c r="AW272" s="1342">
        <f t="shared" si="129"/>
        <v>0</v>
      </c>
      <c r="AX272" s="1342">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29"/>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0"/>
      <c r="AV273" s="1342">
        <f t="shared" si="128"/>
        <v>0</v>
      </c>
      <c r="AW273" s="1342">
        <f t="shared" si="129"/>
        <v>0</v>
      </c>
      <c r="AX273" s="1342">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29"/>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0"/>
      <c r="AV274" s="1342">
        <f t="shared" si="128"/>
        <v>0</v>
      </c>
      <c r="AW274" s="1342">
        <f t="shared" si="129"/>
        <v>0</v>
      </c>
      <c r="AX274" s="1342">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29"/>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0"/>
      <c r="AV275" s="1342">
        <f t="shared" si="128"/>
        <v>0</v>
      </c>
      <c r="AW275" s="1342">
        <f t="shared" si="129"/>
        <v>0</v>
      </c>
      <c r="AX275" s="1342">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29"/>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0"/>
      <c r="AV276" s="1342">
        <f t="shared" si="128"/>
        <v>0</v>
      </c>
      <c r="AW276" s="1342">
        <f t="shared" si="129"/>
        <v>0</v>
      </c>
      <c r="AX276" s="1342">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29"/>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0"/>
      <c r="AV277" s="1342">
        <f t="shared" si="128"/>
        <v>0</v>
      </c>
      <c r="AW277" s="1342">
        <f t="shared" si="129"/>
        <v>0</v>
      </c>
      <c r="AX277" s="1342">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29"/>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0"/>
      <c r="AV278" s="1342">
        <f t="shared" si="128"/>
        <v>0</v>
      </c>
      <c r="AW278" s="1342">
        <f t="shared" si="129"/>
        <v>0</v>
      </c>
      <c r="AX278" s="1342">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29"/>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0"/>
      <c r="AV279" s="1342">
        <f t="shared" si="128"/>
        <v>0</v>
      </c>
      <c r="AW279" s="1342">
        <f t="shared" si="129"/>
        <v>0</v>
      </c>
      <c r="AX279" s="1342">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29"/>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0"/>
      <c r="AV280" s="1342">
        <f t="shared" si="128"/>
        <v>0</v>
      </c>
      <c r="AW280" s="1342">
        <f t="shared" si="129"/>
        <v>0</v>
      </c>
      <c r="AX280" s="1342">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29"/>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0"/>
      <c r="AV281" s="1342">
        <f t="shared" si="128"/>
        <v>0</v>
      </c>
      <c r="AW281" s="1342">
        <f t="shared" si="129"/>
        <v>0</v>
      </c>
      <c r="AX281" s="1342">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29"/>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0"/>
      <c r="AV282" s="1342">
        <f t="shared" si="128"/>
        <v>0</v>
      </c>
      <c r="AW282" s="1342">
        <f t="shared" si="129"/>
        <v>0</v>
      </c>
      <c r="AX282" s="1342">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29"/>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0"/>
      <c r="AV283" s="1342">
        <f t="shared" si="128"/>
        <v>0</v>
      </c>
      <c r="AW283" s="1342">
        <f t="shared" si="129"/>
        <v>0</v>
      </c>
      <c r="AX283" s="1342">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29"/>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0"/>
      <c r="AV284" s="1342">
        <f t="shared" si="128"/>
        <v>0</v>
      </c>
      <c r="AW284" s="1342">
        <f t="shared" si="129"/>
        <v>0</v>
      </c>
      <c r="AX284" s="1342">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29"/>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0"/>
      <c r="AV285" s="1342">
        <f t="shared" si="128"/>
        <v>0</v>
      </c>
      <c r="AW285" s="1342">
        <f t="shared" si="129"/>
        <v>0</v>
      </c>
      <c r="AX285" s="1342">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29"/>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0"/>
      <c r="AV286" s="1342">
        <f t="shared" si="128"/>
        <v>0</v>
      </c>
      <c r="AW286" s="1342">
        <f t="shared" si="129"/>
        <v>0</v>
      </c>
      <c r="AX286" s="1342">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29"/>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0"/>
      <c r="AV287" s="1342">
        <f t="shared" si="128"/>
        <v>0</v>
      </c>
      <c r="AW287" s="1342">
        <f t="shared" si="129"/>
        <v>0</v>
      </c>
      <c r="AX287" s="1342">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29"/>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0"/>
      <c r="AV288" s="1342">
        <f t="shared" si="128"/>
        <v>0</v>
      </c>
      <c r="AW288" s="1342">
        <f t="shared" si="129"/>
        <v>0</v>
      </c>
      <c r="AX288" s="1342">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29"/>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0"/>
      <c r="AV289" s="1342">
        <f t="shared" si="128"/>
        <v>0</v>
      </c>
      <c r="AW289" s="1342">
        <f t="shared" si="129"/>
        <v>0</v>
      </c>
      <c r="AX289" s="1342">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29"/>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0"/>
      <c r="AV290" s="1342">
        <f t="shared" si="128"/>
        <v>0</v>
      </c>
      <c r="AW290" s="1342">
        <f t="shared" si="129"/>
        <v>0</v>
      </c>
      <c r="AX290" s="1342">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29"/>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0"/>
      <c r="AV291" s="1342">
        <f t="shared" si="128"/>
        <v>0</v>
      </c>
      <c r="AW291" s="1342">
        <f t="shared" si="129"/>
        <v>0</v>
      </c>
      <c r="AX291" s="1342">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29"/>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0"/>
      <c r="AV292" s="1342">
        <f t="shared" si="128"/>
        <v>0</v>
      </c>
      <c r="AW292" s="1342">
        <f t="shared" si="129"/>
        <v>0</v>
      </c>
      <c r="AX292" s="1342">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29"/>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0"/>
      <c r="AV293" s="1342">
        <f t="shared" si="128"/>
        <v>0</v>
      </c>
      <c r="AW293" s="1342">
        <f t="shared" si="129"/>
        <v>0</v>
      </c>
      <c r="AX293" s="1342">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29"/>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0"/>
      <c r="AV294" s="1342">
        <f t="shared" si="128"/>
        <v>0</v>
      </c>
      <c r="AW294" s="1342">
        <f t="shared" si="129"/>
        <v>0</v>
      </c>
      <c r="AX294" s="1342">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29"/>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0"/>
      <c r="AV295" s="1342">
        <f t="shared" si="128"/>
        <v>0</v>
      </c>
      <c r="AW295" s="1342">
        <f t="shared" si="129"/>
        <v>0</v>
      </c>
      <c r="AX295" s="1342">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29"/>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0"/>
      <c r="AV296" s="1342">
        <f t="shared" si="128"/>
        <v>0</v>
      </c>
      <c r="AW296" s="1342">
        <f t="shared" si="129"/>
        <v>0</v>
      </c>
      <c r="AX296" s="1342">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29"/>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0"/>
      <c r="AV297" s="1342">
        <f t="shared" si="128"/>
        <v>0</v>
      </c>
      <c r="AW297" s="1342">
        <f t="shared" si="129"/>
        <v>0</v>
      </c>
      <c r="AX297" s="1342">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29"/>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0"/>
      <c r="AV298" s="1342">
        <f t="shared" si="128"/>
        <v>0</v>
      </c>
      <c r="AW298" s="1342">
        <f t="shared" si="129"/>
        <v>0</v>
      </c>
      <c r="AX298" s="1342">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29"/>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0"/>
      <c r="AV299" s="1342">
        <f t="shared" si="128"/>
        <v>0</v>
      </c>
      <c r="AW299" s="1342">
        <f t="shared" si="129"/>
        <v>0</v>
      </c>
      <c r="AX299" s="1342">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29"/>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8"/>
        <v>0</v>
      </c>
      <c r="AW300" s="1342">
        <f t="shared" si="129"/>
        <v>0</v>
      </c>
      <c r="AX300" s="1342">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29"/>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0"/>
      <c r="AV301" s="1342">
        <f t="shared" si="128"/>
        <v>0</v>
      </c>
      <c r="AW301" s="1342">
        <f t="shared" si="129"/>
        <v>0</v>
      </c>
      <c r="AX301" s="1342">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29"/>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0"/>
      <c r="AV302" s="1342">
        <f t="shared" si="128"/>
        <v>0</v>
      </c>
      <c r="AW302" s="1342">
        <f t="shared" si="129"/>
        <v>0</v>
      </c>
      <c r="AX302" s="1342">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29"/>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9">A303</f>
        <v>0</v>
      </c>
      <c r="AW303" s="1342">
        <f t="shared" ref="AW303:AW334" si="180">B303</f>
        <v>0</v>
      </c>
      <c r="AX303" s="1342">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29"/>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0"/>
      <c r="AV304" s="1342">
        <f t="shared" si="179"/>
        <v>0</v>
      </c>
      <c r="AW304" s="1342">
        <f t="shared" si="180"/>
        <v>0</v>
      </c>
      <c r="AX304" s="1342">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29"/>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0"/>
      <c r="AV305" s="1342">
        <f t="shared" si="179"/>
        <v>0</v>
      </c>
      <c r="AW305" s="1342">
        <f t="shared" si="180"/>
        <v>0</v>
      </c>
      <c r="AX305" s="1342">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29"/>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0"/>
      <c r="AV306" s="1342">
        <f t="shared" si="179"/>
        <v>0</v>
      </c>
      <c r="AW306" s="1342">
        <f t="shared" si="180"/>
        <v>0</v>
      </c>
      <c r="AX306" s="1342">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29"/>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0"/>
      <c r="AV307" s="1342">
        <f t="shared" si="179"/>
        <v>0</v>
      </c>
      <c r="AW307" s="1342">
        <f t="shared" si="180"/>
        <v>0</v>
      </c>
      <c r="AX307" s="1342">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29"/>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0"/>
      <c r="AV308" s="1342">
        <f t="shared" si="179"/>
        <v>0</v>
      </c>
      <c r="AW308" s="1342">
        <f t="shared" si="180"/>
        <v>0</v>
      </c>
      <c r="AX308" s="1342">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29"/>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0"/>
      <c r="AV309" s="1342">
        <f t="shared" si="179"/>
        <v>0</v>
      </c>
      <c r="AW309" s="1342">
        <f t="shared" si="180"/>
        <v>0</v>
      </c>
      <c r="AX309" s="1342">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29"/>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0"/>
      <c r="AV310" s="1342">
        <f t="shared" si="179"/>
        <v>0</v>
      </c>
      <c r="AW310" s="1342">
        <f t="shared" si="180"/>
        <v>0</v>
      </c>
      <c r="AX310" s="1342">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29"/>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0"/>
      <c r="AV311" s="1342">
        <f t="shared" si="179"/>
        <v>0</v>
      </c>
      <c r="AW311" s="1342">
        <f t="shared" si="180"/>
        <v>0</v>
      </c>
      <c r="AX311" s="1342">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29"/>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0"/>
      <c r="AV312" s="1342">
        <f t="shared" si="179"/>
        <v>0</v>
      </c>
      <c r="AW312" s="1342">
        <f t="shared" si="180"/>
        <v>0</v>
      </c>
      <c r="AX312" s="1342">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29"/>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0"/>
      <c r="AV313" s="1342">
        <f t="shared" si="179"/>
        <v>0</v>
      </c>
      <c r="AW313" s="1342">
        <f t="shared" si="180"/>
        <v>0</v>
      </c>
      <c r="AX313" s="1342">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29"/>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0"/>
      <c r="AV314" s="1342">
        <f t="shared" si="179"/>
        <v>0</v>
      </c>
      <c r="AW314" s="1342">
        <f t="shared" si="180"/>
        <v>0</v>
      </c>
      <c r="AX314" s="1342">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29"/>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0"/>
      <c r="AV315" s="1342">
        <f t="shared" si="179"/>
        <v>0</v>
      </c>
      <c r="AW315" s="1342">
        <f t="shared" si="180"/>
        <v>0</v>
      </c>
      <c r="AX315" s="1342">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29"/>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0"/>
      <c r="AV316" s="1342">
        <f t="shared" si="179"/>
        <v>0</v>
      </c>
      <c r="AW316" s="1342">
        <f t="shared" si="180"/>
        <v>0</v>
      </c>
      <c r="AX316" s="1342">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29"/>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0"/>
      <c r="AV317" s="1342">
        <f t="shared" si="179"/>
        <v>0</v>
      </c>
      <c r="AW317" s="1342">
        <f t="shared" si="180"/>
        <v>0</v>
      </c>
      <c r="AX317" s="1342">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29"/>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0"/>
      <c r="AV318" s="1342">
        <f t="shared" si="179"/>
        <v>0</v>
      </c>
      <c r="AW318" s="1342">
        <f t="shared" si="180"/>
        <v>0</v>
      </c>
      <c r="AX318" s="1342">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29"/>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0"/>
      <c r="AV319" s="1342">
        <f t="shared" si="179"/>
        <v>0</v>
      </c>
      <c r="AW319" s="1342">
        <f t="shared" si="180"/>
        <v>0</v>
      </c>
      <c r="AX319" s="1342">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29"/>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0"/>
      <c r="AV320" s="1342">
        <f t="shared" si="179"/>
        <v>0</v>
      </c>
      <c r="AW320" s="1342">
        <f t="shared" si="180"/>
        <v>0</v>
      </c>
      <c r="AX320" s="1342">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29"/>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0"/>
      <c r="AV321" s="1342">
        <f t="shared" si="179"/>
        <v>0</v>
      </c>
      <c r="AW321" s="1342">
        <f t="shared" si="180"/>
        <v>0</v>
      </c>
      <c r="AX321" s="1342">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29"/>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0"/>
      <c r="AV322" s="1342">
        <f t="shared" si="179"/>
        <v>0</v>
      </c>
      <c r="AW322" s="1342">
        <f t="shared" si="180"/>
        <v>0</v>
      </c>
      <c r="AX322" s="1342">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29"/>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0"/>
      <c r="AV323" s="1342">
        <f t="shared" si="179"/>
        <v>0</v>
      </c>
      <c r="AW323" s="1342">
        <f t="shared" si="180"/>
        <v>0</v>
      </c>
      <c r="AX323" s="1342">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29"/>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0"/>
      <c r="AV324" s="1342">
        <f t="shared" si="179"/>
        <v>0</v>
      </c>
      <c r="AW324" s="1342">
        <f t="shared" si="180"/>
        <v>0</v>
      </c>
      <c r="AX324" s="1342">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29"/>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0"/>
      <c r="AV325" s="1342">
        <f t="shared" si="179"/>
        <v>0</v>
      </c>
      <c r="AW325" s="1342">
        <f t="shared" si="180"/>
        <v>0</v>
      </c>
      <c r="AX325" s="1342">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29"/>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0"/>
      <c r="AV326" s="1342">
        <f t="shared" si="179"/>
        <v>0</v>
      </c>
      <c r="AW326" s="1342">
        <f t="shared" si="180"/>
        <v>0</v>
      </c>
      <c r="AX326" s="1342">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29"/>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0"/>
      <c r="AV327" s="1342">
        <f t="shared" si="179"/>
        <v>0</v>
      </c>
      <c r="AW327" s="1342">
        <f t="shared" si="180"/>
        <v>0</v>
      </c>
      <c r="AX327" s="1342">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29"/>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0"/>
      <c r="AV328" s="1342">
        <f t="shared" si="179"/>
        <v>0</v>
      </c>
      <c r="AW328" s="1342">
        <f t="shared" si="180"/>
        <v>0</v>
      </c>
      <c r="AX328" s="1342">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29"/>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0"/>
      <c r="AV329" s="1342">
        <f t="shared" si="179"/>
        <v>0</v>
      </c>
      <c r="AW329" s="1342">
        <f t="shared" si="180"/>
        <v>0</v>
      </c>
      <c r="AX329" s="1342">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29"/>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0"/>
      <c r="AV330" s="1342">
        <f t="shared" si="179"/>
        <v>0</v>
      </c>
      <c r="AW330" s="1342">
        <f t="shared" si="180"/>
        <v>0</v>
      </c>
      <c r="AX330" s="1342">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29"/>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0"/>
      <c r="AV331" s="1342">
        <f t="shared" si="179"/>
        <v>0</v>
      </c>
      <c r="AW331" s="1342">
        <f t="shared" si="180"/>
        <v>0</v>
      </c>
      <c r="AX331" s="1342">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29"/>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9"/>
        <v>0</v>
      </c>
      <c r="AW332" s="1342">
        <f t="shared" si="180"/>
        <v>0</v>
      </c>
      <c r="AX332" s="1342">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29"/>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0"/>
      <c r="AV333" s="1342">
        <f t="shared" si="179"/>
        <v>0</v>
      </c>
      <c r="AW333" s="1342">
        <f t="shared" si="180"/>
        <v>0</v>
      </c>
      <c r="AX333" s="1342">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29"/>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0"/>
      <c r="AV334" s="1342">
        <f t="shared" si="179"/>
        <v>0</v>
      </c>
      <c r="AW334" s="1342">
        <f t="shared" si="180"/>
        <v>0</v>
      </c>
      <c r="AX334" s="1342">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29"/>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8">A335</f>
        <v>0</v>
      </c>
      <c r="AW335" s="1342">
        <f t="shared" ref="AW335:AW366" si="209">B335</f>
        <v>0</v>
      </c>
      <c r="AX335" s="1342">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29"/>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0"/>
      <c r="AV336" s="1342">
        <f t="shared" si="208"/>
        <v>0</v>
      </c>
      <c r="AW336" s="1342">
        <f t="shared" si="209"/>
        <v>0</v>
      </c>
      <c r="AX336" s="1342">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29"/>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0"/>
      <c r="AV337" s="1342">
        <f t="shared" si="208"/>
        <v>0</v>
      </c>
      <c r="AW337" s="1342">
        <f t="shared" si="209"/>
        <v>0</v>
      </c>
      <c r="AX337" s="1342">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29"/>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0"/>
      <c r="AV338" s="1342">
        <f t="shared" si="208"/>
        <v>0</v>
      </c>
      <c r="AW338" s="1342">
        <f t="shared" si="209"/>
        <v>0</v>
      </c>
      <c r="AX338" s="1342">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29"/>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0"/>
      <c r="AV339" s="1342">
        <f t="shared" si="208"/>
        <v>0</v>
      </c>
      <c r="AW339" s="1342">
        <f t="shared" si="209"/>
        <v>0</v>
      </c>
      <c r="AX339" s="1342">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29"/>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0"/>
      <c r="AV340" s="1342">
        <f t="shared" si="208"/>
        <v>0</v>
      </c>
      <c r="AW340" s="1342">
        <f t="shared" si="209"/>
        <v>0</v>
      </c>
      <c r="AX340" s="1342">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29"/>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0"/>
      <c r="AV341" s="1342">
        <f t="shared" si="208"/>
        <v>0</v>
      </c>
      <c r="AW341" s="1342">
        <f t="shared" si="209"/>
        <v>0</v>
      </c>
      <c r="AX341" s="1342">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29"/>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0"/>
      <c r="AV342" s="1342">
        <f t="shared" si="208"/>
        <v>0</v>
      </c>
      <c r="AW342" s="1342">
        <f t="shared" si="209"/>
        <v>0</v>
      </c>
      <c r="AX342" s="1342">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29"/>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0"/>
      <c r="AV343" s="1342">
        <f t="shared" si="208"/>
        <v>0</v>
      </c>
      <c r="AW343" s="1342">
        <f t="shared" si="209"/>
        <v>0</v>
      </c>
      <c r="AX343" s="1342">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29"/>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0"/>
      <c r="AV344" s="1342">
        <f t="shared" si="208"/>
        <v>0</v>
      </c>
      <c r="AW344" s="1342">
        <f t="shared" si="209"/>
        <v>0</v>
      </c>
      <c r="AX344" s="1342">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29"/>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0"/>
      <c r="AV345" s="1342">
        <f t="shared" si="208"/>
        <v>0</v>
      </c>
      <c r="AW345" s="1342">
        <f t="shared" si="209"/>
        <v>0</v>
      </c>
      <c r="AX345" s="1342">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29"/>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0"/>
      <c r="AV346" s="1342">
        <f t="shared" si="208"/>
        <v>0</v>
      </c>
      <c r="AW346" s="1342">
        <f t="shared" si="209"/>
        <v>0</v>
      </c>
      <c r="AX346" s="1342">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29"/>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0"/>
      <c r="AV347" s="1342">
        <f t="shared" si="208"/>
        <v>0</v>
      </c>
      <c r="AW347" s="1342">
        <f t="shared" si="209"/>
        <v>0</v>
      </c>
      <c r="AX347" s="1342">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29"/>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0"/>
      <c r="AV348" s="1342">
        <f t="shared" si="208"/>
        <v>0</v>
      </c>
      <c r="AW348" s="1342">
        <f t="shared" si="209"/>
        <v>0</v>
      </c>
      <c r="AX348" s="1342">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29"/>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0"/>
      <c r="AV349" s="1342">
        <f t="shared" si="208"/>
        <v>0</v>
      </c>
      <c r="AW349" s="1342">
        <f t="shared" si="209"/>
        <v>0</v>
      </c>
      <c r="AX349" s="1342">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29"/>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0"/>
      <c r="AV350" s="1342">
        <f t="shared" si="208"/>
        <v>0</v>
      </c>
      <c r="AW350" s="1342">
        <f t="shared" si="209"/>
        <v>0</v>
      </c>
      <c r="AX350" s="1342">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29"/>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0"/>
      <c r="AV351" s="1342">
        <f t="shared" si="208"/>
        <v>0</v>
      </c>
      <c r="AW351" s="1342">
        <f t="shared" si="209"/>
        <v>0</v>
      </c>
      <c r="AX351" s="1342">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29"/>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0"/>
      <c r="AV352" s="1342">
        <f t="shared" si="208"/>
        <v>0</v>
      </c>
      <c r="AW352" s="1342">
        <f t="shared" si="209"/>
        <v>0</v>
      </c>
      <c r="AX352" s="1342">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29"/>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0"/>
      <c r="AV353" s="1342">
        <f t="shared" si="208"/>
        <v>0</v>
      </c>
      <c r="AW353" s="1342">
        <f t="shared" si="209"/>
        <v>0</v>
      </c>
      <c r="AX353" s="1342">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29"/>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0"/>
      <c r="AV354" s="1342">
        <f t="shared" si="208"/>
        <v>0</v>
      </c>
      <c r="AW354" s="1342">
        <f t="shared" si="209"/>
        <v>0</v>
      </c>
      <c r="AX354" s="1342">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29"/>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0"/>
      <c r="AV355" s="1342">
        <f t="shared" si="208"/>
        <v>0</v>
      </c>
      <c r="AW355" s="1342">
        <f t="shared" si="209"/>
        <v>0</v>
      </c>
      <c r="AX355" s="1342">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29"/>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0"/>
      <c r="AV356" s="1342">
        <f t="shared" si="208"/>
        <v>0</v>
      </c>
      <c r="AW356" s="1342">
        <f t="shared" si="209"/>
        <v>0</v>
      </c>
      <c r="AX356" s="1342">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29"/>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0"/>
      <c r="AV357" s="1342">
        <f t="shared" si="208"/>
        <v>0</v>
      </c>
      <c r="AW357" s="1342">
        <f t="shared" si="209"/>
        <v>0</v>
      </c>
      <c r="AX357" s="1342">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29"/>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0"/>
      <c r="AV358" s="1342">
        <f t="shared" si="208"/>
        <v>0</v>
      </c>
      <c r="AW358" s="1342">
        <f t="shared" si="209"/>
        <v>0</v>
      </c>
      <c r="AX358" s="1342">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29"/>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0"/>
      <c r="AV359" s="1342">
        <f t="shared" si="208"/>
        <v>0</v>
      </c>
      <c r="AW359" s="1342">
        <f t="shared" si="209"/>
        <v>0</v>
      </c>
      <c r="AX359" s="1342">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29"/>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0"/>
      <c r="AV360" s="1342">
        <f t="shared" si="208"/>
        <v>0</v>
      </c>
      <c r="AW360" s="1342">
        <f t="shared" si="209"/>
        <v>0</v>
      </c>
      <c r="AX360" s="1342">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29"/>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0"/>
      <c r="AV361" s="1342">
        <f t="shared" si="208"/>
        <v>0</v>
      </c>
      <c r="AW361" s="1342">
        <f t="shared" si="209"/>
        <v>0</v>
      </c>
      <c r="AX361" s="1342">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29"/>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0"/>
      <c r="AV362" s="1342">
        <f t="shared" si="208"/>
        <v>0</v>
      </c>
      <c r="AW362" s="1342">
        <f t="shared" si="209"/>
        <v>0</v>
      </c>
      <c r="AX362" s="1342">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29"/>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0"/>
      <c r="AV363" s="1342">
        <f t="shared" si="208"/>
        <v>0</v>
      </c>
      <c r="AW363" s="1342">
        <f t="shared" si="209"/>
        <v>0</v>
      </c>
      <c r="AX363" s="1342">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29"/>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8"/>
        <v>0</v>
      </c>
      <c r="AW364" s="1342">
        <f t="shared" si="209"/>
        <v>0</v>
      </c>
      <c r="AX364" s="1342">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29"/>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0"/>
      <c r="AV365" s="1342">
        <f t="shared" si="208"/>
        <v>0</v>
      </c>
      <c r="AW365" s="1342">
        <f t="shared" si="209"/>
        <v>0</v>
      </c>
      <c r="AX365" s="1342">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29"/>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0"/>
      <c r="AV366" s="1342">
        <f t="shared" si="208"/>
        <v>0</v>
      </c>
      <c r="AW366" s="1342">
        <f t="shared" si="209"/>
        <v>0</v>
      </c>
      <c r="AX366" s="1342">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29"/>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7">A367</f>
        <v>0</v>
      </c>
      <c r="AW367" s="1342">
        <f t="shared" ref="AW367:AW397" si="238">B367</f>
        <v>0</v>
      </c>
      <c r="AX367" s="1342">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29"/>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0"/>
      <c r="AV368" s="1342">
        <f t="shared" si="237"/>
        <v>0</v>
      </c>
      <c r="AW368" s="1342">
        <f t="shared" si="238"/>
        <v>0</v>
      </c>
      <c r="AX368" s="1342">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29"/>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0"/>
      <c r="AV369" s="1342">
        <f t="shared" si="237"/>
        <v>0</v>
      </c>
      <c r="AW369" s="1342">
        <f t="shared" si="238"/>
        <v>0</v>
      </c>
      <c r="AX369" s="1342">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29"/>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0"/>
      <c r="AV370" s="1342">
        <f t="shared" si="237"/>
        <v>0</v>
      </c>
      <c r="AW370" s="1342">
        <f t="shared" si="238"/>
        <v>0</v>
      </c>
      <c r="AX370" s="1342">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29"/>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0"/>
      <c r="AV371" s="1342">
        <f t="shared" si="237"/>
        <v>0</v>
      </c>
      <c r="AW371" s="1342">
        <f t="shared" si="238"/>
        <v>0</v>
      </c>
      <c r="AX371" s="1342">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29"/>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0"/>
      <c r="AV372" s="1342">
        <f t="shared" si="237"/>
        <v>0</v>
      </c>
      <c r="AW372" s="1342">
        <f t="shared" si="238"/>
        <v>0</v>
      </c>
      <c r="AX372" s="1342">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29"/>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0"/>
      <c r="AV373" s="1342">
        <f t="shared" si="237"/>
        <v>0</v>
      </c>
      <c r="AW373" s="1342">
        <f t="shared" si="238"/>
        <v>0</v>
      </c>
      <c r="AX373" s="1342">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29"/>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0"/>
      <c r="AV374" s="1342">
        <f t="shared" si="237"/>
        <v>0</v>
      </c>
      <c r="AW374" s="1342">
        <f t="shared" si="238"/>
        <v>0</v>
      </c>
      <c r="AX374" s="1342">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29"/>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0"/>
      <c r="AV375" s="1342">
        <f t="shared" si="237"/>
        <v>0</v>
      </c>
      <c r="AW375" s="1342">
        <f t="shared" si="238"/>
        <v>0</v>
      </c>
      <c r="AX375" s="1342">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29"/>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0"/>
      <c r="AV376" s="1342">
        <f t="shared" si="237"/>
        <v>0</v>
      </c>
      <c r="AW376" s="1342">
        <f t="shared" si="238"/>
        <v>0</v>
      </c>
      <c r="AX376" s="1342">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29"/>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0"/>
      <c r="AV377" s="1342">
        <f t="shared" si="237"/>
        <v>0</v>
      </c>
      <c r="AW377" s="1342">
        <f t="shared" si="238"/>
        <v>0</v>
      </c>
      <c r="AX377" s="1342">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29"/>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0"/>
      <c r="AV378" s="1342">
        <f t="shared" si="237"/>
        <v>0</v>
      </c>
      <c r="AW378" s="1342">
        <f t="shared" si="238"/>
        <v>0</v>
      </c>
      <c r="AX378" s="1342">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29"/>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0"/>
      <c r="AV379" s="1342">
        <f t="shared" si="237"/>
        <v>0</v>
      </c>
      <c r="AW379" s="1342">
        <f t="shared" si="238"/>
        <v>0</v>
      </c>
      <c r="AX379" s="1342">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29"/>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0"/>
      <c r="AV380" s="1342">
        <f t="shared" si="237"/>
        <v>0</v>
      </c>
      <c r="AW380" s="1342">
        <f t="shared" si="238"/>
        <v>0</v>
      </c>
      <c r="AX380" s="1342">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29"/>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0"/>
      <c r="AV381" s="1342">
        <f t="shared" si="237"/>
        <v>0</v>
      </c>
      <c r="AW381" s="1342">
        <f t="shared" si="238"/>
        <v>0</v>
      </c>
      <c r="AX381" s="1342">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29"/>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0"/>
      <c r="AV382" s="1342">
        <f t="shared" si="237"/>
        <v>0</v>
      </c>
      <c r="AW382" s="1342">
        <f t="shared" si="238"/>
        <v>0</v>
      </c>
      <c r="AX382" s="1342">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29"/>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0"/>
      <c r="AV383" s="1342">
        <f t="shared" si="237"/>
        <v>0</v>
      </c>
      <c r="AW383" s="1342">
        <f t="shared" si="238"/>
        <v>0</v>
      </c>
      <c r="AX383" s="1342">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29"/>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0"/>
      <c r="AV384" s="1342">
        <f t="shared" si="237"/>
        <v>0</v>
      </c>
      <c r="AW384" s="1342">
        <f t="shared" si="238"/>
        <v>0</v>
      </c>
      <c r="AX384" s="1342">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29"/>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0"/>
      <c r="AV385" s="1342">
        <f t="shared" si="237"/>
        <v>0</v>
      </c>
      <c r="AW385" s="1342">
        <f t="shared" si="238"/>
        <v>0</v>
      </c>
      <c r="AX385" s="1342">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29"/>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0"/>
      <c r="AV386" s="1342">
        <f t="shared" si="237"/>
        <v>0</v>
      </c>
      <c r="AW386" s="1342">
        <f t="shared" si="238"/>
        <v>0</v>
      </c>
      <c r="AX386" s="1342">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29"/>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0"/>
      <c r="AV387" s="1342">
        <f t="shared" si="237"/>
        <v>0</v>
      </c>
      <c r="AW387" s="1342">
        <f t="shared" si="238"/>
        <v>0</v>
      </c>
      <c r="AX387" s="1342">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29"/>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0"/>
      <c r="AV388" s="1342">
        <f t="shared" si="237"/>
        <v>0</v>
      </c>
      <c r="AW388" s="1342">
        <f t="shared" si="238"/>
        <v>0</v>
      </c>
      <c r="AX388" s="1342">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29"/>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0"/>
      <c r="AV389" s="1342">
        <f t="shared" si="237"/>
        <v>0</v>
      </c>
      <c r="AW389" s="1342">
        <f t="shared" si="238"/>
        <v>0</v>
      </c>
      <c r="AX389" s="1342">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29"/>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0"/>
      <c r="AV390" s="1342">
        <f t="shared" si="237"/>
        <v>0</v>
      </c>
      <c r="AW390" s="1342">
        <f t="shared" si="238"/>
        <v>0</v>
      </c>
      <c r="AX390" s="1342">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29"/>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0"/>
      <c r="AV391" s="1342">
        <f t="shared" si="237"/>
        <v>0</v>
      </c>
      <c r="AW391" s="1342">
        <f t="shared" si="238"/>
        <v>0</v>
      </c>
      <c r="AX391" s="1342">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29"/>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0"/>
      <c r="AV392" s="1342">
        <f t="shared" si="237"/>
        <v>0</v>
      </c>
      <c r="AW392" s="1342">
        <f t="shared" si="238"/>
        <v>0</v>
      </c>
      <c r="AX392" s="1342">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29"/>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0"/>
      <c r="AV393" s="1342">
        <f t="shared" si="237"/>
        <v>0</v>
      </c>
      <c r="AW393" s="1342">
        <f t="shared" si="238"/>
        <v>0</v>
      </c>
      <c r="AX393" s="1342">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29"/>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0"/>
      <c r="AV394" s="1342">
        <f t="shared" si="237"/>
        <v>0</v>
      </c>
      <c r="AW394" s="1342">
        <f t="shared" si="238"/>
        <v>0</v>
      </c>
      <c r="AX394" s="1342">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29"/>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0"/>
      <c r="AV395" s="1342">
        <f t="shared" si="237"/>
        <v>0</v>
      </c>
      <c r="AW395" s="1342">
        <f t="shared" si="238"/>
        <v>0</v>
      </c>
      <c r="AX395" s="1342">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29"/>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7"/>
        <v>0</v>
      </c>
      <c r="AW396" s="1342">
        <f t="shared" si="238"/>
        <v>0</v>
      </c>
      <c r="AX396" s="1342">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29"/>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7"/>
        <v>0</v>
      </c>
      <c r="AW397" s="1342">
        <f t="shared" si="238"/>
        <v>0</v>
      </c>
      <c r="AX397" s="1342">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29"/>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4">A398</f>
        <v>0</v>
      </c>
      <c r="AW398" s="1342">
        <f t="shared" ref="AW398:AW492" si="245">B398</f>
        <v>0</v>
      </c>
      <c r="AX398" s="1342">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29"/>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0"/>
      <c r="AV399" s="1342">
        <f t="shared" si="244"/>
        <v>0</v>
      </c>
      <c r="AW399" s="1342">
        <f t="shared" si="245"/>
        <v>0</v>
      </c>
      <c r="AX399" s="1342">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29"/>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0"/>
      <c r="AV400" s="1342">
        <f t="shared" si="244"/>
        <v>0</v>
      </c>
      <c r="AW400" s="1342">
        <f t="shared" si="245"/>
        <v>0</v>
      </c>
      <c r="AX400" s="1342">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29"/>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0"/>
      <c r="AV401" s="1342">
        <f t="shared" si="244"/>
        <v>0</v>
      </c>
      <c r="AW401" s="1342">
        <f t="shared" si="245"/>
        <v>0</v>
      </c>
      <c r="AX401" s="1342">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29"/>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0"/>
      <c r="AV402" s="1342">
        <f t="shared" si="244"/>
        <v>0</v>
      </c>
      <c r="AW402" s="1342">
        <f t="shared" si="245"/>
        <v>0</v>
      </c>
      <c r="AX402" s="1342">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29"/>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0"/>
      <c r="AV403" s="1342">
        <f t="shared" si="244"/>
        <v>0</v>
      </c>
      <c r="AW403" s="1342">
        <f t="shared" si="245"/>
        <v>0</v>
      </c>
      <c r="AX403" s="1342">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29"/>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0"/>
      <c r="AV404" s="1342">
        <f t="shared" si="244"/>
        <v>0</v>
      </c>
      <c r="AW404" s="1342">
        <f t="shared" si="245"/>
        <v>0</v>
      </c>
      <c r="AX404" s="1342">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29"/>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0"/>
      <c r="AV405" s="1342">
        <f t="shared" si="244"/>
        <v>0</v>
      </c>
      <c r="AW405" s="1342">
        <f t="shared" si="245"/>
        <v>0</v>
      </c>
      <c r="AX405" s="1342">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29"/>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0"/>
      <c r="AV406" s="1342">
        <f t="shared" si="244"/>
        <v>0</v>
      </c>
      <c r="AW406" s="1342">
        <f t="shared" si="245"/>
        <v>0</v>
      </c>
      <c r="AX406" s="1342">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29"/>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0"/>
      <c r="AV407" s="1342">
        <f t="shared" si="244"/>
        <v>0</v>
      </c>
      <c r="AW407" s="1342">
        <f t="shared" si="245"/>
        <v>0</v>
      </c>
      <c r="AX407" s="1342">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29"/>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0"/>
      <c r="AV408" s="1342">
        <f t="shared" si="244"/>
        <v>0</v>
      </c>
      <c r="AW408" s="1342">
        <f t="shared" si="245"/>
        <v>0</v>
      </c>
      <c r="AX408" s="1342">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29"/>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0"/>
      <c r="AV409" s="1342">
        <f t="shared" si="244"/>
        <v>0</v>
      </c>
      <c r="AW409" s="1342">
        <f t="shared" si="245"/>
        <v>0</v>
      </c>
      <c r="AX409" s="1342">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29"/>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0"/>
      <c r="AV410" s="1342">
        <f t="shared" si="244"/>
        <v>0</v>
      </c>
      <c r="AW410" s="1342">
        <f t="shared" si="245"/>
        <v>0</v>
      </c>
      <c r="AX410" s="1342">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29"/>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0"/>
      <c r="AV411" s="1342">
        <f t="shared" si="244"/>
        <v>0</v>
      </c>
      <c r="AW411" s="1342">
        <f t="shared" si="245"/>
        <v>0</v>
      </c>
      <c r="AX411" s="1342">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29"/>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0"/>
      <c r="AV412" s="1342">
        <f t="shared" si="244"/>
        <v>0</v>
      </c>
      <c r="AW412" s="1342">
        <f t="shared" si="245"/>
        <v>0</v>
      </c>
      <c r="AX412" s="1342">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29"/>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0"/>
      <c r="AV413" s="1342">
        <f t="shared" si="244"/>
        <v>0</v>
      </c>
      <c r="AW413" s="1342">
        <f t="shared" si="245"/>
        <v>0</v>
      </c>
      <c r="AX413" s="1342">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29"/>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0"/>
      <c r="AV414" s="1342">
        <f t="shared" si="244"/>
        <v>0</v>
      </c>
      <c r="AW414" s="1342">
        <f t="shared" si="245"/>
        <v>0</v>
      </c>
      <c r="AX414" s="1342">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29"/>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0"/>
      <c r="AV415" s="1342">
        <f t="shared" si="244"/>
        <v>0</v>
      </c>
      <c r="AW415" s="1342">
        <f t="shared" si="245"/>
        <v>0</v>
      </c>
      <c r="AX415" s="1342">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29"/>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0"/>
      <c r="AV416" s="1342">
        <f t="shared" si="244"/>
        <v>0</v>
      </c>
      <c r="AW416" s="1342">
        <f t="shared" si="245"/>
        <v>0</v>
      </c>
      <c r="AX416" s="1342">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29"/>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0"/>
      <c r="AV417" s="1342">
        <f t="shared" si="244"/>
        <v>0</v>
      </c>
      <c r="AW417" s="1342">
        <f t="shared" si="245"/>
        <v>0</v>
      </c>
      <c r="AX417" s="1342">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29"/>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0"/>
      <c r="AV418" s="1342">
        <f t="shared" si="244"/>
        <v>0</v>
      </c>
      <c r="AW418" s="1342">
        <f t="shared" si="245"/>
        <v>0</v>
      </c>
      <c r="AX418" s="1342">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29"/>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0"/>
      <c r="AV419" s="1342">
        <f t="shared" si="244"/>
        <v>0</v>
      </c>
      <c r="AW419" s="1342">
        <f t="shared" si="245"/>
        <v>0</v>
      </c>
      <c r="AX419" s="1342">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29"/>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0"/>
      <c r="AV420" s="1342">
        <f t="shared" si="244"/>
        <v>0</v>
      </c>
      <c r="AW420" s="1342">
        <f t="shared" si="245"/>
        <v>0</v>
      </c>
      <c r="AX420" s="1342">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29"/>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0"/>
      <c r="AV421" s="1342">
        <f t="shared" si="244"/>
        <v>0</v>
      </c>
      <c r="AW421" s="1342">
        <f t="shared" si="245"/>
        <v>0</v>
      </c>
      <c r="AX421" s="1342">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29"/>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0"/>
      <c r="AV422" s="1342">
        <f t="shared" si="244"/>
        <v>0</v>
      </c>
      <c r="AW422" s="1342">
        <f t="shared" si="245"/>
        <v>0</v>
      </c>
      <c r="AX422" s="1342">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29"/>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0"/>
      <c r="AV423" s="1342">
        <f t="shared" si="244"/>
        <v>0</v>
      </c>
      <c r="AW423" s="1342">
        <f t="shared" si="245"/>
        <v>0</v>
      </c>
      <c r="AX423" s="1342">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29"/>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0"/>
      <c r="AV424" s="1342">
        <f t="shared" si="244"/>
        <v>0</v>
      </c>
      <c r="AW424" s="1342">
        <f t="shared" si="245"/>
        <v>0</v>
      </c>
      <c r="AX424" s="1342">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29"/>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0"/>
      <c r="AV425" s="1342">
        <f t="shared" si="244"/>
        <v>0</v>
      </c>
      <c r="AW425" s="1342">
        <f t="shared" si="245"/>
        <v>0</v>
      </c>
      <c r="AX425" s="1342">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29"/>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0"/>
      <c r="AV426" s="1342">
        <f t="shared" si="244"/>
        <v>0</v>
      </c>
      <c r="AW426" s="1342">
        <f t="shared" si="245"/>
        <v>0</v>
      </c>
      <c r="AX426" s="1342">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29"/>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0"/>
      <c r="AV427" s="1342">
        <f t="shared" si="244"/>
        <v>0</v>
      </c>
      <c r="AW427" s="1342">
        <f t="shared" si="245"/>
        <v>0</v>
      </c>
      <c r="AX427" s="1342">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29"/>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0"/>
      <c r="AV428" s="1342">
        <f t="shared" si="244"/>
        <v>0</v>
      </c>
      <c r="AW428" s="1342">
        <f t="shared" si="245"/>
        <v>0</v>
      </c>
      <c r="AX428" s="1342">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29"/>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0"/>
      <c r="AV429" s="1342">
        <f t="shared" si="244"/>
        <v>0</v>
      </c>
      <c r="AW429" s="1342">
        <f t="shared" si="245"/>
        <v>0</v>
      </c>
      <c r="AX429" s="1342">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29"/>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0"/>
      <c r="AV430" s="1342">
        <f t="shared" si="244"/>
        <v>0</v>
      </c>
      <c r="AW430" s="1342">
        <f t="shared" si="245"/>
        <v>0</v>
      </c>
      <c r="AX430" s="1342">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29"/>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0"/>
      <c r="AV431" s="1342">
        <f t="shared" si="244"/>
        <v>0</v>
      </c>
      <c r="AW431" s="1342">
        <f t="shared" si="245"/>
        <v>0</v>
      </c>
      <c r="AX431" s="1342">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29"/>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0"/>
      <c r="AV432" s="1342">
        <f t="shared" si="244"/>
        <v>0</v>
      </c>
      <c r="AW432" s="1342">
        <f t="shared" si="245"/>
        <v>0</v>
      </c>
      <c r="AX432" s="1342">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29"/>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0"/>
      <c r="AV433" s="1342">
        <f t="shared" si="244"/>
        <v>0</v>
      </c>
      <c r="AW433" s="1342">
        <f t="shared" si="245"/>
        <v>0</v>
      </c>
      <c r="AX433" s="1342">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29"/>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0"/>
      <c r="AV434" s="1342">
        <f t="shared" si="244"/>
        <v>0</v>
      </c>
      <c r="AW434" s="1342">
        <f t="shared" si="245"/>
        <v>0</v>
      </c>
      <c r="AX434" s="1342">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29"/>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0"/>
      <c r="AV435" s="1342">
        <f t="shared" si="244"/>
        <v>0</v>
      </c>
      <c r="AW435" s="1342">
        <f t="shared" si="245"/>
        <v>0</v>
      </c>
      <c r="AX435" s="1342">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29"/>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0"/>
      <c r="AV436" s="1342">
        <f t="shared" si="244"/>
        <v>0</v>
      </c>
      <c r="AW436" s="1342">
        <f t="shared" si="245"/>
        <v>0</v>
      </c>
      <c r="AX436" s="1342">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29"/>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0"/>
      <c r="AV437" s="1342">
        <f t="shared" si="244"/>
        <v>0</v>
      </c>
      <c r="AW437" s="1342">
        <f t="shared" si="245"/>
        <v>0</v>
      </c>
      <c r="AX437" s="1342">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29"/>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0"/>
      <c r="AV438" s="1342">
        <f t="shared" si="244"/>
        <v>0</v>
      </c>
      <c r="AW438" s="1342">
        <f t="shared" si="245"/>
        <v>0</v>
      </c>
      <c r="AX438" s="1342">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29"/>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0"/>
      <c r="AV439" s="1342">
        <f t="shared" si="244"/>
        <v>0</v>
      </c>
      <c r="AW439" s="1342">
        <f t="shared" si="245"/>
        <v>0</v>
      </c>
      <c r="AX439" s="1342">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29"/>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0"/>
      <c r="AV440" s="1342">
        <f t="shared" si="244"/>
        <v>0</v>
      </c>
      <c r="AW440" s="1342">
        <f t="shared" si="245"/>
        <v>0</v>
      </c>
      <c r="AX440" s="1342">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29"/>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0"/>
      <c r="AV441" s="1342">
        <f t="shared" si="244"/>
        <v>0</v>
      </c>
      <c r="AW441" s="1342">
        <f t="shared" si="245"/>
        <v>0</v>
      </c>
      <c r="AX441" s="1342">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29"/>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0"/>
      <c r="AV442" s="1342">
        <f t="shared" si="244"/>
        <v>0</v>
      </c>
      <c r="AW442" s="1342">
        <f t="shared" si="245"/>
        <v>0</v>
      </c>
      <c r="AX442" s="1342">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29"/>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0"/>
      <c r="AV443" s="1342">
        <f t="shared" si="244"/>
        <v>0</v>
      </c>
      <c r="AW443" s="1342">
        <f t="shared" si="245"/>
        <v>0</v>
      </c>
      <c r="AX443" s="1342">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29"/>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0"/>
      <c r="AV444" s="1342">
        <f t="shared" si="244"/>
        <v>0</v>
      </c>
      <c r="AW444" s="1342">
        <f t="shared" si="245"/>
        <v>0</v>
      </c>
      <c r="AX444" s="1342">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29"/>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0"/>
      <c r="AV445" s="1342">
        <f t="shared" si="244"/>
        <v>0</v>
      </c>
      <c r="AW445" s="1342">
        <f t="shared" si="245"/>
        <v>0</v>
      </c>
      <c r="AX445" s="1342">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29"/>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0"/>
      <c r="AV446" s="1342">
        <f t="shared" si="244"/>
        <v>0</v>
      </c>
      <c r="AW446" s="1342">
        <f t="shared" si="245"/>
        <v>0</v>
      </c>
      <c r="AX446" s="1342">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29"/>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0"/>
      <c r="AV447" s="1342">
        <f t="shared" si="244"/>
        <v>0</v>
      </c>
      <c r="AW447" s="1342">
        <f t="shared" si="245"/>
        <v>0</v>
      </c>
      <c r="AX447" s="1342">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29"/>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0"/>
      <c r="AV448" s="1342">
        <f t="shared" si="244"/>
        <v>0</v>
      </c>
      <c r="AW448" s="1342">
        <f t="shared" si="245"/>
        <v>0</v>
      </c>
      <c r="AX448" s="1342">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29"/>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0"/>
      <c r="AV449" s="1342">
        <f t="shared" si="244"/>
        <v>0</v>
      </c>
      <c r="AW449" s="1342">
        <f t="shared" si="245"/>
        <v>0</v>
      </c>
      <c r="AX449" s="1342">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29"/>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0"/>
      <c r="AV450" s="1342">
        <f t="shared" si="244"/>
        <v>0</v>
      </c>
      <c r="AW450" s="1342">
        <f t="shared" si="245"/>
        <v>0</v>
      </c>
      <c r="AX450" s="1342">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29"/>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0"/>
      <c r="AV451" s="1342">
        <f t="shared" si="244"/>
        <v>0</v>
      </c>
      <c r="AW451" s="1342">
        <f t="shared" si="245"/>
        <v>0</v>
      </c>
      <c r="AX451" s="1342">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29"/>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0"/>
      <c r="AV452" s="1342">
        <f t="shared" si="244"/>
        <v>0</v>
      </c>
      <c r="AW452" s="1342">
        <f t="shared" si="245"/>
        <v>0</v>
      </c>
      <c r="AX452" s="1342">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29"/>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0"/>
      <c r="AV453" s="1342">
        <f t="shared" si="244"/>
        <v>0</v>
      </c>
      <c r="AW453" s="1342">
        <f t="shared" si="245"/>
        <v>0</v>
      </c>
      <c r="AX453" s="1342">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29"/>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0"/>
      <c r="AV454" s="1342">
        <f t="shared" si="244"/>
        <v>0</v>
      </c>
      <c r="AW454" s="1342">
        <f t="shared" si="245"/>
        <v>0</v>
      </c>
      <c r="AX454" s="1342">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29"/>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0"/>
      <c r="AV455" s="1342">
        <f t="shared" si="244"/>
        <v>0</v>
      </c>
      <c r="AW455" s="1342">
        <f t="shared" si="245"/>
        <v>0</v>
      </c>
      <c r="AX455" s="1342">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29"/>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0"/>
      <c r="AV456" s="1342">
        <f t="shared" si="244"/>
        <v>0</v>
      </c>
      <c r="AW456" s="1342">
        <f t="shared" si="245"/>
        <v>0</v>
      </c>
      <c r="AX456" s="1342">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29"/>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0"/>
      <c r="AV457" s="1342">
        <f t="shared" si="244"/>
        <v>0</v>
      </c>
      <c r="AW457" s="1342">
        <f t="shared" si="245"/>
        <v>0</v>
      </c>
      <c r="AX457" s="1342">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29"/>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0"/>
      <c r="AV458" s="1342">
        <f t="shared" si="244"/>
        <v>0</v>
      </c>
      <c r="AW458" s="1342">
        <f t="shared" si="245"/>
        <v>0</v>
      </c>
      <c r="AX458" s="1342">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29"/>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0"/>
      <c r="AV459" s="1342">
        <f t="shared" si="244"/>
        <v>0</v>
      </c>
      <c r="AW459" s="1342">
        <f t="shared" si="245"/>
        <v>0</v>
      </c>
      <c r="AX459" s="1342">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29"/>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0"/>
      <c r="AV460" s="1342">
        <f t="shared" si="244"/>
        <v>0</v>
      </c>
      <c r="AW460" s="1342">
        <f t="shared" si="245"/>
        <v>0</v>
      </c>
      <c r="AX460" s="1342">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29"/>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0"/>
      <c r="AV461" s="1342">
        <f t="shared" si="244"/>
        <v>0</v>
      </c>
      <c r="AW461" s="1342">
        <f t="shared" si="245"/>
        <v>0</v>
      </c>
      <c r="AX461" s="1342">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29"/>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0"/>
      <c r="AV462" s="1342">
        <f t="shared" si="244"/>
        <v>0</v>
      </c>
      <c r="AW462" s="1342">
        <f t="shared" si="245"/>
        <v>0</v>
      </c>
      <c r="AX462" s="1342">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29"/>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0"/>
      <c r="AV463" s="1342">
        <f t="shared" si="244"/>
        <v>0</v>
      </c>
      <c r="AW463" s="1342">
        <f t="shared" si="245"/>
        <v>0</v>
      </c>
      <c r="AX463" s="1342">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29"/>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0"/>
      <c r="AV464" s="1342">
        <f t="shared" si="244"/>
        <v>0</v>
      </c>
      <c r="AW464" s="1342">
        <f t="shared" si="245"/>
        <v>0</v>
      </c>
      <c r="AX464" s="1342">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29"/>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0"/>
      <c r="AV465" s="1342">
        <f t="shared" si="244"/>
        <v>0</v>
      </c>
      <c r="AW465" s="1342">
        <f t="shared" si="245"/>
        <v>0</v>
      </c>
      <c r="AX465" s="1342">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29"/>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0"/>
      <c r="AV466" s="1342">
        <f t="shared" si="244"/>
        <v>0</v>
      </c>
      <c r="AW466" s="1342">
        <f t="shared" si="245"/>
        <v>0</v>
      </c>
      <c r="AX466" s="1342">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29"/>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0"/>
      <c r="AV467" s="1342">
        <f t="shared" si="244"/>
        <v>0</v>
      </c>
      <c r="AW467" s="1342">
        <f t="shared" si="245"/>
        <v>0</v>
      </c>
      <c r="AX467" s="1342">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29"/>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0"/>
      <c r="AV468" s="1342">
        <f t="shared" si="244"/>
        <v>0</v>
      </c>
      <c r="AW468" s="1342">
        <f t="shared" si="245"/>
        <v>0</v>
      </c>
      <c r="AX468" s="1342">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29"/>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0"/>
      <c r="AV469" s="1342">
        <f t="shared" si="244"/>
        <v>0</v>
      </c>
      <c r="AW469" s="1342">
        <f t="shared" si="245"/>
        <v>0</v>
      </c>
      <c r="AX469" s="1342">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29"/>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0"/>
      <c r="AV470" s="1342">
        <f t="shared" si="244"/>
        <v>0</v>
      </c>
      <c r="AW470" s="1342">
        <f t="shared" si="245"/>
        <v>0</v>
      </c>
      <c r="AX470" s="1342">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29"/>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0"/>
      <c r="AV471" s="1342">
        <f t="shared" si="244"/>
        <v>0</v>
      </c>
      <c r="AW471" s="1342">
        <f t="shared" si="245"/>
        <v>0</v>
      </c>
      <c r="AX471" s="1342">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29"/>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0"/>
      <c r="AV472" s="1342">
        <f t="shared" si="244"/>
        <v>0</v>
      </c>
      <c r="AW472" s="1342">
        <f t="shared" si="245"/>
        <v>0</v>
      </c>
      <c r="AX472" s="1342">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29"/>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0"/>
      <c r="AV473" s="1342">
        <f t="shared" si="244"/>
        <v>0</v>
      </c>
      <c r="AW473" s="1342">
        <f t="shared" si="245"/>
        <v>0</v>
      </c>
      <c r="AX473" s="1342">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29"/>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0"/>
      <c r="AV474" s="1342">
        <f t="shared" si="244"/>
        <v>0</v>
      </c>
      <c r="AW474" s="1342">
        <f t="shared" si="245"/>
        <v>0</v>
      </c>
      <c r="AX474" s="1342">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29"/>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0"/>
      <c r="AV475" s="1342">
        <f t="shared" si="244"/>
        <v>0</v>
      </c>
      <c r="AW475" s="1342">
        <f t="shared" si="245"/>
        <v>0</v>
      </c>
      <c r="AX475" s="1342">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29"/>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0"/>
      <c r="AV476" s="1342">
        <f t="shared" si="244"/>
        <v>0</v>
      </c>
      <c r="AW476" s="1342">
        <f t="shared" si="245"/>
        <v>0</v>
      </c>
      <c r="AX476" s="1342">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29"/>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0"/>
      <c r="AV477" s="1342">
        <f t="shared" si="244"/>
        <v>0</v>
      </c>
      <c r="AW477" s="1342">
        <f t="shared" si="245"/>
        <v>0</v>
      </c>
      <c r="AX477" s="1342">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29"/>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0"/>
      <c r="AV478" s="1342">
        <f t="shared" si="244"/>
        <v>0</v>
      </c>
      <c r="AW478" s="1342">
        <f t="shared" si="245"/>
        <v>0</v>
      </c>
      <c r="AX478" s="1342">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29"/>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0"/>
      <c r="AV479" s="1342">
        <f t="shared" si="244"/>
        <v>0</v>
      </c>
      <c r="AW479" s="1342">
        <f t="shared" si="245"/>
        <v>0</v>
      </c>
      <c r="AX479" s="1342">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29"/>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0"/>
      <c r="AV480" s="1342">
        <f t="shared" si="244"/>
        <v>0</v>
      </c>
      <c r="AW480" s="1342">
        <f t="shared" si="245"/>
        <v>0</v>
      </c>
      <c r="AX480" s="1342">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29"/>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0"/>
      <c r="AV481" s="1342">
        <f t="shared" si="244"/>
        <v>0</v>
      </c>
      <c r="AW481" s="1342">
        <f t="shared" si="245"/>
        <v>0</v>
      </c>
      <c r="AX481" s="1342">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29"/>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0"/>
      <c r="AV482" s="1342">
        <f t="shared" si="244"/>
        <v>0</v>
      </c>
      <c r="AW482" s="1342">
        <f t="shared" si="245"/>
        <v>0</v>
      </c>
      <c r="AX482" s="1342">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29"/>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0"/>
      <c r="AV483" s="1342">
        <f t="shared" si="244"/>
        <v>0</v>
      </c>
      <c r="AW483" s="1342">
        <f t="shared" si="245"/>
        <v>0</v>
      </c>
      <c r="AX483" s="1342">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29"/>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0"/>
      <c r="AV484" s="1342">
        <f t="shared" si="244"/>
        <v>0</v>
      </c>
      <c r="AW484" s="1342">
        <f t="shared" si="245"/>
        <v>0</v>
      </c>
      <c r="AX484" s="1342">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29"/>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0"/>
      <c r="AV485" s="1342">
        <f t="shared" si="244"/>
        <v>0</v>
      </c>
      <c r="AW485" s="1342">
        <f t="shared" si="245"/>
        <v>0</v>
      </c>
      <c r="AX485" s="1342">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29"/>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0"/>
      <c r="AV486" s="1342">
        <f t="shared" si="244"/>
        <v>0</v>
      </c>
      <c r="AW486" s="1342">
        <f t="shared" si="245"/>
        <v>0</v>
      </c>
      <c r="AX486" s="1342">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29"/>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0"/>
      <c r="AV487" s="1342">
        <f t="shared" si="244"/>
        <v>0</v>
      </c>
      <c r="AW487" s="1342">
        <f t="shared" si="245"/>
        <v>0</v>
      </c>
      <c r="AX487" s="1342">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29"/>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0"/>
      <c r="AV488" s="1342">
        <f t="shared" si="244"/>
        <v>0</v>
      </c>
      <c r="AW488" s="1342">
        <f t="shared" si="245"/>
        <v>0</v>
      </c>
      <c r="AX488" s="1342">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29"/>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0"/>
      <c r="AV489" s="1342">
        <f t="shared" si="244"/>
        <v>0</v>
      </c>
      <c r="AW489" s="1342">
        <f t="shared" si="245"/>
        <v>0</v>
      </c>
      <c r="AX489" s="1342">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29"/>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4"/>
        <v>0</v>
      </c>
      <c r="AW490" s="1342">
        <f t="shared" si="245"/>
        <v>0</v>
      </c>
      <c r="AX490" s="1342">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29"/>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0"/>
      <c r="AV491" s="1342">
        <f t="shared" si="244"/>
        <v>0</v>
      </c>
      <c r="AW491" s="1342">
        <f t="shared" si="245"/>
        <v>0</v>
      </c>
      <c r="AX491" s="1342">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29"/>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0"/>
      <c r="AV492" s="1342">
        <f t="shared" si="244"/>
        <v>0</v>
      </c>
      <c r="AW492" s="1342">
        <f t="shared" si="245"/>
        <v>0</v>
      </c>
      <c r="AX492" s="1342">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29"/>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5">A493</f>
        <v>0</v>
      </c>
      <c r="AW493" s="1342">
        <f t="shared" ref="AW493:AW520" si="296">B493</f>
        <v>0</v>
      </c>
      <c r="AX493" s="1342">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29"/>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0"/>
      <c r="AV494" s="1342">
        <f t="shared" si="295"/>
        <v>0</v>
      </c>
      <c r="AW494" s="1342">
        <f t="shared" si="296"/>
        <v>0</v>
      </c>
      <c r="AX494" s="1342">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29"/>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0"/>
      <c r="AV495" s="1342">
        <f t="shared" si="295"/>
        <v>0</v>
      </c>
      <c r="AW495" s="1342">
        <f t="shared" si="296"/>
        <v>0</v>
      </c>
      <c r="AX495" s="1342">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29"/>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0"/>
      <c r="AV496" s="1342">
        <f t="shared" si="295"/>
        <v>0</v>
      </c>
      <c r="AW496" s="1342">
        <f t="shared" si="296"/>
        <v>0</v>
      </c>
      <c r="AX496" s="1342">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29"/>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0"/>
      <c r="AV497" s="1342">
        <f t="shared" si="295"/>
        <v>0</v>
      </c>
      <c r="AW497" s="1342">
        <f t="shared" si="296"/>
        <v>0</v>
      </c>
      <c r="AX497" s="1342">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29"/>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0"/>
      <c r="AV498" s="1342">
        <f t="shared" si="295"/>
        <v>0</v>
      </c>
      <c r="AW498" s="1342">
        <f t="shared" si="296"/>
        <v>0</v>
      </c>
      <c r="AX498" s="1342">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29"/>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0"/>
      <c r="AV499" s="1342">
        <f t="shared" si="295"/>
        <v>0</v>
      </c>
      <c r="AW499" s="1342">
        <f t="shared" si="296"/>
        <v>0</v>
      </c>
      <c r="AX499" s="1342">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29"/>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0"/>
      <c r="AV500" s="1342">
        <f t="shared" si="295"/>
        <v>0</v>
      </c>
      <c r="AW500" s="1342">
        <f t="shared" si="296"/>
        <v>0</v>
      </c>
      <c r="AX500" s="1342">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29"/>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0"/>
      <c r="AV501" s="1342">
        <f t="shared" si="295"/>
        <v>0</v>
      </c>
      <c r="AW501" s="1342">
        <f t="shared" si="296"/>
        <v>0</v>
      </c>
      <c r="AX501" s="1342">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29"/>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0"/>
      <c r="AV502" s="1342">
        <f t="shared" si="295"/>
        <v>0</v>
      </c>
      <c r="AW502" s="1342">
        <f t="shared" si="296"/>
        <v>0</v>
      </c>
      <c r="AX502" s="1342">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29"/>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0"/>
      <c r="AV503" s="1342">
        <f t="shared" si="295"/>
        <v>0</v>
      </c>
      <c r="AW503" s="1342">
        <f t="shared" si="296"/>
        <v>0</v>
      </c>
      <c r="AX503" s="1342">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29"/>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0"/>
      <c r="AV504" s="1342">
        <f t="shared" si="295"/>
        <v>0</v>
      </c>
      <c r="AW504" s="1342">
        <f t="shared" si="296"/>
        <v>0</v>
      </c>
      <c r="AX504" s="1342">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29"/>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0"/>
      <c r="AV505" s="1342">
        <f t="shared" si="295"/>
        <v>0</v>
      </c>
      <c r="AW505" s="1342">
        <f t="shared" si="296"/>
        <v>0</v>
      </c>
      <c r="AX505" s="1342">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29"/>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0"/>
      <c r="AV506" s="1342">
        <f t="shared" si="295"/>
        <v>0</v>
      </c>
      <c r="AW506" s="1342">
        <f t="shared" si="296"/>
        <v>0</v>
      </c>
      <c r="AX506" s="1342">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29"/>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0"/>
      <c r="AV507" s="1342">
        <f t="shared" si="295"/>
        <v>0</v>
      </c>
      <c r="AW507" s="1342">
        <f t="shared" si="296"/>
        <v>0</v>
      </c>
      <c r="AX507" s="1342">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29"/>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0"/>
      <c r="AV508" s="1342">
        <f t="shared" si="295"/>
        <v>0</v>
      </c>
      <c r="AW508" s="1342">
        <f t="shared" si="296"/>
        <v>0</v>
      </c>
      <c r="AX508" s="1342">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29"/>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0"/>
      <c r="AV509" s="1342">
        <f t="shared" si="295"/>
        <v>0</v>
      </c>
      <c r="AW509" s="1342">
        <f t="shared" si="296"/>
        <v>0</v>
      </c>
      <c r="AX509" s="1342">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29"/>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0"/>
      <c r="AV510" s="1342">
        <f t="shared" si="295"/>
        <v>0</v>
      </c>
      <c r="AW510" s="1342">
        <f t="shared" si="296"/>
        <v>0</v>
      </c>
      <c r="AX510" s="1342">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29"/>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0"/>
      <c r="AV511" s="1342">
        <f t="shared" si="295"/>
        <v>0</v>
      </c>
      <c r="AW511" s="1342">
        <f t="shared" si="296"/>
        <v>0</v>
      </c>
      <c r="AX511" s="1342">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29"/>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0"/>
      <c r="AV512" s="1342">
        <f t="shared" si="295"/>
        <v>0</v>
      </c>
      <c r="AW512" s="1342">
        <f t="shared" si="296"/>
        <v>0</v>
      </c>
      <c r="AX512" s="1342">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29"/>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0"/>
      <c r="AV513" s="1342">
        <f t="shared" si="295"/>
        <v>0</v>
      </c>
      <c r="AW513" s="1342">
        <f t="shared" si="296"/>
        <v>0</v>
      </c>
      <c r="AX513" s="1342">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29"/>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0"/>
      <c r="AV514" s="1342">
        <f t="shared" si="295"/>
        <v>0</v>
      </c>
      <c r="AW514" s="1342">
        <f t="shared" si="296"/>
        <v>0</v>
      </c>
      <c r="AX514" s="1342">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29"/>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0"/>
      <c r="AV515" s="1342">
        <f t="shared" si="295"/>
        <v>0</v>
      </c>
      <c r="AW515" s="1342">
        <f t="shared" si="296"/>
        <v>0</v>
      </c>
      <c r="AX515" s="1342">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29"/>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0"/>
      <c r="AV516" s="1342">
        <f t="shared" si="295"/>
        <v>0</v>
      </c>
      <c r="AW516" s="1342">
        <f t="shared" si="296"/>
        <v>0</v>
      </c>
      <c r="AX516" s="1342">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29"/>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0"/>
      <c r="AV517" s="1342">
        <f t="shared" si="295"/>
        <v>0</v>
      </c>
      <c r="AW517" s="1342">
        <f t="shared" si="296"/>
        <v>0</v>
      </c>
      <c r="AX517" s="1342">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29"/>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0"/>
      <c r="AV518" s="1342">
        <f t="shared" si="295"/>
        <v>0</v>
      </c>
      <c r="AW518" s="1342">
        <f t="shared" si="296"/>
        <v>0</v>
      </c>
      <c r="AX518" s="1342">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29"/>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0"/>
      <c r="AV519" s="1342">
        <f t="shared" si="295"/>
        <v>0</v>
      </c>
      <c r="AW519" s="1342">
        <f t="shared" si="296"/>
        <v>0</v>
      </c>
      <c r="AX519" s="1342">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29"/>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0"/>
      <c r="AV520" s="1342">
        <f t="shared" si="295"/>
        <v>0</v>
      </c>
      <c r="AW520" s="1342">
        <f t="shared" si="296"/>
        <v>0</v>
      </c>
      <c r="AX520" s="1342">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29"/>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9">A521</f>
        <v>0</v>
      </c>
      <c r="AW521" s="1342">
        <f t="shared" ref="AW521:AW552" si="300">B521</f>
        <v>0</v>
      </c>
      <c r="AX521" s="1342">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29"/>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9"/>
        <v>0</v>
      </c>
      <c r="AW522" s="1342">
        <f t="shared" si="300"/>
        <v>0</v>
      </c>
      <c r="AX522" s="1342">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29"/>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0"/>
      <c r="AV523" s="1342">
        <f t="shared" si="299"/>
        <v>0</v>
      </c>
      <c r="AW523" s="1342">
        <f t="shared" si="300"/>
        <v>0</v>
      </c>
      <c r="AX523" s="1342">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29"/>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0"/>
      <c r="AV524" s="1342">
        <f t="shared" si="299"/>
        <v>0</v>
      </c>
      <c r="AW524" s="1342">
        <f t="shared" si="300"/>
        <v>0</v>
      </c>
      <c r="AX524" s="1342">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29"/>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0"/>
      <c r="AV525" s="1342">
        <f t="shared" si="299"/>
        <v>0</v>
      </c>
      <c r="AW525" s="1342">
        <f t="shared" si="300"/>
        <v>0</v>
      </c>
      <c r="AX525" s="1342">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29"/>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0"/>
      <c r="AV526" s="1342">
        <f t="shared" si="299"/>
        <v>0</v>
      </c>
      <c r="AW526" s="1342">
        <f t="shared" si="300"/>
        <v>0</v>
      </c>
      <c r="AX526" s="1342">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29"/>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0"/>
      <c r="AV527" s="1342">
        <f t="shared" si="299"/>
        <v>0</v>
      </c>
      <c r="AW527" s="1342">
        <f t="shared" si="300"/>
        <v>0</v>
      </c>
      <c r="AX527" s="1342">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29"/>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0"/>
      <c r="AV528" s="1342">
        <f t="shared" si="299"/>
        <v>0</v>
      </c>
      <c r="AW528" s="1342">
        <f t="shared" si="300"/>
        <v>0</v>
      </c>
      <c r="AX528" s="1342">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29"/>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0"/>
      <c r="AV529" s="1342">
        <f t="shared" si="299"/>
        <v>0</v>
      </c>
      <c r="AW529" s="1342">
        <f t="shared" si="300"/>
        <v>0</v>
      </c>
      <c r="AX529" s="1342">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29"/>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0"/>
      <c r="AV530" s="1342">
        <f t="shared" si="299"/>
        <v>0</v>
      </c>
      <c r="AW530" s="1342">
        <f t="shared" si="300"/>
        <v>0</v>
      </c>
      <c r="AX530" s="1342">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29"/>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0"/>
      <c r="AV531" s="1342">
        <f t="shared" si="299"/>
        <v>0</v>
      </c>
      <c r="AW531" s="1342">
        <f t="shared" si="300"/>
        <v>0</v>
      </c>
      <c r="AX531" s="1342">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29"/>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0"/>
      <c r="AV532" s="1342">
        <f t="shared" si="299"/>
        <v>0</v>
      </c>
      <c r="AW532" s="1342">
        <f t="shared" si="300"/>
        <v>0</v>
      </c>
      <c r="AX532" s="1342">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29"/>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0"/>
      <c r="AV533" s="1342">
        <f t="shared" si="299"/>
        <v>0</v>
      </c>
      <c r="AW533" s="1342">
        <f t="shared" si="300"/>
        <v>0</v>
      </c>
      <c r="AX533" s="1342">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29"/>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0"/>
      <c r="AV534" s="1342">
        <f t="shared" si="299"/>
        <v>0</v>
      </c>
      <c r="AW534" s="1342">
        <f t="shared" si="300"/>
        <v>0</v>
      </c>
      <c r="AX534" s="1342">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29"/>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0"/>
      <c r="AV535" s="1342">
        <f t="shared" si="299"/>
        <v>0</v>
      </c>
      <c r="AW535" s="1342">
        <f t="shared" si="300"/>
        <v>0</v>
      </c>
      <c r="AX535" s="1342">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29"/>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0"/>
      <c r="AV536" s="1342">
        <f t="shared" si="299"/>
        <v>0</v>
      </c>
      <c r="AW536" s="1342">
        <f t="shared" si="300"/>
        <v>0</v>
      </c>
      <c r="AX536" s="1342">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29"/>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0"/>
      <c r="AV537" s="1342">
        <f t="shared" si="299"/>
        <v>0</v>
      </c>
      <c r="AW537" s="1342">
        <f t="shared" si="300"/>
        <v>0</v>
      </c>
      <c r="AX537" s="1342">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29"/>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0"/>
      <c r="AV538" s="1342">
        <f t="shared" si="299"/>
        <v>0</v>
      </c>
      <c r="AW538" s="1342">
        <f t="shared" si="300"/>
        <v>0</v>
      </c>
      <c r="AX538" s="1342">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29"/>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0"/>
      <c r="AV539" s="1342">
        <f t="shared" si="299"/>
        <v>0</v>
      </c>
      <c r="AW539" s="1342">
        <f t="shared" si="300"/>
        <v>0</v>
      </c>
      <c r="AX539" s="1342">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29"/>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0"/>
      <c r="AV540" s="1342">
        <f t="shared" si="299"/>
        <v>0</v>
      </c>
      <c r="AW540" s="1342">
        <f t="shared" si="300"/>
        <v>0</v>
      </c>
      <c r="AX540" s="1342">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29"/>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0"/>
      <c r="AV541" s="1342">
        <f t="shared" si="299"/>
        <v>0</v>
      </c>
      <c r="AW541" s="1342">
        <f t="shared" si="300"/>
        <v>0</v>
      </c>
      <c r="AX541" s="1342">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29"/>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0"/>
      <c r="AV542" s="1342">
        <f t="shared" si="299"/>
        <v>0</v>
      </c>
      <c r="AW542" s="1342">
        <f t="shared" si="300"/>
        <v>0</v>
      </c>
      <c r="AX542" s="1342">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29"/>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0"/>
      <c r="AV543" s="1342">
        <f t="shared" si="299"/>
        <v>0</v>
      </c>
      <c r="AW543" s="1342">
        <f t="shared" si="300"/>
        <v>0</v>
      </c>
      <c r="AX543" s="1342">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29"/>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0"/>
      <c r="AV544" s="1342">
        <f t="shared" si="299"/>
        <v>0</v>
      </c>
      <c r="AW544" s="1342">
        <f t="shared" si="300"/>
        <v>0</v>
      </c>
      <c r="AX544" s="1342">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29"/>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0"/>
      <c r="AV545" s="1342">
        <f t="shared" si="299"/>
        <v>0</v>
      </c>
      <c r="AW545" s="1342">
        <f t="shared" si="300"/>
        <v>0</v>
      </c>
      <c r="AX545" s="1342">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29"/>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0"/>
      <c r="AV546" s="1342">
        <f t="shared" si="299"/>
        <v>0</v>
      </c>
      <c r="AW546" s="1342">
        <f t="shared" si="300"/>
        <v>0</v>
      </c>
      <c r="AX546" s="1342">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29"/>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0"/>
      <c r="AV547" s="1342">
        <f t="shared" si="299"/>
        <v>0</v>
      </c>
      <c r="AW547" s="1342">
        <f t="shared" si="300"/>
        <v>0</v>
      </c>
      <c r="AX547" s="1342">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29"/>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0"/>
      <c r="AV548" s="1342">
        <f t="shared" si="299"/>
        <v>0</v>
      </c>
      <c r="AW548" s="1342">
        <f t="shared" si="300"/>
        <v>0</v>
      </c>
      <c r="AX548" s="1342">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29"/>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0"/>
      <c r="AV549" s="1342">
        <f t="shared" si="299"/>
        <v>0</v>
      </c>
      <c r="AW549" s="1342">
        <f t="shared" si="300"/>
        <v>0</v>
      </c>
      <c r="AX549" s="1342">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29"/>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0"/>
      <c r="AV550" s="1342">
        <f t="shared" si="299"/>
        <v>0</v>
      </c>
      <c r="AW550" s="1342">
        <f t="shared" si="300"/>
        <v>0</v>
      </c>
      <c r="AX550" s="1342">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29"/>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0"/>
      <c r="AV551" s="1342">
        <f t="shared" si="299"/>
        <v>0</v>
      </c>
      <c r="AW551" s="1342">
        <f t="shared" si="300"/>
        <v>0</v>
      </c>
      <c r="AX551" s="1342">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29"/>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0"/>
      <c r="AV552" s="1342">
        <f t="shared" si="299"/>
        <v>0</v>
      </c>
      <c r="AW552" s="1342">
        <f t="shared" si="300"/>
        <v>0</v>
      </c>
      <c r="AX552" s="1342">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29"/>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1">A553</f>
        <v>0</v>
      </c>
      <c r="AW553" s="1342">
        <f t="shared" ref="AW553:AW587" si="332">B553</f>
        <v>0</v>
      </c>
      <c r="AX553" s="1342">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29"/>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0"/>
      <c r="AV554" s="1342">
        <f t="shared" si="331"/>
        <v>0</v>
      </c>
      <c r="AW554" s="1342">
        <f t="shared" si="332"/>
        <v>0</v>
      </c>
      <c r="AX554" s="1342">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29"/>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0"/>
      <c r="AV555" s="1342">
        <f t="shared" si="331"/>
        <v>0</v>
      </c>
      <c r="AW555" s="1342">
        <f t="shared" si="332"/>
        <v>0</v>
      </c>
      <c r="AX555" s="1342">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29"/>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0"/>
      <c r="AV556" s="1342">
        <f t="shared" si="331"/>
        <v>0</v>
      </c>
      <c r="AW556" s="1342">
        <f t="shared" si="332"/>
        <v>0</v>
      </c>
      <c r="AX556" s="1342">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29"/>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0"/>
      <c r="AV557" s="1342">
        <f t="shared" si="331"/>
        <v>0</v>
      </c>
      <c r="AW557" s="1342">
        <f t="shared" si="332"/>
        <v>0</v>
      </c>
      <c r="AX557" s="1342">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29"/>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0"/>
      <c r="AV558" s="1342">
        <f t="shared" si="331"/>
        <v>0</v>
      </c>
      <c r="AW558" s="1342">
        <f t="shared" si="332"/>
        <v>0</v>
      </c>
      <c r="AX558" s="1342">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29"/>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0"/>
      <c r="AV559" s="1342">
        <f t="shared" si="331"/>
        <v>0</v>
      </c>
      <c r="AW559" s="1342">
        <f t="shared" si="332"/>
        <v>0</v>
      </c>
      <c r="AX559" s="1342">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29"/>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0"/>
      <c r="AV560" s="1342">
        <f t="shared" si="331"/>
        <v>0</v>
      </c>
      <c r="AW560" s="1342">
        <f t="shared" si="332"/>
        <v>0</v>
      </c>
      <c r="AX560" s="1342">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29"/>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0"/>
      <c r="AV561" s="1342">
        <f t="shared" si="331"/>
        <v>0</v>
      </c>
      <c r="AW561" s="1342">
        <f t="shared" si="332"/>
        <v>0</v>
      </c>
      <c r="AX561" s="1342">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29"/>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0"/>
      <c r="AV562" s="1342">
        <f t="shared" si="331"/>
        <v>0</v>
      </c>
      <c r="AW562" s="1342">
        <f t="shared" si="332"/>
        <v>0</v>
      </c>
      <c r="AX562" s="1342">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29"/>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0"/>
      <c r="AV563" s="1342">
        <f t="shared" si="331"/>
        <v>0</v>
      </c>
      <c r="AW563" s="1342">
        <f t="shared" si="332"/>
        <v>0</v>
      </c>
      <c r="AX563" s="1342">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29"/>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0"/>
      <c r="AV564" s="1342">
        <f t="shared" si="331"/>
        <v>0</v>
      </c>
      <c r="AW564" s="1342">
        <f t="shared" si="332"/>
        <v>0</v>
      </c>
      <c r="AX564" s="1342">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29"/>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0"/>
      <c r="AV565" s="1342">
        <f t="shared" si="331"/>
        <v>0</v>
      </c>
      <c r="AW565" s="1342">
        <f t="shared" si="332"/>
        <v>0</v>
      </c>
      <c r="AX565" s="1342">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29"/>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0"/>
      <c r="AV566" s="1342">
        <f t="shared" si="331"/>
        <v>0</v>
      </c>
      <c r="AW566" s="1342">
        <f t="shared" si="332"/>
        <v>0</v>
      </c>
      <c r="AX566" s="1342">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29"/>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0"/>
      <c r="AV567" s="1342">
        <f t="shared" si="331"/>
        <v>0</v>
      </c>
      <c r="AW567" s="1342">
        <f t="shared" si="332"/>
        <v>0</v>
      </c>
      <c r="AX567" s="1342">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29"/>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0"/>
      <c r="AV568" s="1342">
        <f t="shared" si="331"/>
        <v>0</v>
      </c>
      <c r="AW568" s="1342">
        <f t="shared" si="332"/>
        <v>0</v>
      </c>
      <c r="AX568" s="1342">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29"/>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0"/>
      <c r="AV569" s="1342">
        <f t="shared" si="331"/>
        <v>0</v>
      </c>
      <c r="AW569" s="1342">
        <f t="shared" si="332"/>
        <v>0</v>
      </c>
      <c r="AX569" s="1342">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29"/>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0"/>
      <c r="AV570" s="1342">
        <f t="shared" si="331"/>
        <v>0</v>
      </c>
      <c r="AW570" s="1342">
        <f t="shared" si="332"/>
        <v>0</v>
      </c>
      <c r="AX570" s="1342">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29"/>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0"/>
      <c r="AV571" s="1342">
        <f t="shared" si="331"/>
        <v>0</v>
      </c>
      <c r="AW571" s="1342">
        <f t="shared" si="332"/>
        <v>0</v>
      </c>
      <c r="AX571" s="1342">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29"/>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0"/>
      <c r="AV572" s="1342">
        <f t="shared" si="331"/>
        <v>0</v>
      </c>
      <c r="AW572" s="1342">
        <f t="shared" si="332"/>
        <v>0</v>
      </c>
      <c r="AX572" s="1342">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29"/>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0"/>
      <c r="AV573" s="1342">
        <f t="shared" si="331"/>
        <v>0</v>
      </c>
      <c r="AW573" s="1342">
        <f t="shared" si="332"/>
        <v>0</v>
      </c>
      <c r="AX573" s="1342">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29"/>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0"/>
      <c r="AV574" s="1342">
        <f t="shared" si="331"/>
        <v>0</v>
      </c>
      <c r="AW574" s="1342">
        <f t="shared" si="332"/>
        <v>0</v>
      </c>
      <c r="AX574" s="1342">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29"/>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0"/>
      <c r="AV575" s="1342">
        <f t="shared" si="331"/>
        <v>0</v>
      </c>
      <c r="AW575" s="1342">
        <f t="shared" si="332"/>
        <v>0</v>
      </c>
      <c r="AX575" s="1342">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29"/>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0"/>
      <c r="AV576" s="1342">
        <f t="shared" si="331"/>
        <v>0</v>
      </c>
      <c r="AW576" s="1342">
        <f t="shared" si="332"/>
        <v>0</v>
      </c>
      <c r="AX576" s="1342">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29"/>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0"/>
      <c r="AV577" s="1342">
        <f t="shared" si="331"/>
        <v>0</v>
      </c>
      <c r="AW577" s="1342">
        <f t="shared" si="332"/>
        <v>0</v>
      </c>
      <c r="AX577" s="1342">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29"/>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0"/>
      <c r="AV578" s="1342">
        <f t="shared" si="331"/>
        <v>0</v>
      </c>
      <c r="AW578" s="1342">
        <f t="shared" si="332"/>
        <v>0</v>
      </c>
      <c r="AX578" s="1342">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29"/>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0"/>
      <c r="AV579" s="1342">
        <f t="shared" si="331"/>
        <v>0</v>
      </c>
      <c r="AW579" s="1342">
        <f t="shared" si="332"/>
        <v>0</v>
      </c>
      <c r="AX579" s="1342">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29"/>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0"/>
      <c r="AV580" s="1342">
        <f t="shared" si="331"/>
        <v>0</v>
      </c>
      <c r="AW580" s="1342">
        <f t="shared" si="332"/>
        <v>0</v>
      </c>
      <c r="AX580" s="1342">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29"/>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0"/>
      <c r="AV581" s="1342">
        <f t="shared" si="331"/>
        <v>0</v>
      </c>
      <c r="AW581" s="1342">
        <f t="shared" si="332"/>
        <v>0</v>
      </c>
      <c r="AX581" s="1342">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29"/>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0"/>
      <c r="AV582" s="1342">
        <f t="shared" si="331"/>
        <v>0</v>
      </c>
      <c r="AW582" s="1342">
        <f t="shared" si="332"/>
        <v>0</v>
      </c>
      <c r="AX582" s="1342">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29"/>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0"/>
      <c r="AV583" s="1342">
        <f t="shared" si="331"/>
        <v>0</v>
      </c>
      <c r="AW583" s="1342">
        <f t="shared" si="332"/>
        <v>0</v>
      </c>
      <c r="AX583" s="1342">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29"/>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0"/>
      <c r="AV584" s="1342">
        <f t="shared" si="331"/>
        <v>0</v>
      </c>
      <c r="AW584" s="1342">
        <f t="shared" si="332"/>
        <v>0</v>
      </c>
      <c r="AX584" s="1342">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29"/>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1"/>
        <v>0</v>
      </c>
      <c r="AW585" s="1342">
        <f t="shared" si="332"/>
        <v>0</v>
      </c>
      <c r="AX585" s="1342">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1"/>
        <v>0</v>
      </c>
      <c r="AW586" s="1342">
        <f t="shared" si="332"/>
        <v>0</v>
      </c>
      <c r="AX586" s="1342">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1"/>
        <v>0</v>
      </c>
      <c r="AW587" s="1342">
        <f t="shared" si="332"/>
        <v>0</v>
      </c>
      <c r="AX587" s="1342">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8"/>
      <c r="G2" s="2649"/>
      <c r="H2" s="2650"/>
      <c r="I2" s="2324" t="s">
        <v>1132</v>
      </c>
      <c r="J2" s="2658"/>
      <c r="K2" s="2658"/>
      <c r="L2" s="2658"/>
      <c r="M2" s="2658"/>
      <c r="N2" s="2660"/>
      <c r="O2" s="2658"/>
      <c r="P2" s="2658"/>
    </row>
    <row r="3" spans="1:16" ht="15.75" thickBot="1">
      <c r="A3" s="3556" t="s">
        <v>1105</v>
      </c>
      <c r="B3" s="3556"/>
      <c r="C3" s="3556"/>
      <c r="D3" s="43">
        <f>'数据-基础表'!AY6</f>
        <v>32779.72</v>
      </c>
      <c r="E3" s="43">
        <f>'数据-基础表'!AZ5</f>
        <v>58700.09</v>
      </c>
      <c r="F3" s="2658"/>
      <c r="G3" s="1145"/>
      <c r="H3" s="1026" t="s">
        <v>1106</v>
      </c>
      <c r="I3" s="855">
        <f>ROUND('数据-基础表'!B3/'数据-基础表'!A3,2)</f>
        <v>1.79</v>
      </c>
      <c r="J3" s="2658"/>
      <c r="K3" s="2658"/>
      <c r="L3" s="2658"/>
      <c r="M3" s="2658"/>
      <c r="N3" s="2660"/>
      <c r="O3" s="2658"/>
      <c r="P3" s="2658"/>
    </row>
    <row r="4" spans="1:16" ht="15">
      <c r="A4" s="3557"/>
      <c r="B4" s="3558"/>
      <c r="C4" s="3559"/>
      <c r="D4" s="1640" t="s">
        <v>1107</v>
      </c>
      <c r="E4" s="1641" t="s">
        <v>1108</v>
      </c>
      <c r="F4" s="2658"/>
      <c r="G4" s="2651" t="s">
        <v>1133</v>
      </c>
      <c r="H4" s="1026" t="s">
        <v>1113</v>
      </c>
      <c r="I4" s="855">
        <f>ROUND(SUMIF('数据-基础表'!I9:AS9,"地上",'数据-基础表'!I5:AS5)/'数据-基础表'!A3,2)</f>
        <v>1.2</v>
      </c>
      <c r="J4" s="2658"/>
      <c r="K4" s="2658"/>
      <c r="L4" s="2658"/>
      <c r="M4" s="2658"/>
      <c r="N4" s="2660"/>
      <c r="O4" s="2658"/>
      <c r="P4" s="2658"/>
    </row>
    <row r="5" spans="1:16">
      <c r="A5" s="44" t="s">
        <v>1109</v>
      </c>
      <c r="B5" s="3560" t="s">
        <v>1110</v>
      </c>
      <c r="C5" s="3560"/>
      <c r="D5" s="45">
        <f>ROUND($D$3*E5/$E$3,2)</f>
        <v>0</v>
      </c>
      <c r="E5" s="46">
        <f>SUMIF('数据-基础表'!$11:$11,"住宅",'数据-基础表'!$5:$5)</f>
        <v>0</v>
      </c>
      <c r="F5" s="2658"/>
      <c r="G5" s="1145"/>
      <c r="H5" s="1026" t="s">
        <v>1106</v>
      </c>
      <c r="I5" s="855">
        <f>ROUND(E31/D31,2)</f>
        <v>1.79</v>
      </c>
      <c r="J5" s="2658"/>
      <c r="K5" s="2658"/>
      <c r="L5" s="2658"/>
      <c r="M5" s="2658"/>
      <c r="N5" s="2658"/>
      <c r="O5" s="2658"/>
      <c r="P5" s="2658"/>
    </row>
    <row r="6" spans="1:16" ht="15" thickBot="1">
      <c r="A6" s="1643"/>
      <c r="B6" s="3560" t="s">
        <v>1111</v>
      </c>
      <c r="C6" s="3560"/>
      <c r="D6" s="45">
        <f>ROUND($D$3*E6/$E$3,2)</f>
        <v>32779.72</v>
      </c>
      <c r="E6" s="46">
        <f>E3-E5</f>
        <v>58700.09</v>
      </c>
      <c r="F6" s="2658"/>
      <c r="G6" s="2652" t="s">
        <v>1112</v>
      </c>
      <c r="H6" s="1146" t="s">
        <v>1113</v>
      </c>
      <c r="I6" s="2653">
        <f>ROUND(F31/D31,2)</f>
        <v>1.2</v>
      </c>
      <c r="J6" s="2658"/>
      <c r="K6" s="2658"/>
      <c r="L6" s="2658"/>
      <c r="M6" s="2658"/>
      <c r="N6" s="2658"/>
      <c r="O6" s="2658"/>
      <c r="P6" s="2658"/>
    </row>
    <row r="7" spans="1:16" ht="15.75" thickBot="1">
      <c r="A7" s="3552"/>
      <c r="B7" s="3553"/>
      <c r="C7" s="3554"/>
      <c r="D7" s="1640" t="s">
        <v>1107</v>
      </c>
      <c r="E7" s="1644" t="s">
        <v>1114</v>
      </c>
      <c r="F7" s="2658"/>
      <c r="G7" s="2654" t="s">
        <v>1115</v>
      </c>
      <c r="H7" s="2655"/>
      <c r="I7" s="2656">
        <f>I6</f>
        <v>1.2</v>
      </c>
      <c r="J7" s="2658"/>
      <c r="K7" s="2658"/>
      <c r="L7" s="2658"/>
      <c r="M7" s="2658"/>
      <c r="N7" s="2658"/>
      <c r="O7" s="2658"/>
      <c r="P7" s="2658"/>
    </row>
    <row r="8" spans="1:16">
      <c r="A8" s="44" t="s">
        <v>1116</v>
      </c>
      <c r="B8" s="47" t="s">
        <v>1117</v>
      </c>
      <c r="C8" s="45" t="s">
        <v>1118</v>
      </c>
      <c r="D8" s="45">
        <f t="shared" ref="D8:D15" si="0">ROUND($D$3*E8/$E$3,2)</f>
        <v>21885.7</v>
      </c>
      <c r="E8" s="48">
        <f>SUMIF('数据-基础表'!BB10:BK10,"地上",'数据-基础表'!BB5:BK5)</f>
        <v>39191.68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21885.7</v>
      </c>
      <c r="E16" s="50">
        <f>SUM(E8:E15)</f>
        <v>39191.68</v>
      </c>
      <c r="F16" s="2658"/>
      <c r="G16" s="2659"/>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3401</v>
      </c>
      <c r="D19" s="45">
        <f>ROUND($D$3*E19/$E$3,2)</f>
        <v>32779.72</v>
      </c>
      <c r="E19" s="53">
        <f t="shared" ref="E19:E26" si="1">SUM(F19:G19)</f>
        <v>58700.09</v>
      </c>
      <c r="F19" s="2794">
        <f>'数据-基础表'!I5</f>
        <v>39191.68</v>
      </c>
      <c r="G19" s="2795">
        <f>'数据-基础表'!K5</f>
        <v>19508.41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32779.72</v>
      </c>
      <c r="S19" s="1027">
        <f t="shared" si="5"/>
        <v>58700.09</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32779.72</v>
      </c>
      <c r="E27" s="1141">
        <f>IF(SUM(E19:E26)='数据-基础表'!BA5,SUM(E19:E26),IF(F27="地上面积有误","面积有误","地下面积有误"))</f>
        <v>58700.09</v>
      </c>
      <c r="F27" s="1140">
        <f>IF(SUM(F19:F26)=E8,SUM(F19:F26),"地上面积有误")</f>
        <v>39191.68</v>
      </c>
      <c r="G27" s="1142">
        <f>SUM(G19:G26)</f>
        <v>19508.41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32779.72</v>
      </c>
      <c r="S27" s="1026">
        <f>IF(SUM(S19:S26)=$E$3,SUM(S19:S26),SUM(S19:S26)&amp;"误差"&amp;ROUND(SUM(S19:S26)-E3,2))</f>
        <v>58700.09</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32779.72</v>
      </c>
      <c r="E31" s="676">
        <f>E27+E30</f>
        <v>58700.09</v>
      </c>
      <c r="F31" s="677">
        <f>F27+F30</f>
        <v>39191.68</v>
      </c>
      <c r="G31" s="678">
        <f>G27+G30</f>
        <v>19508.41</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45112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60994</v>
      </c>
      <c r="F6" s="64">
        <f>SUMIF(项目基本情况!C$12:I$12,C6,项目基本情况!C$15:I$15)</f>
        <v>43.51</v>
      </c>
      <c r="G6" s="65">
        <f>IF(ISERROR(ROUND(POWER(1+H6,D6-F6)*(POWER(1+H6,F6)-1)/(POWER(1+H6,D6)-1),3)),0,ROUND(POWER(1+H6,D6-F6)*(POWER(1+H6,F6)-1)/(POWER(1+H6,D6)-1),3))</f>
        <v>0.96399999999999997</v>
      </c>
      <c r="H6" s="732">
        <v>0.05</v>
      </c>
      <c r="I6" s="732">
        <v>5.5E-2</v>
      </c>
      <c r="J6" s="66">
        <v>7.0000000000000007E-2</v>
      </c>
      <c r="K6" s="1030">
        <f>SUMIF('数据-汇总表'!C$19:C$33,A6,'数据-汇总表'!E$19:E$33)</f>
        <v>58700.09</v>
      </c>
      <c r="L6" s="733">
        <v>4500</v>
      </c>
      <c r="M6" s="67">
        <f t="shared" ref="M6:M14" si="0">ROUND(K6*L6/10000,0)</f>
        <v>26415</v>
      </c>
      <c r="N6" s="731">
        <f>N19</f>
        <v>0.95</v>
      </c>
      <c r="O6" s="67" t="str">
        <f>IF($N$5="成新度","——",ROUND(M6*N6,0))</f>
        <v>——</v>
      </c>
      <c r="P6" s="68" t="str">
        <f>IF($N$5="成新度","——",M6-O6)</f>
        <v>——</v>
      </c>
      <c r="Q6" s="734">
        <v>0.1</v>
      </c>
      <c r="R6" s="69">
        <f ca="1">SUMIF('数据-汇总表'!C$19:C$33,A6,'数据-汇总表'!R$19:R$27)</f>
        <v>32779.72</v>
      </c>
      <c r="S6" s="51">
        <f>IF('数据-汇总表'!$I$17="按面积比例",SUMIF('数据-汇总表'!C$19:C$33,A6,'数据-汇总表'!K$19:K$33),SUMIF('数据-汇总表'!C$19:C$33,A6,'数据-汇总表'!N$19:N$33))</f>
        <v>0</v>
      </c>
      <c r="T6" s="1172">
        <f>ROUND($L$14*S6/10000,0)</f>
        <v>0</v>
      </c>
      <c r="U6" s="3451">
        <v>1.7</v>
      </c>
      <c r="V6" s="3452">
        <v>2.5000000000000001E-2</v>
      </c>
      <c r="W6" s="70">
        <v>0.1</v>
      </c>
      <c r="X6" s="1040"/>
      <c r="Y6" s="71">
        <f>N6</f>
        <v>0.95</v>
      </c>
      <c r="Z6" s="72"/>
      <c r="AA6" s="66"/>
      <c r="AB6" s="66"/>
      <c r="AC6" s="1040"/>
      <c r="AD6" s="73"/>
      <c r="AE6" s="1041">
        <f ca="1">IF(AN6="",0,SUMIF(INDIRECT("'"&amp;AN6&amp;"'"&amp;"!E:E"),$AE$5,INDIRECT("'"&amp;AN6&amp;"'"&amp;"!F:F")))</f>
        <v>43.51</v>
      </c>
      <c r="AF6" s="1347"/>
      <c r="AG6" s="138">
        <f>IF(AF6="",0,AE6-AF6)</f>
        <v>0</v>
      </c>
      <c r="AH6" s="74"/>
      <c r="AI6" s="76">
        <v>365</v>
      </c>
      <c r="AJ6" s="77"/>
      <c r="AK6" s="78">
        <v>8.0000000000000002E-3</v>
      </c>
      <c r="AL6" s="79">
        <v>1E-3</v>
      </c>
      <c r="AM6" s="80">
        <v>8.0000000000000002E-3</v>
      </c>
      <c r="AN6" s="1714" t="s">
        <v>3406</v>
      </c>
      <c r="AO6" s="52">
        <f ca="1">SUMIF(INDIRECT("'"&amp;AN6&amp;"'"&amp;"!A:A"),"总价",INDIRECT("'"&amp;AN6&amp;"'"&amp;"!B:B"))</f>
        <v>57191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0.96399999999999997</v>
      </c>
      <c r="H16" s="90">
        <f>ROUND(SUMPRODUCT(H6:H13,K6:K13)/SUMPRODUCT((H6:H13&gt;0)*(K6:K13)),3)</f>
        <v>0.05</v>
      </c>
      <c r="I16" s="91"/>
      <c r="J16" s="91"/>
      <c r="K16" s="92">
        <f>SUM(K6:K15)</f>
        <v>58700.09</v>
      </c>
      <c r="L16" s="93">
        <f>ROUND(M16*10000/SUM(K6:K14),0)</f>
        <v>4500</v>
      </c>
      <c r="M16" s="93">
        <f>SUM(M6:M14)</f>
        <v>26415</v>
      </c>
      <c r="N16" s="94">
        <f>ROUND(SUMPRODUCT(M6:M14,N6:N14)/M16,3)</f>
        <v>0.95</v>
      </c>
      <c r="O16" s="93">
        <f>SUM(O6:O14)</f>
        <v>0</v>
      </c>
      <c r="P16" s="93">
        <f>SUM(P6:P14)</f>
        <v>0</v>
      </c>
      <c r="Q16" s="95">
        <f>ROUND(SUMPRODUCT(Q6:Q13,K6:K13)/SUMPRODUCT((Q6:Q13&gt;0)*(K6:K13)),2)</f>
        <v>0.1</v>
      </c>
      <c r="R16" s="1034">
        <f ca="1">SUM(R6:R13)</f>
        <v>32779.72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449" t="s">
        <v>3403</v>
      </c>
      <c r="N19" s="3450">
        <f>ROUND(1-(2023-2020)/60,2)</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3449" t="s">
        <v>3404</v>
      </c>
      <c r="N20" s="3450">
        <v>0.85</v>
      </c>
      <c r="O20" s="2670"/>
      <c r="P20" s="2670"/>
      <c r="Q20" s="2670"/>
      <c r="R20" s="2670"/>
      <c r="S20" s="2670"/>
      <c r="T20" s="2670"/>
      <c r="U20" s="3471">
        <f>'数据-汇总表'!F19</f>
        <v>39191.68</v>
      </c>
      <c r="V20" s="2670">
        <v>2.4</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3449" t="s">
        <v>3405</v>
      </c>
      <c r="N21" s="3450">
        <f>ROUND((N19+N20)/2,2)</f>
        <v>0.9</v>
      </c>
      <c r="O21" s="2670"/>
      <c r="P21" s="2670"/>
      <c r="Q21" s="2670"/>
      <c r="R21" s="2670"/>
      <c r="S21" s="2670"/>
      <c r="T21" s="2670"/>
      <c r="U21" s="1680">
        <v>2000</v>
      </c>
      <c r="V21" s="1680">
        <v>1.6</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f>'数据-汇总表'!G19-U21</f>
        <v>17508.41</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3471">
        <f>K16</f>
        <v>58700.09</v>
      </c>
      <c r="V23" s="3472">
        <f>(U20*V20+U21*V21)/U23</f>
        <v>1.6568974936835701</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ROUND(200*K16/10000,0)</f>
        <v>1174</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5">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1" t="s">
        <v>2282</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6.75">
      <c r="A4" s="2441"/>
      <c r="B4" s="323" t="s">
        <v>2250</v>
      </c>
      <c r="C4" s="2467" t="s">
        <v>2251</v>
      </c>
      <c r="D4" s="2464"/>
      <c r="E4" s="2468"/>
      <c r="F4" s="1372"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36">
      <c r="A6" s="2441"/>
      <c r="B6" s="323" t="s">
        <v>2258</v>
      </c>
      <c r="C6" s="2469" t="s">
        <v>2253</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9" customFormat="1" ht="15"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3" sqref="L1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58700.09</v>
      </c>
      <c r="C1" s="2685"/>
      <c r="D1" s="2685"/>
      <c r="E1" s="2685"/>
      <c r="F1" s="2685"/>
      <c r="G1" s="2686"/>
      <c r="H1" s="2687"/>
      <c r="I1" s="2687"/>
      <c r="J1" s="2687"/>
      <c r="K1" s="2687"/>
    </row>
    <row r="2" spans="1:11" ht="16.5">
      <c r="A2" s="2511" t="s">
        <v>653</v>
      </c>
      <c r="B2" s="2511">
        <f>SUM(C14:C23)</f>
        <v>32779.72</v>
      </c>
      <c r="C2" s="2685"/>
      <c r="D2" s="2685"/>
      <c r="E2" s="2685"/>
      <c r="F2" s="2685"/>
      <c r="G2" s="2686"/>
      <c r="H2" s="2687"/>
      <c r="I2" s="2687"/>
      <c r="J2" s="2687"/>
      <c r="K2" s="2687"/>
    </row>
    <row r="3" spans="1:11" ht="16.5">
      <c r="A3" s="2511" t="s">
        <v>662</v>
      </c>
      <c r="B3" s="2513">
        <f>项目基本情况!D3</f>
        <v>45112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54777</v>
      </c>
      <c r="C5" s="2511">
        <f ca="1">IF(B5=D14,结果表!H102,ROUND(B5*10000/$B$1,0))</f>
        <v>9332</v>
      </c>
      <c r="D5" s="2511">
        <f ca="1">ROUND(B5*10000/$B$2,0)</f>
        <v>16711</v>
      </c>
      <c r="E5" s="2685"/>
      <c r="F5" s="2686"/>
      <c r="G5" s="2686"/>
      <c r="H5" s="2687"/>
      <c r="I5" s="2687"/>
      <c r="J5" s="2687"/>
      <c r="K5" s="2687"/>
    </row>
    <row r="6" spans="1:11" ht="16.5">
      <c r="A6" s="2511" t="s">
        <v>656</v>
      </c>
      <c r="B6" s="2511">
        <f ca="1">SUM(G14:G23)</f>
        <v>54777</v>
      </c>
      <c r="C6" s="2511">
        <f ca="1">IF(B6=G14,结果表!H108,ROUND(B6*10000/$B$1,0))</f>
        <v>9332</v>
      </c>
      <c r="D6" s="2511">
        <f ca="1">ROUND(B6*10000/$B$2,0)</f>
        <v>16711</v>
      </c>
      <c r="E6" s="2685"/>
      <c r="F6" s="2686"/>
      <c r="G6" s="2686"/>
      <c r="H6" s="2687"/>
      <c r="I6" s="2687"/>
      <c r="J6" s="2687"/>
      <c r="K6" s="2687"/>
    </row>
    <row r="7" spans="1:11" ht="16.5">
      <c r="A7" s="2511" t="s">
        <v>664</v>
      </c>
      <c r="B7" s="2511">
        <f ca="1">SUM(H14:H23)</f>
        <v>54777</v>
      </c>
      <c r="C7" s="2511" t="str">
        <f ca="1">IF(B7=H14,结果表!H110,ROUND(B7*10000/$B$1,0))</f>
        <v>——</v>
      </c>
      <c r="D7" s="2511">
        <f ca="1">ROUND(B7*10000/$B$2,0)</f>
        <v>16711</v>
      </c>
      <c r="E7" s="2685"/>
      <c r="F7" s="2686"/>
      <c r="G7" s="2686"/>
      <c r="H7" s="2687"/>
      <c r="I7" s="2687"/>
      <c r="J7" s="2687"/>
      <c r="K7" s="2687"/>
    </row>
    <row r="8" spans="1:11" ht="16.5">
      <c r="A8" s="2511" t="s">
        <v>587</v>
      </c>
      <c r="B8" s="2511">
        <f ca="1">SUM(I14:I23)</f>
        <v>53155</v>
      </c>
      <c r="C8" s="2511">
        <f ca="1">IF(B8=I14,结果表!H112,ROUND(B8*10000/$B$1,0))</f>
        <v>9055</v>
      </c>
      <c r="D8" s="2511">
        <f ca="1">ROUND(B8*10000/$B$2,0)</f>
        <v>16216</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58700.09</v>
      </c>
      <c r="C14" s="2517">
        <f>结果表!C118</f>
        <v>32779.72</v>
      </c>
      <c r="D14" s="2517">
        <f ca="1">结果表!H118</f>
        <v>54777</v>
      </c>
      <c r="E14" s="2517">
        <f ca="1">ROUND(D14*10000/B14,0)</f>
        <v>9332</v>
      </c>
      <c r="F14" s="2517">
        <f ca="1">ROUND(D14*10000/C14,0)</f>
        <v>16711</v>
      </c>
      <c r="G14" s="2517">
        <f ca="1">D14</f>
        <v>54777</v>
      </c>
      <c r="H14" s="2517">
        <f ca="1">G14</f>
        <v>54777</v>
      </c>
      <c r="I14" s="2517">
        <f ca="1">结果表!H111</f>
        <v>53155</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D126" sqref="D126:I1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v>
      </c>
      <c r="D1" s="1746"/>
      <c r="E1" s="1746"/>
      <c r="F1" s="1748" t="s">
        <v>1263</v>
      </c>
      <c r="G1" s="1560" t="s">
        <v>3591</v>
      </c>
      <c r="H1" s="1749" t="str">
        <f>IF(G1="现房","——","估价对象范围")</f>
        <v>——</v>
      </c>
      <c r="I1" s="1750" t="s">
        <v>3592</v>
      </c>
    </row>
    <row r="2" spans="1:12" ht="21.75" customHeight="1" thickBot="1">
      <c r="A2" s="3630" t="str">
        <f>项目基本情况!S2</f>
        <v>北京市房地产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3" t="s">
        <v>1265</v>
      </c>
      <c r="B4" s="1754" t="s">
        <v>1266</v>
      </c>
      <c r="C4" s="1755" t="s">
        <v>3578</v>
      </c>
      <c r="D4" s="1755" t="s">
        <v>3406</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633">
        <v>25</v>
      </c>
      <c r="C5" s="3636"/>
      <c r="D5" s="3624"/>
      <c r="E5" s="131" t="s">
        <v>1269</v>
      </c>
      <c r="F5" s="1756"/>
      <c r="G5" s="1756"/>
      <c r="H5" s="1756"/>
      <c r="I5" s="1372"/>
    </row>
    <row r="6" spans="1:12" ht="12.75">
      <c r="A6" s="3578"/>
      <c r="B6" s="3633"/>
      <c r="C6" s="3638"/>
      <c r="D6" s="3624"/>
      <c r="E6" s="131" t="s">
        <v>1270</v>
      </c>
      <c r="F6" s="1756"/>
      <c r="G6" s="1756"/>
      <c r="H6" s="1756"/>
      <c r="I6" s="1372"/>
    </row>
    <row r="7" spans="1:12" ht="12.75">
      <c r="A7" s="3578"/>
      <c r="B7" s="3633"/>
      <c r="C7" s="3637"/>
      <c r="D7" s="3624"/>
      <c r="E7" s="131" t="s">
        <v>1271</v>
      </c>
      <c r="F7" s="1756"/>
      <c r="G7" s="1756"/>
      <c r="H7" s="1756"/>
      <c r="I7" s="1372"/>
    </row>
    <row r="8" spans="1:12" ht="12.75">
      <c r="A8" s="3578" t="s">
        <v>1272</v>
      </c>
      <c r="B8" s="3633">
        <v>15</v>
      </c>
      <c r="C8" s="3636"/>
      <c r="D8" s="3624"/>
      <c r="E8" s="131" t="s">
        <v>1273</v>
      </c>
      <c r="F8" s="1756"/>
      <c r="G8" s="1756"/>
      <c r="H8" s="1756"/>
      <c r="I8" s="1372"/>
    </row>
    <row r="9" spans="1:12" ht="12.75">
      <c r="A9" s="3578"/>
      <c r="B9" s="3633"/>
      <c r="C9" s="3637"/>
      <c r="D9" s="3624"/>
      <c r="E9" s="131" t="s">
        <v>1274</v>
      </c>
      <c r="F9" s="1756"/>
      <c r="G9" s="1756"/>
      <c r="H9" s="1756"/>
      <c r="I9" s="1372"/>
    </row>
    <row r="10" spans="1:12" ht="12.75">
      <c r="A10" s="3578" t="s">
        <v>1275</v>
      </c>
      <c r="B10" s="3633">
        <v>15</v>
      </c>
      <c r="C10" s="3636"/>
      <c r="D10" s="3624"/>
      <c r="E10" s="131" t="s">
        <v>1276</v>
      </c>
      <c r="F10" s="1756"/>
      <c r="G10" s="1756"/>
      <c r="H10" s="1756"/>
      <c r="I10" s="1372"/>
    </row>
    <row r="11" spans="1:12" ht="12.75">
      <c r="A11" s="3578"/>
      <c r="B11" s="3633"/>
      <c r="C11" s="3637"/>
      <c r="D11" s="3624"/>
      <c r="E11" s="131" t="s">
        <v>1277</v>
      </c>
      <c r="F11" s="1756"/>
      <c r="G11" s="1756"/>
      <c r="H11" s="1756"/>
      <c r="I11" s="1372"/>
    </row>
    <row r="12" spans="1:12" ht="12.75">
      <c r="A12" s="3578" t="s">
        <v>1278</v>
      </c>
      <c r="B12" s="3633">
        <v>15</v>
      </c>
      <c r="C12" s="3636"/>
      <c r="D12" s="3624"/>
      <c r="E12" s="131" t="s">
        <v>1279</v>
      </c>
      <c r="F12" s="1756"/>
      <c r="G12" s="1756"/>
      <c r="H12" s="1756"/>
      <c r="I12" s="1372"/>
    </row>
    <row r="13" spans="1:12" ht="12.75">
      <c r="A13" s="3578"/>
      <c r="B13" s="3633"/>
      <c r="C13" s="3637"/>
      <c r="D13" s="3624"/>
      <c r="E13" s="131" t="s">
        <v>1280</v>
      </c>
      <c r="F13" s="1756"/>
      <c r="G13" s="1756"/>
      <c r="H13" s="1756"/>
      <c r="I13" s="1372"/>
    </row>
    <row r="14" spans="1:12" ht="12.75">
      <c r="A14" s="3578" t="s">
        <v>1281</v>
      </c>
      <c r="B14" s="3633">
        <v>30</v>
      </c>
      <c r="C14" s="3636">
        <v>5</v>
      </c>
      <c r="D14" s="3624">
        <v>5</v>
      </c>
      <c r="E14" s="131" t="s">
        <v>1282</v>
      </c>
      <c r="F14" s="1756"/>
      <c r="G14" s="1756"/>
      <c r="H14" s="1756"/>
      <c r="I14" s="1372"/>
    </row>
    <row r="15" spans="1:12" ht="12.75">
      <c r="A15" s="3578"/>
      <c r="B15" s="3633"/>
      <c r="C15" s="3638"/>
      <c r="D15" s="3624"/>
      <c r="E15" s="131" t="s">
        <v>1283</v>
      </c>
      <c r="F15" s="1756"/>
      <c r="G15" s="1756"/>
      <c r="H15" s="1756"/>
      <c r="I15" s="1372"/>
    </row>
    <row r="16" spans="1:12" ht="12.75">
      <c r="A16" s="3578"/>
      <c r="B16" s="3633"/>
      <c r="C16" s="3637"/>
      <c r="D16" s="362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5" t="s">
        <v>2127</v>
      </c>
      <c r="F18" s="3656"/>
      <c r="G18" s="3656"/>
      <c r="H18" s="3656"/>
      <c r="I18" s="3656"/>
      <c r="K18" s="302" t="s">
        <v>1289</v>
      </c>
      <c r="L18" s="302">
        <f>IF(C1="",'数据-汇总表'!E3,SUMIF(项目类型,C1,'数据-汇总表'!E17:E26)+SUMIF(项目类型,C1,'数据-汇总表'!I17:I26))</f>
        <v>58700.09</v>
      </c>
      <c r="M18" s="302">
        <f>IF(C1="",'数据-汇总表'!E3,SUMIF(项目类型,C1,'数据-汇总表'!E17:E26))</f>
        <v>58700.09</v>
      </c>
    </row>
    <row r="19" spans="1:36" ht="15">
      <c r="A19" s="1760" t="s">
        <v>1290</v>
      </c>
      <c r="B19" s="1761" t="s">
        <v>1291</v>
      </c>
      <c r="C19" s="134">
        <f ca="1">SUMIF(INDIRECT("'"&amp;C4&amp;"'"&amp;"!A:A"),结果表!B19,INDIRECT("'"&amp;C4&amp;"'"&amp;"!B:B"))</f>
        <v>52363</v>
      </c>
      <c r="D19" s="135">
        <f ca="1">SUMIF(INDIRECT("'"&amp;D4&amp;"'"&amp;"!A:A"),结果表!B19,INDIRECT("'"&amp;D4&amp;"'"&amp;"!B:B"))</f>
        <v>57191</v>
      </c>
      <c r="E19" s="1760" t="s">
        <v>1292</v>
      </c>
      <c r="F19" s="1761" t="s">
        <v>1291</v>
      </c>
      <c r="G19" s="136">
        <f ca="1">ROUND(C19*$C$18+D19*$D$18,0)</f>
        <v>54777</v>
      </c>
      <c r="H19" s="1762" t="s">
        <v>1293</v>
      </c>
      <c r="I19" s="129"/>
      <c r="K19" s="302" t="s">
        <v>1294</v>
      </c>
      <c r="L19" s="302">
        <f>IF(C1="",'数据-汇总表'!D3,SUMIF(项目类型,C1,'数据-汇总表'!D17:D26)+SUMIF(项目类型,C1,'数据-汇总表'!H17:H27))</f>
        <v>32779.72</v>
      </c>
      <c r="M19" s="302">
        <f>IF(C1="",'数据-汇总表'!D3,SUMIF(项目类型,C1,'数据-汇总表'!D17:D26))</f>
        <v>32779.72</v>
      </c>
    </row>
    <row r="20" spans="1:36" ht="15">
      <c r="A20" s="1763"/>
      <c r="B20" s="1026" t="s">
        <v>1295</v>
      </c>
      <c r="C20" s="137">
        <f ca="1">SUMIF(INDIRECT("'"&amp;C4&amp;"'"&amp;"!A:A"),结果表!B20,INDIRECT("'"&amp;C4&amp;"'"&amp;"!B:B"))</f>
        <v>8920</v>
      </c>
      <c r="D20" s="138">
        <f ca="1">SUMIF(INDIRECT("'"&amp;D4&amp;"'"&amp;"!A:A"),结果表!B20,INDIRECT("'"&amp;D4&amp;"'"&amp;"!B:B"))</f>
        <v>9743</v>
      </c>
      <c r="E20" s="1763"/>
      <c r="F20" s="1026" t="s">
        <v>1295</v>
      </c>
      <c r="G20" s="139">
        <f ca="1">ROUND(C20*$C$18+D20*$D$18,0)</f>
        <v>9332</v>
      </c>
      <c r="H20" s="808" t="s">
        <v>1296</v>
      </c>
      <c r="I20" s="129"/>
    </row>
    <row r="21" spans="1:36" ht="15" customHeight="1" thickBot="1">
      <c r="A21" s="828"/>
      <c r="B21" s="1764" t="s">
        <v>1297</v>
      </c>
      <c r="C21" s="719">
        <f ca="1">ROUND(C19*10000/L19,0)</f>
        <v>15974</v>
      </c>
      <c r="D21" s="720">
        <f ca="1">ROUND(D19*10000/L19,0)</f>
        <v>17447</v>
      </c>
      <c r="E21" s="828"/>
      <c r="F21" s="1764" t="s">
        <v>1297</v>
      </c>
      <c r="G21" s="140">
        <f ca="1">ROUND(G19*10000/L19,0)</f>
        <v>16711</v>
      </c>
      <c r="H21" s="1765" t="s">
        <v>1296</v>
      </c>
      <c r="I21" s="129"/>
    </row>
    <row r="22" spans="1:36" ht="15" thickBot="1">
      <c r="A22" s="1687" t="s">
        <v>1298</v>
      </c>
      <c r="B22" s="1766"/>
      <c r="C22" s="1767"/>
      <c r="D22" s="721">
        <f ca="1">IF(C19&lt;D19,D19/C19-1,C19/D19-1)</f>
        <v>9.2202509405496347E-2</v>
      </c>
      <c r="E22" s="129"/>
      <c r="F22" s="129"/>
      <c r="G22" s="129"/>
      <c r="H22" s="129"/>
      <c r="I22" s="129"/>
    </row>
    <row r="23" spans="1:36" ht="13.5" thickBot="1">
      <c r="A23" s="1746"/>
      <c r="B23" s="1746"/>
      <c r="C23" s="1746"/>
      <c r="D23" s="1746"/>
      <c r="E23" s="129"/>
      <c r="F23" s="129"/>
      <c r="G23" s="129"/>
      <c r="H23" s="129"/>
      <c r="I23" s="129"/>
    </row>
    <row r="24" spans="1:36" ht="14.25">
      <c r="A24" s="3648" t="s">
        <v>1299</v>
      </c>
      <c r="B24" s="1761" t="s">
        <v>1291</v>
      </c>
      <c r="C24" s="136">
        <f>IF(B30=0,0,D30)</f>
        <v>0</v>
      </c>
      <c r="D24" s="1768"/>
      <c r="E24" s="129"/>
      <c r="F24" s="129"/>
      <c r="G24" s="129"/>
      <c r="H24" s="129"/>
      <c r="I24" s="129"/>
    </row>
    <row r="25" spans="1:36" ht="14.25">
      <c r="A25" s="36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54777</v>
      </c>
      <c r="D32" s="1774" t="s">
        <v>3580</v>
      </c>
      <c r="E32" s="129"/>
      <c r="F32" s="129"/>
      <c r="G32" s="129"/>
      <c r="H32" s="129"/>
      <c r="I32" s="129"/>
    </row>
    <row r="33" spans="1:15" ht="15">
      <c r="A33" s="786" t="s">
        <v>1306</v>
      </c>
      <c r="B33" s="1775"/>
      <c r="C33" s="1776" t="s">
        <v>3579</v>
      </c>
      <c r="D33" s="1777" t="s">
        <v>3578</v>
      </c>
      <c r="E33" s="1778" t="s">
        <v>1307</v>
      </c>
      <c r="F33" s="1779" t="str">
        <f>IF(D32="楼面单价","取值（单价）","取值（总价）")</f>
        <v>取值（总价）</v>
      </c>
      <c r="G33" s="129"/>
      <c r="H33" s="129"/>
      <c r="I33" s="129"/>
    </row>
    <row r="34" spans="1:15" ht="15">
      <c r="A34" s="1780"/>
      <c r="B34" s="1781" t="s">
        <v>1308</v>
      </c>
      <c r="C34" s="148">
        <f ca="1">IF(C33="自定义",F34,C32-C35)</f>
        <v>18022</v>
      </c>
      <c r="D34" s="861">
        <f ca="1">IF(C33="自定义",ROUND(C34/C32,3),IF(C33="收益比率",SUMIF(INDIRECT("'"&amp;D33&amp;"'"&amp;"!b:b"),"土地收益比率",INDIRECT("'"&amp;D33&amp;"'"&amp;"!c:c")),SUMIF(INDIRECT("'"&amp;D33&amp;"'"&amp;"!b:b"),"土地成本比率",INDIRECT("'"&amp;D33&amp;"'"&amp;"!c:c"))))</f>
        <v>0.32899999999999996</v>
      </c>
      <c r="E34" s="1782" t="s">
        <v>1309</v>
      </c>
      <c r="F34" s="1329"/>
      <c r="G34" s="129"/>
      <c r="H34" s="129"/>
      <c r="I34" s="129"/>
    </row>
    <row r="35" spans="1:15" ht="15.75" thickBot="1">
      <c r="A35" s="1783"/>
      <c r="B35" s="1784" t="s">
        <v>1310</v>
      </c>
      <c r="C35" s="1170">
        <f ca="1">IF(C33="自定义",F35,ROUND(C32*D35,0))</f>
        <v>36755</v>
      </c>
      <c r="D35" s="1171">
        <f ca="1">IF(C33="自定义",ROUND(C35/C32,3),IF(C33="收益比率",SUMIF(INDIRECT("'"&amp;D33&amp;"'"&amp;"!b:b"),"建筑物收益比率",INDIRECT("'"&amp;D33&amp;"'"&amp;"!c:c")),SUMIF(INDIRECT("'"&amp;D33&amp;"'"&amp;"!b:b"),"建筑物成本比率",INDIRECT("'"&amp;D33&amp;"'"&amp;"!c:c"))))</f>
        <v>0.67100000000000004</v>
      </c>
      <c r="E35" s="1785" t="s">
        <v>1311</v>
      </c>
      <c r="F35" s="154"/>
      <c r="G35" s="129"/>
      <c r="H35" s="129"/>
      <c r="I35" s="129"/>
    </row>
    <row r="36" spans="1:15" ht="15.75" thickBot="1">
      <c r="A36" s="3625" t="s">
        <v>1312</v>
      </c>
      <c r="B36" s="1786" t="s">
        <v>1313</v>
      </c>
      <c r="C36" s="145"/>
      <c r="D36" s="1787"/>
      <c r="E36" s="1788"/>
      <c r="F36" s="1789"/>
      <c r="G36" s="129"/>
      <c r="H36" s="129"/>
      <c r="I36" s="129"/>
    </row>
    <row r="37" spans="1:15" ht="15.75" thickBot="1">
      <c r="A37" s="3626"/>
      <c r="B37" s="1673" t="s">
        <v>1314</v>
      </c>
      <c r="C37" s="147"/>
      <c r="D37" s="1139"/>
      <c r="E37" s="1139"/>
      <c r="F37" s="1789"/>
      <c r="G37" s="129"/>
      <c r="H37" s="129"/>
      <c r="I37" s="129"/>
    </row>
    <row r="38" spans="1:15" ht="15.75" thickBot="1">
      <c r="A38" s="362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f ca="1">ROUND(H101*F45,0)</f>
        <v>30675</v>
      </c>
      <c r="E45" s="156" t="s">
        <v>1327</v>
      </c>
      <c r="F45" s="157">
        <v>0.56000000000000005</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5"/>
      <c r="I46" s="159"/>
      <c r="J46" s="2522">
        <v>1</v>
      </c>
      <c r="K46" s="3566" t="s">
        <v>1331</v>
      </c>
      <c r="L46" s="3566"/>
      <c r="M46" s="3567"/>
      <c r="N46" s="3567"/>
      <c r="O46" s="3567"/>
    </row>
    <row r="47" spans="1:15" ht="12" customHeight="1">
      <c r="A47" s="160" t="s">
        <v>1332</v>
      </c>
      <c r="B47" s="161"/>
      <c r="C47" s="162"/>
      <c r="D47" s="1087" t="s">
        <v>1333</v>
      </c>
      <c r="E47" s="302" t="s">
        <v>1334</v>
      </c>
      <c r="F47" s="163" t="s">
        <v>1335</v>
      </c>
      <c r="G47" s="2545" t="s">
        <v>1336</v>
      </c>
      <c r="H47" s="2546"/>
      <c r="I47" s="159"/>
      <c r="J47" s="2522">
        <v>2</v>
      </c>
      <c r="K47" s="3566" t="s">
        <v>1337</v>
      </c>
      <c r="L47" s="3566"/>
      <c r="M47" s="3568">
        <f>'数据-取费表'!B2</f>
        <v>45112</v>
      </c>
      <c r="N47" s="3568"/>
      <c r="O47" s="3568"/>
    </row>
    <row r="48" spans="1:15" ht="25.5">
      <c r="A48" s="3628" t="s">
        <v>1338</v>
      </c>
      <c r="B48" s="3629"/>
      <c r="C48" s="3629"/>
      <c r="D48" s="2323">
        <f ca="1">IF(H48="情况1",0,IF(H48="情况2",D52,IF(H48="情况3",D53,IF(H48="情况4",D54))))</f>
        <v>1607</v>
      </c>
      <c r="E48" s="2333" t="str">
        <f>IF(H48="情况4","(销售额-原购置价)×税（费）率","销售额×税（费）率")</f>
        <v>销售额×税（费）率</v>
      </c>
      <c r="F48" s="2547">
        <f>IF(H48="情况1","免征",'数据-取费表'!B41)</f>
        <v>5.5000000000000007E-2</v>
      </c>
      <c r="G48" s="2548" t="s">
        <v>1339</v>
      </c>
      <c r="H48" s="2549" t="s">
        <v>3587</v>
      </c>
      <c r="I48" s="1805"/>
      <c r="J48" s="2522">
        <v>3</v>
      </c>
      <c r="K48" s="3566" t="s">
        <v>1340</v>
      </c>
      <c r="L48" s="3566"/>
      <c r="M48" s="3569">
        <f ca="1">H101</f>
        <v>54777</v>
      </c>
      <c r="N48" s="3569"/>
      <c r="O48" s="3569"/>
    </row>
    <row r="49" spans="1:35" ht="25.5" customHeight="1">
      <c r="A49" s="2332" t="s">
        <v>1341</v>
      </c>
      <c r="B49" s="3614" t="s">
        <v>1342</v>
      </c>
      <c r="C49" s="3614"/>
      <c r="D49" s="1589">
        <v>0</v>
      </c>
      <c r="E49" s="324" t="s">
        <v>1343</v>
      </c>
      <c r="F49" s="2423" t="s">
        <v>28</v>
      </c>
      <c r="G49" s="3597"/>
      <c r="H49" s="2309" t="s">
        <v>2130</v>
      </c>
      <c r="I49" s="2310"/>
      <c r="J49" s="2522">
        <v>4</v>
      </c>
      <c r="K49" s="3566" t="str">
        <f>IF(项目基本情况!E8="房地产抵押价值","房地产抵押价值","抵押担保权已注销时的房地产抵押价值")</f>
        <v>房地产抵押价值</v>
      </c>
      <c r="L49" s="3566"/>
      <c r="M49" s="3569">
        <f ca="1">IF(项目基本情况!E8="房地产抵押价值",H107,H109)</f>
        <v>54777</v>
      </c>
      <c r="N49" s="3569"/>
      <c r="O49" s="3569"/>
    </row>
    <row r="50" spans="1:35" ht="25.5" customHeight="1">
      <c r="A50" s="2550"/>
      <c r="B50" s="3614" t="s">
        <v>1344</v>
      </c>
      <c r="C50" s="3614"/>
      <c r="D50" s="2551"/>
      <c r="E50" s="332"/>
      <c r="F50" s="2423"/>
      <c r="G50" s="3598"/>
      <c r="H50" s="2311" t="s">
        <v>2131</v>
      </c>
      <c r="I50" s="2310"/>
      <c r="J50" s="3565" t="s">
        <v>1345</v>
      </c>
      <c r="K50" s="3565"/>
      <c r="L50" s="3565"/>
      <c r="M50" s="3565"/>
      <c r="N50" s="3565"/>
      <c r="O50" s="3565"/>
    </row>
    <row r="51" spans="1:35" ht="20.45" customHeight="1">
      <c r="A51" s="2552"/>
      <c r="B51" s="3614" t="s">
        <v>1346</v>
      </c>
      <c r="C51" s="3614"/>
      <c r="D51" s="1087"/>
      <c r="E51" s="327"/>
      <c r="F51" s="2423"/>
      <c r="G51" s="3599"/>
      <c r="H51" s="2311" t="s">
        <v>2132</v>
      </c>
      <c r="I51" s="2310"/>
      <c r="J51" s="2523" t="s">
        <v>1347</v>
      </c>
      <c r="K51" s="3566" t="s">
        <v>1348</v>
      </c>
      <c r="L51" s="3566"/>
      <c r="M51" s="2523" t="s">
        <v>1349</v>
      </c>
      <c r="N51" s="2523" t="s">
        <v>1350</v>
      </c>
      <c r="O51" s="2523" t="s">
        <v>1351</v>
      </c>
    </row>
    <row r="52" spans="1:35" ht="24" customHeight="1">
      <c r="A52" s="2334" t="s">
        <v>1352</v>
      </c>
      <c r="B52" s="3614" t="s">
        <v>1353</v>
      </c>
      <c r="C52" s="3614"/>
      <c r="D52" s="1087">
        <f ca="1">ROUND(D45*'数据-取费表'!B41/(1+'数据-取费表'!C42),0)</f>
        <v>1607</v>
      </c>
      <c r="E52" s="2333" t="s">
        <v>1354</v>
      </c>
      <c r="F52" s="2553">
        <f>'数据-取费表'!B41</f>
        <v>5.5000000000000007E-2</v>
      </c>
      <c r="G52" s="2554"/>
      <c r="H52" s="2543"/>
      <c r="I52" s="1806"/>
      <c r="J52" s="2522">
        <v>1</v>
      </c>
      <c r="K52" s="3591" t="s">
        <v>1355</v>
      </c>
      <c r="L52" s="3591"/>
      <c r="M52" s="2524">
        <f ca="1">D48</f>
        <v>1607</v>
      </c>
      <c r="N52" s="2522" t="str">
        <f>E48</f>
        <v>销售额×税（费）率</v>
      </c>
      <c r="O52" s="2525">
        <f>F48</f>
        <v>5.5000000000000007E-2</v>
      </c>
    </row>
    <row r="53" spans="1:35" ht="12" customHeight="1">
      <c r="A53" s="2334" t="s">
        <v>1356</v>
      </c>
      <c r="B53" s="3615" t="s">
        <v>2287</v>
      </c>
      <c r="C53" s="3616"/>
      <c r="D53" s="1087">
        <f ca="1">ROUND(D45*'数据-取费表'!B41/(1+'数据-取费表'!C42),0)</f>
        <v>1607</v>
      </c>
      <c r="E53" s="2333" t="s">
        <v>1354</v>
      </c>
      <c r="F53" s="2553">
        <f>'数据-取费表'!B41</f>
        <v>5.5000000000000007E-2</v>
      </c>
      <c r="G53" s="2554"/>
      <c r="H53" s="2543"/>
      <c r="I53" s="1806"/>
      <c r="J53" s="2522">
        <v>2</v>
      </c>
      <c r="K53" s="3591" t="s">
        <v>1357</v>
      </c>
      <c r="L53" s="3591"/>
      <c r="M53" s="2524">
        <f t="shared" ref="M53:O54" ca="1" si="0">D55</f>
        <v>15</v>
      </c>
      <c r="N53" s="2522" t="str">
        <f t="shared" si="0"/>
        <v>销售额×税（费）率</v>
      </c>
      <c r="O53" s="2525">
        <f t="shared" si="0"/>
        <v>5.0000000000000001E-4</v>
      </c>
    </row>
    <row r="54" spans="1:35" ht="12" customHeight="1">
      <c r="A54" s="2334" t="s">
        <v>1358</v>
      </c>
      <c r="B54" s="3615" t="s">
        <v>2288</v>
      </c>
      <c r="C54" s="3616"/>
      <c r="D54" s="1087">
        <f ca="1">C68</f>
        <v>1607</v>
      </c>
      <c r="E54" s="327" t="s">
        <v>1359</v>
      </c>
      <c r="F54" s="2553">
        <f>'数据-取费表'!B41</f>
        <v>5.5000000000000007E-2</v>
      </c>
      <c r="G54" s="2554"/>
      <c r="H54" s="2555"/>
      <c r="I54" s="1806"/>
      <c r="J54" s="2522">
        <v>3</v>
      </c>
      <c r="K54" s="3591" t="s">
        <v>1360</v>
      </c>
      <c r="L54" s="3591"/>
      <c r="M54" s="2524">
        <f t="shared" ca="1" si="0"/>
        <v>0</v>
      </c>
      <c r="N54" s="2522" t="str">
        <f t="shared" si="0"/>
        <v>增值额×税（费）率</v>
      </c>
      <c r="O54" s="2526" t="str">
        <f t="shared" si="0"/>
        <v>——</v>
      </c>
    </row>
    <row r="55" spans="1:35" ht="24" customHeight="1">
      <c r="A55" s="3651" t="s">
        <v>1361</v>
      </c>
      <c r="B55" s="3629"/>
      <c r="C55" s="3629"/>
      <c r="D55" s="2323">
        <f ca="1">IF(H55="个人住宅",0,ROUND(D45*I55,0))</f>
        <v>15</v>
      </c>
      <c r="E55" s="2333" t="s">
        <v>1362</v>
      </c>
      <c r="F55" s="2553">
        <f>IF(H55="正常",I55,"免征")</f>
        <v>5.0000000000000001E-4</v>
      </c>
      <c r="G55" s="2554"/>
      <c r="H55" s="2549" t="s">
        <v>3588</v>
      </c>
      <c r="I55" s="165">
        <f>'数据-取费表'!B49</f>
        <v>5.0000000000000001E-4</v>
      </c>
      <c r="J55" s="2522" t="str">
        <f>IF(H59="非个人房产","",4)</f>
        <v/>
      </c>
      <c r="K55" s="3591" t="str">
        <f>IF(H59="非个人房产","——","个人所得税")</f>
        <v>——</v>
      </c>
      <c r="L55" s="3591"/>
      <c r="M55" s="2527" t="str">
        <f>D59</f>
        <v>——</v>
      </c>
      <c r="N55" s="2039" t="str">
        <f>E59</f>
        <v>——</v>
      </c>
      <c r="O55" s="2528" t="str">
        <f>F59</f>
        <v>——</v>
      </c>
    </row>
    <row r="56" spans="1:35" ht="24.75">
      <c r="A56" s="3651" t="s">
        <v>1363</v>
      </c>
      <c r="B56" s="3629"/>
      <c r="C56" s="3629"/>
      <c r="D56" s="2323">
        <f ca="1">IF(H56="个人住宅",D57,D58)</f>
        <v>0</v>
      </c>
      <c r="E56" s="2333" t="s">
        <v>1364</v>
      </c>
      <c r="F56" s="2553" t="str">
        <f>IF(H56="正常",F58,"免征")</f>
        <v>——</v>
      </c>
      <c r="G56" s="2556" t="s">
        <v>1365</v>
      </c>
      <c r="H56" s="2557" t="s">
        <v>3588</v>
      </c>
      <c r="I56" s="1807"/>
      <c r="J56" s="2522" t="str">
        <f>IF(项目基本情况!K6="上海银行",IF(J55="",4,J55+1),"")</f>
        <v/>
      </c>
      <c r="K56" s="3572" t="str">
        <f>IF(项目基本情况!K6="上海银行","其他处置费用","")</f>
        <v/>
      </c>
      <c r="L56" s="3573"/>
      <c r="M56" s="2524" t="str">
        <f>IF(项目基本情况!K6="上海银行",M69,"")</f>
        <v/>
      </c>
      <c r="N56" s="3572" t="str">
        <f>IF(项目基本情况!K6="上海银行","包含处置中涉及的律师、诉讼、拍卖、评估等费用","")</f>
        <v/>
      </c>
      <c r="O56" s="3575"/>
    </row>
    <row r="57" spans="1:35" ht="12.75">
      <c r="A57" s="2334" t="s">
        <v>1341</v>
      </c>
      <c r="B57" s="3615" t="s">
        <v>1366</v>
      </c>
      <c r="C57" s="3616"/>
      <c r="D57" s="1589">
        <v>0</v>
      </c>
      <c r="E57" s="324" t="s">
        <v>1343</v>
      </c>
      <c r="F57" s="302"/>
      <c r="G57" s="2554"/>
      <c r="H57" s="2558"/>
      <c r="I57" s="1807"/>
      <c r="J57" s="3591">
        <f>IF(AND(J55="",J56=""),4,IF(项目基本情况!K6="上海银行",结果表!J56+1,结果表!J55+1))</f>
        <v>4</v>
      </c>
      <c r="K57" s="3591" t="s">
        <v>1367</v>
      </c>
      <c r="L57" s="2529" t="s">
        <v>1368</v>
      </c>
      <c r="M57" s="2530"/>
      <c r="N57" s="2531">
        <f ca="1">SUMIF(M52:M56,"&lt;9e307")</f>
        <v>1622</v>
      </c>
      <c r="O57" s="2532"/>
      <c r="P57" s="2689">
        <f ca="1">N57/M49</f>
        <v>2.961096810705223E-2</v>
      </c>
    </row>
    <row r="58" spans="1:35" ht="24.75">
      <c r="A58" s="2334" t="s">
        <v>1352</v>
      </c>
      <c r="B58" s="3615" t="s">
        <v>1369</v>
      </c>
      <c r="C58" s="3614"/>
      <c r="D58" s="2323">
        <f ca="1">IF(H58="转让取得",C81,C97)</f>
        <v>0</v>
      </c>
      <c r="E58" s="2333" t="s">
        <v>1364</v>
      </c>
      <c r="F58" s="302" t="s">
        <v>28</v>
      </c>
      <c r="G58" s="2554"/>
      <c r="H58" s="2557" t="s">
        <v>3589</v>
      </c>
      <c r="I58" s="1807"/>
      <c r="J58" s="3591"/>
      <c r="K58" s="3591"/>
      <c r="L58" s="2529" t="s">
        <v>1370</v>
      </c>
      <c r="M58" s="2533"/>
      <c r="N58" s="2534" t="str">
        <f ca="1">NUMBERSTRING(INT(N57*10000),2)&amp;"元整"</f>
        <v>壹仟陆佰贰拾贰万元整</v>
      </c>
      <c r="O58" s="2535"/>
    </row>
    <row r="59" spans="1:35" ht="24.75" thickBot="1">
      <c r="A59" s="3595" t="s">
        <v>1371</v>
      </c>
      <c r="B59" s="3596"/>
      <c r="C59" s="359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2133</v>
      </c>
      <c r="J59" s="3593">
        <f>J57+1</f>
        <v>5</v>
      </c>
      <c r="K59" s="3591" t="s">
        <v>1372</v>
      </c>
      <c r="L59" s="2522" t="s">
        <v>1368</v>
      </c>
      <c r="M59" s="2536"/>
      <c r="N59" s="2537">
        <f ca="1">M49-N57</f>
        <v>53155</v>
      </c>
      <c r="O59" s="2538"/>
    </row>
    <row r="60" spans="1:35" ht="12" customHeight="1">
      <c r="A60" s="1808"/>
      <c r="B60" s="1746"/>
      <c r="C60" s="1746"/>
      <c r="D60" s="1746"/>
      <c r="E60" s="1577"/>
      <c r="F60" s="1807"/>
      <c r="G60" s="1807"/>
      <c r="H60" s="1809"/>
      <c r="I60" s="129"/>
      <c r="J60" s="3594"/>
      <c r="K60" s="3591"/>
      <c r="L60" s="2529" t="s">
        <v>1370</v>
      </c>
      <c r="M60" s="2533"/>
      <c r="N60" s="2534" t="str">
        <f ca="1">NUMBERSTRING(INT(N59*10000),2)&amp;"元整"</f>
        <v>伍亿叁仟壹佰伍拾伍万元整</v>
      </c>
      <c r="O60" s="2535"/>
    </row>
    <row r="61" spans="1:35" ht="13.5" thickBot="1">
      <c r="A61" s="3650" t="s">
        <v>1373</v>
      </c>
      <c r="B61" s="3650"/>
      <c r="C61" s="3650"/>
      <c r="D61" s="3650"/>
      <c r="E61" s="3650"/>
      <c r="F61" s="1807"/>
      <c r="G61" s="1807"/>
      <c r="H61" s="1809"/>
      <c r="I61" s="129"/>
      <c r="J61" s="2522">
        <f>J59+1</f>
        <v>6</v>
      </c>
      <c r="K61" s="3591" t="s">
        <v>1374</v>
      </c>
      <c r="L61" s="3591"/>
      <c r="M61" s="2539"/>
      <c r="N61" s="2540">
        <f ca="1">ROUND(N59*10000/'数据-汇总表'!E3,0)</f>
        <v>9055</v>
      </c>
      <c r="O61" s="2541"/>
    </row>
    <row r="62" spans="1:35" ht="12.75">
      <c r="A62" s="3610" t="s">
        <v>1375</v>
      </c>
      <c r="B62" s="3611"/>
      <c r="C62" s="2020"/>
      <c r="D62" s="2020" t="s">
        <v>1376</v>
      </c>
      <c r="E62" s="166" t="s">
        <v>1377</v>
      </c>
      <c r="F62" s="1807"/>
      <c r="G62" s="1807"/>
      <c r="H62" s="1809"/>
      <c r="I62" s="129"/>
    </row>
    <row r="63" spans="1:35" ht="12.75">
      <c r="A63" s="173" t="s">
        <v>330</v>
      </c>
      <c r="B63" s="167" t="s">
        <v>1378</v>
      </c>
      <c r="C63" s="2563">
        <f ca="1">ROUND((C64+C65)/(1+'数据-取费表'!C42),0)</f>
        <v>29214</v>
      </c>
      <c r="D63" s="167"/>
      <c r="E63" s="168"/>
      <c r="F63" s="1807"/>
      <c r="G63" s="1807"/>
      <c r="H63" s="1809"/>
      <c r="I63" s="129"/>
      <c r="J63" s="3574" t="s">
        <v>1379</v>
      </c>
      <c r="K63" s="1331" t="s">
        <v>1380</v>
      </c>
      <c r="L63" s="1331">
        <f ca="1">IF(M49&gt;10000,M49*0.5%,IF(AND(M49&gt;1000,M49&lt;=10000),M49*1%,IF(AND(M49&gt;100,M49&lt;=1000),M49*3%,IF(AND(M49&gt;10,M49&lt;=100),M49*5%,M49*8%))))</f>
        <v>273.88499999999999</v>
      </c>
      <c r="M63" s="302">
        <f ca="1">ROUND(L63,1)</f>
        <v>273.89999999999998</v>
      </c>
      <c r="N63" s="2542"/>
      <c r="Z63" s="1751"/>
      <c r="AI63" s="1752"/>
    </row>
    <row r="64" spans="1:35" ht="14.25" customHeight="1">
      <c r="A64" s="169" t="s">
        <v>325</v>
      </c>
      <c r="B64" s="170" t="s">
        <v>1381</v>
      </c>
      <c r="C64" s="2564">
        <f ca="1">D45</f>
        <v>30675</v>
      </c>
      <c r="D64" s="170" t="s">
        <v>26</v>
      </c>
      <c r="E64" s="172"/>
      <c r="F64" s="1807"/>
      <c r="G64" s="1807"/>
      <c r="H64" s="1809"/>
      <c r="I64" s="129"/>
      <c r="J64" s="3574"/>
      <c r="K64" s="1331" t="s">
        <v>1382</v>
      </c>
      <c r="L64" s="1331">
        <f ca="1">IF(M49&gt;2000,M49*0.5%,IF(AND(M49&gt;1000,M49&lt;=2000),M49*0.6%,IF(AND(M49&gt;500,M49&lt;=1000),M49*0.7%,IF(AND(M49&gt;200,M49&lt;=500),M49*0.8%,IF(AND(M49&gt;100,M49&lt;=200),M49*0.9%,IF(AND(M49&gt;50,M49&lt;=100),M49*1%,IF(AND(M49&gt;20,M49&lt;=50),M49*1.5%,IF(AND(M49&gt;10,M49&lt;=20),M49*2%,IF(AND(M49&gt;1,M49&lt;=10),M49*2.5%)))))))))</f>
        <v>273.88499999999999</v>
      </c>
      <c r="M64" s="302">
        <f t="shared" ref="M64:M65" ca="1" si="1">ROUND(L64,1)</f>
        <v>273.89999999999998</v>
      </c>
      <c r="N64" s="2543" t="s">
        <v>1383</v>
      </c>
      <c r="Z64" s="1751"/>
      <c r="AI64" s="1752"/>
    </row>
    <row r="65" spans="1:35" ht="14.25" customHeight="1">
      <c r="A65" s="169" t="s">
        <v>326</v>
      </c>
      <c r="B65" s="170" t="s">
        <v>1384</v>
      </c>
      <c r="C65" s="2565"/>
      <c r="D65" s="170"/>
      <c r="E65" s="172"/>
      <c r="F65" s="1807"/>
      <c r="G65" s="1807"/>
      <c r="H65" s="1809"/>
      <c r="I65" s="129"/>
      <c r="J65" s="3574"/>
      <c r="K65" s="1331" t="s">
        <v>1385</v>
      </c>
      <c r="L65" s="1331">
        <f ca="1">IF(M49&gt;1000,M49*0.1%,IF(AND(M49&gt;500,M49&lt;=1000),M49*0.5%,IF(AND(M49&gt;50,M49&lt;=500),M49*1%,IF(AND(M49&gt;1,M49&lt;=50),M49*1.5%))))</f>
        <v>54.777000000000001</v>
      </c>
      <c r="M65" s="302">
        <f t="shared" ca="1" si="1"/>
        <v>54.8</v>
      </c>
      <c r="N65" s="2543" t="s">
        <v>1383</v>
      </c>
      <c r="Z65" s="1751"/>
      <c r="AI65" s="1752"/>
    </row>
    <row r="66" spans="1:35" ht="14.25" customHeight="1">
      <c r="A66" s="173" t="s">
        <v>327</v>
      </c>
      <c r="B66" s="174" t="s">
        <v>1386</v>
      </c>
      <c r="C66" s="2566"/>
      <c r="D66" s="174" t="s">
        <v>26</v>
      </c>
      <c r="E66" s="1337" t="s">
        <v>671</v>
      </c>
      <c r="F66" s="1807"/>
      <c r="G66" s="1807"/>
      <c r="H66" s="1809"/>
      <c r="I66" s="129"/>
      <c r="J66" s="3574"/>
      <c r="K66" s="1331" t="s">
        <v>1387</v>
      </c>
      <c r="L66" s="1331">
        <f ca="1">M49*0.5%</f>
        <v>273.88499999999999</v>
      </c>
      <c r="M66" s="302">
        <f ca="1">IF(L66&gt;0.5,0.5,ROUND(L66,0))</f>
        <v>0.5</v>
      </c>
      <c r="N66" s="2543" t="s">
        <v>1388</v>
      </c>
      <c r="Z66" s="1751"/>
      <c r="AI66" s="1752"/>
    </row>
    <row r="67" spans="1:35" ht="14.25" customHeight="1">
      <c r="A67" s="173" t="s">
        <v>328</v>
      </c>
      <c r="B67" s="174" t="s">
        <v>1389</v>
      </c>
      <c r="C67" s="2567">
        <f ca="1">C63-C66</f>
        <v>29214</v>
      </c>
      <c r="D67" s="170" t="s">
        <v>26</v>
      </c>
      <c r="E67" s="172"/>
      <c r="F67" s="1807"/>
      <c r="G67" s="1807"/>
      <c r="H67" s="1809"/>
      <c r="I67" s="129"/>
      <c r="J67" s="3574"/>
      <c r="K67" s="1331" t="s">
        <v>1390</v>
      </c>
      <c r="L67" s="1331">
        <f ca="1">IF(M49&gt;=10000,(8.25+(M49-10000)*0.01%),IF(AND(M49&gt;=8000,M49&lt;10000),(7.85+(M49-8000)*0.02%),IF(AND(M49&gt;=5000,M49&lt;8000),(6.65+(M49-5000)*0.04%),IF(AND(M49&gt;=2000,M49&lt;5000),(4.25+(PM49-2000)*0.08%),IF(AND(M49&gt;=1000,M49&lt;2000),(2.75+(M49-1000)*0.15%),IF(AND(M49&gt;=100,M49&lt;1000),(0.5+(M49-100)*0.25%),IF(AND(M49&gt;0,M49&lt;100),M49*0.5%)))))))</f>
        <v>12.7277</v>
      </c>
      <c r="M67" s="302">
        <f ca="1">ROUND(L67*0.9,1)</f>
        <v>11.5</v>
      </c>
      <c r="N67" s="2542"/>
      <c r="Z67" s="1751"/>
      <c r="AI67" s="1752"/>
    </row>
    <row r="68" spans="1:35" ht="14.25" customHeight="1" thickBot="1">
      <c r="A68" s="176" t="s">
        <v>329</v>
      </c>
      <c r="B68" s="177" t="s">
        <v>1391</v>
      </c>
      <c r="C68" s="2568">
        <f ca="1">IF(C67&lt;=0,0,ROUND(C67*D68,0))</f>
        <v>1607</v>
      </c>
      <c r="D68" s="2569">
        <f>'数据-取费表'!B41</f>
        <v>5.5000000000000007E-2</v>
      </c>
      <c r="E68" s="178"/>
      <c r="F68" s="1807"/>
      <c r="G68" s="1807"/>
      <c r="H68" s="1809"/>
      <c r="I68" s="129"/>
      <c r="J68" s="3574"/>
      <c r="K68" s="1331" t="s">
        <v>1392</v>
      </c>
      <c r="L68" s="1331">
        <f ca="1">IF(M49&gt;10000,M49*0.5%,IF(AND(M49&gt;5000,M49&lt;=10000),M49*1%,IF(AND(M49&gt;1000,M49&lt;=5000),M49*2%,IF(AND(M49&gt;200,M49&lt;=1000),M49*3%,M49*5%))))</f>
        <v>273.88499999999999</v>
      </c>
      <c r="M68" s="302">
        <f ca="1">ROUND(L68,1)</f>
        <v>273.89999999999998</v>
      </c>
      <c r="N68" s="2542"/>
      <c r="Z68" s="1751"/>
      <c r="AI68" s="1752"/>
    </row>
    <row r="69" spans="1:35" s="1771" customFormat="1" ht="16.5" customHeight="1">
      <c r="A69" s="1810"/>
      <c r="B69" s="1811"/>
      <c r="C69" s="1812"/>
      <c r="D69" s="1813"/>
      <c r="E69" s="1814"/>
      <c r="F69" s="1577"/>
      <c r="G69" s="1577"/>
      <c r="H69" s="1576"/>
      <c r="I69" s="1746"/>
      <c r="J69" s="3574"/>
      <c r="K69" s="1331" t="s">
        <v>1393</v>
      </c>
      <c r="L69" s="1331"/>
      <c r="M69" s="302">
        <f ca="1">ROUND(SUM(M63:M68),0)</f>
        <v>889</v>
      </c>
      <c r="N69" s="2544">
        <f ca="1">M69/M49</f>
        <v>1.6229439363236394E-2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0" t="s">
        <v>1375</v>
      </c>
      <c r="B71" s="361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29214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146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146</v>
      </c>
      <c r="D78" s="2576">
        <f>'数据-取费表'!B43</f>
        <v>5.000000000000001E-3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29068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199.0958904109589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17390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3473" t="s">
        <v>3584</v>
      </c>
      <c r="L83" s="1817">
        <v>44560000</v>
      </c>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29214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36284.182700000005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4592</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L83/10000</f>
        <v>4456</v>
      </c>
      <c r="D88" s="2576"/>
      <c r="E88" s="193" t="s">
        <v>1413</v>
      </c>
      <c r="F88" s="2326"/>
      <c r="G88" s="194" t="s">
        <v>1414</v>
      </c>
      <c r="H88" s="1823" t="s">
        <v>3585</v>
      </c>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136</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6" t="s">
        <v>2125</v>
      </c>
      <c r="H90" s="3577"/>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25523.182700000001</v>
      </c>
      <c r="D91" s="2576"/>
      <c r="E91" s="3607" t="s">
        <v>1419</v>
      </c>
      <c r="F91" s="3608"/>
      <c r="G91" s="3608"/>
      <c r="H91" s="1824" t="s">
        <v>3586</v>
      </c>
      <c r="I91" s="1825">
        <v>25523.182700000001</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v>
      </c>
      <c r="E92" s="3607" t="s">
        <v>1422</v>
      </c>
      <c r="F92" s="3608"/>
      <c r="G92" s="3608"/>
      <c r="H92" s="3609"/>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146</v>
      </c>
      <c r="D93" s="2576">
        <f>'数据-取费表'!B43</f>
        <v>5.000000000000001E-3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6023</v>
      </c>
      <c r="D94" s="2576">
        <v>0.2</v>
      </c>
      <c r="E94" s="3652" t="s">
        <v>1426</v>
      </c>
      <c r="F94" s="3653"/>
      <c r="G94" s="3653"/>
      <c r="H94" s="365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-7070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4" t="str">
        <f>C4</f>
        <v>成本法</v>
      </c>
      <c r="D101" s="2585" t="str">
        <f>D4</f>
        <v>收益法</v>
      </c>
      <c r="E101" s="3570" t="s">
        <v>1431</v>
      </c>
      <c r="F101" s="3571"/>
      <c r="G101" s="1826" t="s">
        <v>1432</v>
      </c>
      <c r="H101" s="2594">
        <f ca="1">H118</f>
        <v>54777</v>
      </c>
      <c r="I101" s="129"/>
    </row>
    <row r="102" spans="1:35" ht="18.75" customHeight="1">
      <c r="A102" s="3602" t="s">
        <v>1433</v>
      </c>
      <c r="B102" s="2583" t="s">
        <v>1432</v>
      </c>
      <c r="C102" s="2584">
        <f ca="1">IF(D32="楼面单价",ROUND(C19,0),C19)</f>
        <v>52363</v>
      </c>
      <c r="D102" s="2585">
        <f ca="1">IF(D32="楼面单价",ROUND(D19,0),D19)</f>
        <v>57191</v>
      </c>
      <c r="E102" s="3570"/>
      <c r="F102" s="3571"/>
      <c r="G102" s="1826" t="s">
        <v>1434</v>
      </c>
      <c r="H102" s="2554">
        <f ca="1">I118</f>
        <v>9332</v>
      </c>
      <c r="I102" s="129"/>
    </row>
    <row r="103" spans="1:35" ht="42.75" customHeight="1">
      <c r="A103" s="3602"/>
      <c r="B103" s="2583" t="s">
        <v>1434</v>
      </c>
      <c r="C103" s="2586">
        <f ca="1">C20</f>
        <v>8920</v>
      </c>
      <c r="D103" s="2587">
        <f ca="1">D20</f>
        <v>9743</v>
      </c>
      <c r="E103" s="3563" t="s">
        <v>1435</v>
      </c>
      <c r="F103" s="3564"/>
      <c r="G103" s="1827" t="s">
        <v>1436</v>
      </c>
      <c r="H103" s="2594">
        <f>IF(D36="正常操作",H104+H105+H106,H105+H106)</f>
        <v>0</v>
      </c>
      <c r="I103" s="129"/>
    </row>
    <row r="104" spans="1:35" ht="18.75" customHeight="1">
      <c r="A104" s="3602" t="s">
        <v>1437</v>
      </c>
      <c r="B104" s="2588" t="s">
        <v>1432</v>
      </c>
      <c r="C104" s="2589">
        <f ca="1">H118</f>
        <v>54777</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9332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571"/>
      <c r="G107" s="1826" t="s">
        <v>1432</v>
      </c>
      <c r="H107" s="2594">
        <f ca="1">IF(E107="——","——",H101-H103)</f>
        <v>54777</v>
      </c>
      <c r="I107" s="129"/>
    </row>
    <row r="108" spans="1:35" ht="18.75" customHeight="1">
      <c r="A108" s="129"/>
      <c r="B108" s="129"/>
      <c r="C108" s="129"/>
      <c r="D108" s="129"/>
      <c r="E108" s="3603"/>
      <c r="F108" s="3571"/>
      <c r="G108" s="1826" t="s">
        <v>1434</v>
      </c>
      <c r="H108" s="2554">
        <f ca="1">IF(H107=H101,H102,ROUND(H107*10000/'数据-汇总表'!E3,0))</f>
        <v>9332</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7" t="str">
        <f>IF(E109="——","——",H101-H105-H106)</f>
        <v>——</v>
      </c>
      <c r="I109" s="129"/>
    </row>
    <row r="110" spans="1:35" ht="18.75" customHeight="1">
      <c r="A110" s="129"/>
      <c r="B110" s="129"/>
      <c r="C110" s="129"/>
      <c r="D110" s="129"/>
      <c r="E110" s="3603"/>
      <c r="F110" s="3571"/>
      <c r="G110" s="1826" t="s">
        <v>1434</v>
      </c>
      <c r="H110" s="2554"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4.抵押净值</v>
      </c>
      <c r="F111" s="3590"/>
      <c r="G111" s="1826" t="s">
        <v>1432</v>
      </c>
      <c r="H111" s="2594">
        <f ca="1">IF(E111="——","——",N59)</f>
        <v>53155</v>
      </c>
      <c r="I111" s="129"/>
    </row>
    <row r="112" spans="1:35" ht="18.75" customHeight="1" thickBot="1">
      <c r="A112" s="129"/>
      <c r="B112" s="129"/>
      <c r="C112" s="129"/>
      <c r="D112" s="129"/>
      <c r="E112" s="3605"/>
      <c r="F112" s="3606"/>
      <c r="G112" s="1829" t="s">
        <v>1434</v>
      </c>
      <c r="H112" s="2598">
        <f ca="1">IF(E111="——","——",N61)</f>
        <v>9055</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3583</v>
      </c>
      <c r="C116" s="3582" t="s">
        <v>3582</v>
      </c>
      <c r="D116" s="3588" t="s">
        <v>1444</v>
      </c>
      <c r="E116" s="3589"/>
      <c r="F116" s="3620" t="s">
        <v>3581</v>
      </c>
      <c r="G116" s="3620"/>
      <c r="H116" s="3578" t="s">
        <v>1445</v>
      </c>
      <c r="I116" s="3578"/>
    </row>
    <row r="117" spans="1:27" ht="18.75" customHeight="1">
      <c r="A117" s="3578"/>
      <c r="B117" s="3583"/>
      <c r="C117" s="3583"/>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58700.09</v>
      </c>
      <c r="C118" s="2328">
        <f>M19</f>
        <v>32779.72</v>
      </c>
      <c r="D118" s="2328">
        <f ca="1">ROUND(IF(D32="总价",C34,E118*B118/10000),0)</f>
        <v>18022</v>
      </c>
      <c r="E118" s="2328">
        <f ca="1">ROUND(IF(C33="自定义",IF(D32="楼面单价",C34,D118*10000/B118),I118-G118),0)</f>
        <v>3071</v>
      </c>
      <c r="F118" s="2328">
        <f ca="1">ROUND(IF(D32="总价",C35,G118*B118/10000),0)</f>
        <v>36755</v>
      </c>
      <c r="G118" s="2328">
        <f ca="1">ROUND(IF(D32="楼面单价",C35,F118*10000/B118),0)</f>
        <v>6261</v>
      </c>
      <c r="H118" s="2328">
        <f ca="1">ROUND(IF(D32="总价",C32,I118*B118/10000),0)</f>
        <v>54777</v>
      </c>
      <c r="I118" s="2328">
        <f ca="1">ROUND(IF(D32="楼面单价",C32,H118*10000/B118),0)</f>
        <v>9332</v>
      </c>
      <c r="K118" s="725">
        <f ca="1">D118/B118*666.67</f>
        <v>204.67986914500469</v>
      </c>
    </row>
    <row r="119" spans="1:27" ht="18.75" customHeight="1">
      <c r="A119" s="3578" t="s">
        <v>1449</v>
      </c>
      <c r="B119" s="3578"/>
      <c r="C119" s="3578"/>
      <c r="D119" s="3584" t="str">
        <f ca="1">NUMBERSTRING(INT(D118*10000),2)&amp;"元整"</f>
        <v>壹亿捌仟零贰拾贰万元整</v>
      </c>
      <c r="E119" s="3585"/>
      <c r="F119" s="3584" t="str">
        <f ca="1">NUMBERSTRING(INT(F118*10000),2)&amp;"元整"</f>
        <v>叁亿陆仟柒佰伍拾伍万元整</v>
      </c>
      <c r="G119" s="3585"/>
      <c r="H119" s="3584" t="str">
        <f ca="1">NUMBERSTRING(INT(H118*10000),2)&amp;"元整"</f>
        <v>伍亿肆仟柒佰柒拾柒万元整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4" t="s">
        <v>1449</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54777</v>
      </c>
      <c r="E122" s="3580"/>
      <c r="F122" s="3580"/>
      <c r="G122" s="3580"/>
      <c r="H122" s="3580"/>
      <c r="I122" s="3581"/>
      <c r="AA122" s="725"/>
    </row>
    <row r="123" spans="1:27" ht="18.75" customHeight="1">
      <c r="A123" s="3578" t="s">
        <v>1449</v>
      </c>
      <c r="B123" s="3578"/>
      <c r="C123" s="3578"/>
      <c r="D123" s="3584" t="str">
        <f ca="1">NUMBERSTRING(INT(D122*10000),2)&amp;"元整"</f>
        <v>伍亿肆仟柒佰柒拾柒万元整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1449</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抵押净值</v>
      </c>
      <c r="B126" s="3590"/>
      <c r="C126" s="3590"/>
      <c r="D126" s="3579">
        <f ca="1">H111</f>
        <v>53155</v>
      </c>
      <c r="E126" s="3580"/>
      <c r="F126" s="3580"/>
      <c r="G126" s="3580"/>
      <c r="H126" s="3580"/>
      <c r="I126" s="3581"/>
      <c r="AA126" s="725"/>
    </row>
    <row r="127" spans="1:27" ht="18.75" customHeight="1">
      <c r="A127" s="3578" t="s">
        <v>1449</v>
      </c>
      <c r="B127" s="3578"/>
      <c r="C127" s="3578"/>
      <c r="D127" s="3584" t="str">
        <f ca="1">NUMBERSTRING(INT(D126*10000),2)&amp;"元整"</f>
        <v>伍亿叁仟壹佰伍拾伍万元整</v>
      </c>
      <c r="E127" s="3586"/>
      <c r="F127" s="3586"/>
      <c r="G127" s="3586"/>
      <c r="H127" s="3586"/>
      <c r="I127" s="3585"/>
      <c r="AA127" s="725"/>
    </row>
    <row r="128" spans="1:27" ht="21.75" customHeight="1">
      <c r="A128" s="3587" t="s">
        <v>1450</v>
      </c>
      <c r="B128" s="3587"/>
      <c r="C128" s="3587"/>
      <c r="D128" s="3587"/>
      <c r="E128" s="3587"/>
      <c r="F128" s="3587"/>
      <c r="G128" s="3587"/>
      <c r="H128" s="3587"/>
      <c r="I128" s="358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M41" sqref="M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10445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1779</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ht="37.5" customHeight="1">
      <c r="A5" s="358"/>
      <c r="B5" s="359"/>
      <c r="C5" s="3690" t="s">
        <v>1670</v>
      </c>
      <c r="D5" s="3691"/>
      <c r="E5" s="3682" t="str">
        <f>sheet1!A4</f>
        <v>北京市房山区窦店新城组团FS00-0308-0030地块M1一类工业用地项目</v>
      </c>
      <c r="F5" s="3683"/>
      <c r="G5" s="3690" t="str">
        <f>sheet1!A6</f>
        <v>北京石化新材料科技产业基地核心区东区B7-13、B7-18地块工业用地项目</v>
      </c>
      <c r="H5" s="3691"/>
      <c r="I5" s="3690" t="str">
        <f>sheet1!A8</f>
        <v>北京高端制造业基地01街区01-02(2)地块工业用地项目</v>
      </c>
      <c r="J5" s="3691"/>
      <c r="K5" s="559"/>
      <c r="L5" s="2714"/>
      <c r="M5" s="2715"/>
      <c r="N5" s="2715"/>
      <c r="O5" s="2715"/>
      <c r="P5" s="3678"/>
      <c r="Q5" s="3679"/>
      <c r="R5" s="3688"/>
      <c r="S5" s="3689"/>
      <c r="T5" s="3688"/>
      <c r="U5" s="3689"/>
      <c r="V5" s="3664"/>
      <c r="W5" s="3664"/>
      <c r="X5" s="1354"/>
      <c r="Y5" s="3688"/>
      <c r="Z5" s="3689"/>
      <c r="AA5" s="3670"/>
      <c r="AB5" s="3670"/>
      <c r="AC5" s="3670"/>
    </row>
    <row r="6" spans="1:29" ht="28.5" customHeight="1" thickBot="1">
      <c r="A6" s="360"/>
      <c r="B6" s="361"/>
      <c r="C6" s="3692" t="s">
        <v>1916</v>
      </c>
      <c r="D6" s="3693"/>
      <c r="E6" s="3695" t="str">
        <f>I6</f>
        <v xml:space="preserve"> 房山区窦店镇</v>
      </c>
      <c r="F6" s="3696"/>
      <c r="G6" s="3692" t="str">
        <f>sheet1!G6</f>
        <v xml:space="preserve"> 房山区城关街道前、后朱各庄村</v>
      </c>
      <c r="H6" s="3693"/>
      <c r="I6" s="3692" t="str">
        <f>sheet1!G8</f>
        <v xml:space="preserve"> 房山区窦店镇</v>
      </c>
      <c r="J6" s="3693"/>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75" thickBot="1">
      <c r="A7" s="362" t="s">
        <v>1676</v>
      </c>
      <c r="B7" s="363"/>
      <c r="C7" s="364">
        <f>'数据-取费表'!B2</f>
        <v>45112</v>
      </c>
      <c r="D7" s="365">
        <v>100</v>
      </c>
      <c r="E7" s="366">
        <f>sheet1!AC4</f>
        <v>44963.000497685185</v>
      </c>
      <c r="F7" s="367">
        <f>SUMIF(65:65,YEAR(E7)&amp;"-"&amp;INT((MONTH(E7)+2)/3),66:66)</f>
        <v>99.800000000000011</v>
      </c>
      <c r="G7" s="1973">
        <f>sheet1!AC6</f>
        <v>44433.000497685185</v>
      </c>
      <c r="H7" s="365">
        <f>SUMIF(65:65,YEAR(G7)&amp;"-"&amp;INT((MONTH(G7)+2)/3),66:66)</f>
        <v>99.200000000000045</v>
      </c>
      <c r="I7" s="1973">
        <f>sheet1!AC7</f>
        <v>44189.000497685185</v>
      </c>
      <c r="J7" s="365">
        <f>SUMIF(65:65,YEAR(I7)&amp;"-"&amp;INT((MONTH(I7)+2)/3),66:66)</f>
        <v>98.900000000000063</v>
      </c>
      <c r="K7" s="560"/>
      <c r="L7" s="2716"/>
      <c r="M7" s="2717"/>
      <c r="N7" s="2717"/>
      <c r="O7" s="2717"/>
      <c r="P7" s="3662" t="s">
        <v>1677</v>
      </c>
      <c r="Q7" s="3694"/>
      <c r="R7" s="701" t="s">
        <v>14</v>
      </c>
      <c r="S7" s="702">
        <f t="shared" ref="S7:S15" si="0">F7</f>
        <v>99.800000000000011</v>
      </c>
      <c r="T7" s="701" t="s">
        <v>14</v>
      </c>
      <c r="U7" s="702">
        <f t="shared" ref="U7:U15" si="1">H7</f>
        <v>99.200000000000045</v>
      </c>
      <c r="V7" s="701" t="s">
        <v>14</v>
      </c>
      <c r="W7" s="702">
        <f t="shared" ref="W7:W15" si="2">J7</f>
        <v>98.900000000000063</v>
      </c>
      <c r="X7" s="703"/>
      <c r="Y7" s="3662" t="s">
        <v>1677</v>
      </c>
      <c r="Z7" s="3663"/>
      <c r="AA7" s="704">
        <f>D7/F7</f>
        <v>1.002004008016032</v>
      </c>
      <c r="AB7" s="704">
        <f>D7/H7</f>
        <v>1.0080645161290318</v>
      </c>
      <c r="AC7" s="704">
        <f>D7/J7</f>
        <v>1.0111223458038416</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40" si="3">D8/F8</f>
        <v>1</v>
      </c>
      <c r="AB8" s="704">
        <f t="shared" ref="AB8:AB40" si="4">D8/H8</f>
        <v>1</v>
      </c>
      <c r="AC8" s="704">
        <f t="shared" ref="AC8:AC40" si="5">D8/J8</f>
        <v>1</v>
      </c>
    </row>
    <row r="9" spans="1:29" s="108" customFormat="1">
      <c r="A9" s="369" t="s">
        <v>1681</v>
      </c>
      <c r="B9" s="63" t="s">
        <v>1682</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633"/>
      <c r="Z10" s="52" t="str">
        <f t="shared" si="7"/>
        <v>土地使用年限（年）</v>
      </c>
      <c r="AA10" s="704">
        <f t="shared" si="3"/>
        <v>0.96153846153846156</v>
      </c>
      <c r="AB10" s="704">
        <f t="shared" si="4"/>
        <v>0.96153846153846156</v>
      </c>
      <c r="AC10" s="704">
        <f t="shared" si="5"/>
        <v>0.96153846153846156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20"/>
      <c r="M11" s="2715"/>
      <c r="N11" s="2715"/>
      <c r="O11" s="2773"/>
      <c r="P11" s="3660"/>
      <c r="Q11" s="1342" t="str">
        <f t="shared" si="6"/>
        <v>容积率</v>
      </c>
      <c r="R11" s="701" t="s">
        <v>14</v>
      </c>
      <c r="S11" s="702">
        <f t="shared" si="0"/>
        <v>95</v>
      </c>
      <c r="T11" s="701" t="s">
        <v>14</v>
      </c>
      <c r="U11" s="702">
        <f t="shared" si="1"/>
        <v>100</v>
      </c>
      <c r="V11" s="701" t="s">
        <v>14</v>
      </c>
      <c r="W11" s="702">
        <f t="shared" si="2"/>
        <v>100</v>
      </c>
      <c r="X11" s="703"/>
      <c r="Y11" s="3633"/>
      <c r="Z11" s="52" t="str">
        <f t="shared" si="7"/>
        <v>容积率</v>
      </c>
      <c r="AA11" s="704">
        <f t="shared" si="3"/>
        <v>1.0526315789473684</v>
      </c>
      <c r="AB11" s="704">
        <f t="shared" si="4"/>
        <v>1</v>
      </c>
      <c r="AC11" s="704">
        <f t="shared" si="5"/>
        <v>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21"/>
      <c r="M15" s="2715"/>
      <c r="N15" s="2715"/>
      <c r="O15" s="2773"/>
      <c r="P15" s="3665" t="s">
        <v>1688</v>
      </c>
      <c r="Q15" s="1351" t="str">
        <f t="shared" si="6"/>
        <v>产业集聚程度</v>
      </c>
      <c r="R15" s="705" t="s">
        <v>14</v>
      </c>
      <c r="S15" s="706">
        <f t="shared" si="0"/>
        <v>97</v>
      </c>
      <c r="T15" s="705" t="s">
        <v>14</v>
      </c>
      <c r="U15" s="706">
        <f t="shared" si="1"/>
        <v>97</v>
      </c>
      <c r="V15" s="705" t="s">
        <v>14</v>
      </c>
      <c r="W15" s="706">
        <f t="shared" si="2"/>
        <v>100</v>
      </c>
      <c r="X15" s="1354"/>
      <c r="Y15" s="3665" t="s">
        <v>1688</v>
      </c>
      <c r="Z15" s="1355" t="str">
        <f t="shared" si="7"/>
        <v>产业集聚程度</v>
      </c>
      <c r="AA15" s="1352">
        <f t="shared" si="3"/>
        <v>1.0309278350515463</v>
      </c>
      <c r="AB15" s="1352">
        <f t="shared" si="4"/>
        <v>1.0309278350515463</v>
      </c>
      <c r="AC15" s="1352">
        <f t="shared" si="5"/>
        <v>1</v>
      </c>
    </row>
    <row r="16" spans="1:29" ht="15">
      <c r="A16" s="379"/>
      <c r="B16" s="578"/>
      <c r="C16" s="398" t="s">
        <v>3566</v>
      </c>
      <c r="D16" s="399"/>
      <c r="E16" s="398" t="s">
        <v>3567</v>
      </c>
      <c r="F16" s="399"/>
      <c r="G16" s="398" t="s">
        <v>3567</v>
      </c>
      <c r="H16" s="401"/>
      <c r="I16" s="398" t="s">
        <v>3566</v>
      </c>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t="s">
        <v>3567</v>
      </c>
      <c r="D18" s="399"/>
      <c r="E18" s="398" t="s">
        <v>3567</v>
      </c>
      <c r="F18" s="399"/>
      <c r="G18" s="398" t="s">
        <v>3567</v>
      </c>
      <c r="H18" s="399"/>
      <c r="I18" s="398" t="s">
        <v>3567</v>
      </c>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t="s">
        <v>3566</v>
      </c>
      <c r="D20" s="399"/>
      <c r="E20" s="398" t="s">
        <v>3566</v>
      </c>
      <c r="F20" s="399"/>
      <c r="G20" s="398" t="s">
        <v>3566</v>
      </c>
      <c r="H20" s="399"/>
      <c r="I20" s="398" t="s">
        <v>3566</v>
      </c>
      <c r="J20" s="399"/>
      <c r="K20" s="740"/>
      <c r="L20" s="2721"/>
      <c r="M20" s="2715"/>
      <c r="N20" s="2715"/>
      <c r="O20" s="2773"/>
      <c r="P20" s="3666"/>
      <c r="Q20" s="1351"/>
      <c r="R20" s="705"/>
      <c r="S20" s="706"/>
      <c r="T20" s="705"/>
      <c r="U20" s="706"/>
      <c r="V20" s="705"/>
      <c r="W20" s="706"/>
      <c r="X20" s="1354"/>
      <c r="Y20" s="3666"/>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t="s">
        <v>3567</v>
      </c>
      <c r="D22" s="399"/>
      <c r="E22" s="1903" t="s">
        <v>3567</v>
      </c>
      <c r="F22" s="399"/>
      <c r="G22" s="1903" t="s">
        <v>3567</v>
      </c>
      <c r="H22" s="399"/>
      <c r="I22" s="1903" t="s">
        <v>3567</v>
      </c>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t="s">
        <v>3567</v>
      </c>
      <c r="D24" s="399"/>
      <c r="E24" s="1903" t="s">
        <v>3567</v>
      </c>
      <c r="F24" s="399"/>
      <c r="G24" s="1903" t="s">
        <v>3567</v>
      </c>
      <c r="H24" s="399"/>
      <c r="I24" s="1903" t="s">
        <v>3567</v>
      </c>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
      <c r="A26" s="597"/>
      <c r="B26" s="580"/>
      <c r="C26" s="1977" t="s">
        <v>3568</v>
      </c>
      <c r="D26" s="399"/>
      <c r="E26" s="1977" t="s">
        <v>3568</v>
      </c>
      <c r="F26" s="399"/>
      <c r="G26" s="1977" t="s">
        <v>3568</v>
      </c>
      <c r="H26" s="399"/>
      <c r="I26" s="1977" t="s">
        <v>3568</v>
      </c>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67" t="s">
        <v>1693</v>
      </c>
      <c r="Q32" s="1351">
        <f t="shared" si="8"/>
        <v>111</v>
      </c>
      <c r="R32" s="705" t="s">
        <v>14</v>
      </c>
      <c r="S32" s="706">
        <f t="shared" si="10"/>
        <v>100</v>
      </c>
      <c r="T32" s="705" t="s">
        <v>14</v>
      </c>
      <c r="U32" s="706">
        <f t="shared" si="11"/>
        <v>100</v>
      </c>
      <c r="V32" s="705" t="s">
        <v>14</v>
      </c>
      <c r="W32" s="706">
        <f t="shared" si="12"/>
        <v>100</v>
      </c>
      <c r="X32" s="1354"/>
      <c r="Y32" s="3668"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8"/>
      <c r="Q33" s="1351">
        <f t="shared" si="8"/>
        <v>111</v>
      </c>
      <c r="R33" s="708" t="s">
        <v>14</v>
      </c>
      <c r="S33" s="709">
        <f t="shared" si="10"/>
        <v>100</v>
      </c>
      <c r="T33" s="708" t="s">
        <v>14</v>
      </c>
      <c r="U33" s="709">
        <f t="shared" si="11"/>
        <v>100</v>
      </c>
      <c r="V33" s="708" t="s">
        <v>14</v>
      </c>
      <c r="W33" s="709">
        <f t="shared" si="12"/>
        <v>100</v>
      </c>
      <c r="X33" s="710"/>
      <c r="Y33" s="3668"/>
      <c r="Z33" s="711">
        <f t="shared" si="13"/>
        <v>111</v>
      </c>
      <c r="AA33" s="1352">
        <f t="shared" si="3"/>
        <v>1</v>
      </c>
      <c r="AB33" s="1352">
        <f t="shared" si="4"/>
        <v>1</v>
      </c>
      <c r="AC33" s="1352">
        <f t="shared" si="5"/>
        <v>1</v>
      </c>
    </row>
    <row r="34" spans="1:31" ht="15">
      <c r="A34" s="391" t="s">
        <v>1691</v>
      </c>
      <c r="B34" s="407" t="s">
        <v>1871</v>
      </c>
      <c r="C34" s="627">
        <f>'数据-基础表'!A3</f>
        <v>32779.72</v>
      </c>
      <c r="D34" s="418">
        <v>100</v>
      </c>
      <c r="E34" s="627">
        <f>sheet1!I4</f>
        <v>101126.72</v>
      </c>
      <c r="F34" s="418">
        <f>LOOKUP(E34,108:108,109:109)-LOOKUP(C34,108:108,109:109)+100</f>
        <v>96</v>
      </c>
      <c r="G34" s="627">
        <f>sheet1!I6</f>
        <v>60631.73</v>
      </c>
      <c r="H34" s="418">
        <f>LOOKUP(G34,108:108,109:109)-LOOKUP(C34,108:108,109:109)+100</f>
        <v>98</v>
      </c>
      <c r="I34" s="479">
        <f>sheet1!I8</f>
        <v>47600.14</v>
      </c>
      <c r="J34" s="418">
        <f>LOOKUP(I34,108:108,109:109)-LOOKUP(C34,108:108,109:109)+100</f>
        <v>100</v>
      </c>
      <c r="K34" s="562"/>
      <c r="L34" s="2721"/>
      <c r="M34" s="2715"/>
      <c r="N34" s="2715"/>
      <c r="O34" s="2773"/>
      <c r="P34" s="3668"/>
      <c r="Q34" s="1351" t="str">
        <f>B34</f>
        <v>宗地面积</v>
      </c>
      <c r="R34" s="705" t="s">
        <v>14</v>
      </c>
      <c r="S34" s="706">
        <f t="shared" si="10"/>
        <v>96</v>
      </c>
      <c r="T34" s="705" t="s">
        <v>14</v>
      </c>
      <c r="U34" s="706">
        <f t="shared" si="11"/>
        <v>98</v>
      </c>
      <c r="V34" s="705" t="s">
        <v>14</v>
      </c>
      <c r="W34" s="706">
        <f t="shared" si="12"/>
        <v>100</v>
      </c>
      <c r="X34" s="1354"/>
      <c r="Y34" s="3668"/>
      <c r="Z34" s="1355" t="str">
        <f t="shared" si="13"/>
        <v>宗地面积</v>
      </c>
      <c r="AA34" s="1352">
        <f t="shared" si="3"/>
        <v>1.0416666666666667</v>
      </c>
      <c r="AB34" s="1352">
        <f t="shared" si="4"/>
        <v>1.0204081632653061</v>
      </c>
      <c r="AC34" s="1352">
        <f t="shared" si="5"/>
        <v>1</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8"/>
      <c r="Q35" s="1351" t="str">
        <f t="shared" ref="Q35:Q40" si="14">B35</f>
        <v>宗地形状</v>
      </c>
      <c r="R35" s="705" t="s">
        <v>14</v>
      </c>
      <c r="S35" s="706">
        <f t="shared" si="10"/>
        <v>100</v>
      </c>
      <c r="T35" s="705" t="s">
        <v>14</v>
      </c>
      <c r="U35" s="706">
        <f t="shared" si="11"/>
        <v>100</v>
      </c>
      <c r="V35" s="705" t="s">
        <v>14</v>
      </c>
      <c r="W35" s="706">
        <f t="shared" si="12"/>
        <v>100</v>
      </c>
      <c r="X35" s="1354"/>
      <c r="Y35" s="3668"/>
      <c r="Z35" s="1355" t="str">
        <f t="shared" si="13"/>
        <v>宗地形状</v>
      </c>
      <c r="AA35" s="1352">
        <f t="shared" si="3"/>
        <v>1</v>
      </c>
      <c r="AB35" s="1352">
        <f t="shared" si="4"/>
        <v>1</v>
      </c>
      <c r="AC35" s="1352">
        <f t="shared" si="5"/>
        <v>1</v>
      </c>
    </row>
    <row r="36" spans="1:31" s="108" customFormat="1" ht="15">
      <c r="A36" s="424"/>
      <c r="B36" s="375" t="s">
        <v>1874</v>
      </c>
      <c r="C36" s="1979" t="s">
        <v>3568</v>
      </c>
      <c r="D36" s="127">
        <v>100</v>
      </c>
      <c r="E36" s="1979" t="s">
        <v>3576</v>
      </c>
      <c r="F36" s="386">
        <f>SUMIF(112:112,E36,113:113)-SUMIF(112:112,C36,113:113)+100</f>
        <v>98</v>
      </c>
      <c r="G36" s="1979" t="s">
        <v>3576</v>
      </c>
      <c r="H36" s="386">
        <f>SUMIF(112:112,G36,113:113)-SUMIF(112:112,C36,113:113)+100</f>
        <v>98</v>
      </c>
      <c r="I36" s="1979" t="s">
        <v>3576</v>
      </c>
      <c r="J36" s="386">
        <f>SUMIF(112:112,I36,113:113)-SUMIF(112:112,C36,113:113)+100</f>
        <v>98</v>
      </c>
      <c r="K36" s="561">
        <v>0.5</v>
      </c>
      <c r="L36" s="2716"/>
      <c r="M36" s="2717"/>
      <c r="N36" s="2717"/>
      <c r="O36" s="2771"/>
      <c r="P36" s="3668"/>
      <c r="Q36" s="1351" t="str">
        <f t="shared" si="14"/>
        <v>宗地开发程度</v>
      </c>
      <c r="R36" s="701" t="s">
        <v>14</v>
      </c>
      <c r="S36" s="702">
        <f t="shared" si="10"/>
        <v>98</v>
      </c>
      <c r="T36" s="701" t="s">
        <v>14</v>
      </c>
      <c r="U36" s="702">
        <f t="shared" si="11"/>
        <v>98</v>
      </c>
      <c r="V36" s="701" t="s">
        <v>14</v>
      </c>
      <c r="W36" s="702">
        <f t="shared" si="12"/>
        <v>98</v>
      </c>
      <c r="X36" s="703"/>
      <c r="Y36" s="3668"/>
      <c r="Z36" s="52" t="str">
        <f t="shared" si="13"/>
        <v>宗地开发程度</v>
      </c>
      <c r="AA36" s="704">
        <f t="shared" si="3"/>
        <v>1.0204081632653061</v>
      </c>
      <c r="AB36" s="704">
        <f t="shared" si="4"/>
        <v>1.0204081632653061</v>
      </c>
      <c r="AC36" s="704">
        <f t="shared" si="5"/>
        <v>1.0204081632653061</v>
      </c>
    </row>
    <row r="37" spans="1:31" ht="15">
      <c r="A37" s="423"/>
      <c r="B37" s="375" t="s">
        <v>1875</v>
      </c>
      <c r="C37" s="1905" t="s">
        <v>3566</v>
      </c>
      <c r="D37" s="386">
        <v>100</v>
      </c>
      <c r="E37" s="1905" t="s">
        <v>3566</v>
      </c>
      <c r="F37" s="386">
        <f>SUMIF(114:114,E37,115:115)-SUMIF(114:114,C37,115:115)+100</f>
        <v>100</v>
      </c>
      <c r="G37" s="1905" t="s">
        <v>3566</v>
      </c>
      <c r="H37" s="386">
        <f>SUMIF(114:114,G37,115:115)-SUMIF(114:114,C37,115:115)+100</f>
        <v>100</v>
      </c>
      <c r="I37" s="1905" t="s">
        <v>3566</v>
      </c>
      <c r="J37" s="386">
        <f>SUMIF(114:114,I37,115:115)-SUMIF(114:114,C37,115:115)+100</f>
        <v>100</v>
      </c>
      <c r="K37" s="561"/>
      <c r="L37" s="2721"/>
      <c r="M37" s="2715"/>
      <c r="N37" s="2715"/>
      <c r="O37" s="2773"/>
      <c r="P37" s="3668" t="s">
        <v>1693</v>
      </c>
      <c r="Q37" s="1351" t="str">
        <f t="shared" si="14"/>
        <v>工程地质条件</v>
      </c>
      <c r="R37" s="705" t="s">
        <v>14</v>
      </c>
      <c r="S37" s="706">
        <f t="shared" si="10"/>
        <v>100</v>
      </c>
      <c r="T37" s="705" t="s">
        <v>14</v>
      </c>
      <c r="U37" s="706">
        <f t="shared" si="11"/>
        <v>100</v>
      </c>
      <c r="V37" s="705" t="s">
        <v>14</v>
      </c>
      <c r="W37" s="706">
        <f t="shared" si="12"/>
        <v>100</v>
      </c>
      <c r="X37" s="1354"/>
      <c r="Y37" s="3668"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8"/>
      <c r="Q38" s="1351">
        <f t="shared" si="14"/>
        <v>111</v>
      </c>
      <c r="R38" s="705" t="s">
        <v>14</v>
      </c>
      <c r="S38" s="706">
        <f t="shared" si="10"/>
        <v>100</v>
      </c>
      <c r="T38" s="705" t="s">
        <v>14</v>
      </c>
      <c r="U38" s="706">
        <f t="shared" si="11"/>
        <v>100</v>
      </c>
      <c r="V38" s="705" t="s">
        <v>14</v>
      </c>
      <c r="W38" s="706">
        <f t="shared" si="12"/>
        <v>100</v>
      </c>
      <c r="X38" s="1354"/>
      <c r="Y38" s="366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8"/>
      <c r="Q39" s="1351">
        <f t="shared" si="14"/>
        <v>111</v>
      </c>
      <c r="R39" s="705" t="s">
        <v>14</v>
      </c>
      <c r="S39" s="706">
        <f t="shared" si="10"/>
        <v>100</v>
      </c>
      <c r="T39" s="705" t="s">
        <v>14</v>
      </c>
      <c r="U39" s="706">
        <f t="shared" si="11"/>
        <v>100</v>
      </c>
      <c r="V39" s="705" t="s">
        <v>14</v>
      </c>
      <c r="W39" s="706">
        <f t="shared" si="12"/>
        <v>100</v>
      </c>
      <c r="X39" s="1354"/>
      <c r="Y39" s="366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8"/>
      <c r="Q40" s="1351">
        <f t="shared" si="14"/>
        <v>111</v>
      </c>
      <c r="R40" s="708" t="s">
        <v>14</v>
      </c>
      <c r="S40" s="709">
        <f t="shared" si="10"/>
        <v>100</v>
      </c>
      <c r="T40" s="708" t="s">
        <v>14</v>
      </c>
      <c r="U40" s="709">
        <f t="shared" si="11"/>
        <v>100</v>
      </c>
      <c r="V40" s="708" t="s">
        <v>14</v>
      </c>
      <c r="W40" s="709">
        <f t="shared" si="12"/>
        <v>100</v>
      </c>
      <c r="X40" s="710"/>
      <c r="Y40" s="3668"/>
      <c r="Z40" s="711">
        <f t="shared" si="13"/>
        <v>111</v>
      </c>
      <c r="AA40" s="1352">
        <f t="shared" si="3"/>
        <v>1</v>
      </c>
      <c r="AB40" s="1352">
        <f t="shared" si="4"/>
        <v>1</v>
      </c>
      <c r="AC40" s="1352">
        <f t="shared" si="5"/>
        <v>1</v>
      </c>
    </row>
    <row r="41" spans="1:31" ht="15">
      <c r="A41" s="430" t="s">
        <v>1841</v>
      </c>
      <c r="B41" s="1981" t="s">
        <v>3577</v>
      </c>
      <c r="C41" s="630" t="s">
        <v>0</v>
      </c>
      <c r="D41" s="432"/>
      <c r="E41" s="433">
        <f>sheet1!BB4</f>
        <v>2223</v>
      </c>
      <c r="F41" s="434"/>
      <c r="G41" s="435">
        <f>sheet1!BB6</f>
        <v>2411</v>
      </c>
      <c r="H41" s="436"/>
      <c r="I41" s="433">
        <f>sheet1!BB8</f>
        <v>2931</v>
      </c>
      <c r="J41" s="436"/>
      <c r="K41" s="714"/>
      <c r="L41" s="2723"/>
      <c r="M41" s="2715"/>
      <c r="N41" s="2715"/>
      <c r="O41" s="2724"/>
      <c r="P41" s="3660" t="str">
        <f>A41</f>
        <v>成交单价</v>
      </c>
      <c r="Q41" s="3660"/>
      <c r="R41" s="3664">
        <f>E41</f>
        <v>2223</v>
      </c>
      <c r="S41" s="3664"/>
      <c r="T41" s="3664">
        <f>G41</f>
        <v>2411</v>
      </c>
      <c r="U41" s="3664"/>
      <c r="V41" s="3664">
        <f>I41</f>
        <v>2931</v>
      </c>
      <c r="W41" s="3664"/>
      <c r="X41" s="690"/>
      <c r="Y41" s="712"/>
      <c r="Z41" s="690"/>
      <c r="AA41" s="690"/>
      <c r="AB41" s="690"/>
      <c r="AC41" s="690"/>
    </row>
    <row r="42" spans="1:31" ht="15.75" thickBot="1">
      <c r="A42" s="437" t="s">
        <v>1790</v>
      </c>
      <c r="B42" s="631"/>
      <c r="C42" s="440">
        <f>R43</f>
        <v>2629</v>
      </c>
      <c r="D42" s="2316" t="s">
        <v>2134</v>
      </c>
      <c r="E42" s="440">
        <f>R42</f>
        <v>2470</v>
      </c>
      <c r="F42" s="2317"/>
      <c r="G42" s="439">
        <f>T42</f>
        <v>2509</v>
      </c>
      <c r="H42" s="2317"/>
      <c r="I42" s="440">
        <f>V42</f>
        <v>2908</v>
      </c>
      <c r="J42" s="2317"/>
      <c r="K42" s="2319">
        <f>F42+H42+J42</f>
        <v>0</v>
      </c>
      <c r="L42" s="2723"/>
      <c r="M42" s="2715"/>
      <c r="N42" s="2715"/>
      <c r="O42" s="2724"/>
      <c r="P42" s="3660" t="str">
        <f>A42</f>
        <v>比较价值（元/平方米）</v>
      </c>
      <c r="Q42" s="3660"/>
      <c r="R42" s="3661">
        <f>ROUND(PRODUCT(R41,AA7:AA40),0)</f>
        <v>2470</v>
      </c>
      <c r="S42" s="3661"/>
      <c r="T42" s="3661">
        <f>ROUND(PRODUCT(T41,AB7:AB40),0)</f>
        <v>2509</v>
      </c>
      <c r="U42" s="3661"/>
      <c r="V42" s="3661">
        <f>ROUND(PRODUCT(V41,AC7:AC40),0)</f>
        <v>2908</v>
      </c>
      <c r="W42" s="3661"/>
      <c r="X42" s="690"/>
      <c r="Y42" s="690"/>
      <c r="Z42" s="690"/>
      <c r="AA42" s="690"/>
      <c r="AB42" s="690"/>
      <c r="AC42" s="690"/>
    </row>
    <row r="43" spans="1:31" ht="15.75" thickBot="1">
      <c r="A43" s="441" t="s">
        <v>1791</v>
      </c>
      <c r="B43" s="442"/>
      <c r="C43" s="443">
        <f>R43</f>
        <v>2629</v>
      </c>
      <c r="D43" s="443"/>
      <c r="E43" s="443"/>
      <c r="F43" s="443"/>
      <c r="G43" s="443"/>
      <c r="H43" s="443"/>
      <c r="I43" s="443"/>
      <c r="J43" s="443"/>
      <c r="K43" s="715"/>
      <c r="L43" s="2723"/>
      <c r="M43" s="2715"/>
      <c r="N43" s="2715"/>
      <c r="O43" s="2724"/>
      <c r="P43" s="3657" t="str">
        <f>A43</f>
        <v>估价对象XX用房的比较价值（楼面单价，元/平方米）</v>
      </c>
      <c r="Q43" s="3658"/>
      <c r="R43" s="3659">
        <f>ROUND(IF(D42="简单平均",AVERAGE(R42:W42),R42*F42+T42*H42+V42*J42),0)</f>
        <v>2629</v>
      </c>
      <c r="S43" s="3659"/>
      <c r="T43" s="3659"/>
      <c r="U43" s="3659"/>
      <c r="V43" s="3659"/>
      <c r="W43" s="365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f>IF(E41&lt;E42,E42/E41-1,E41/E42-1)</f>
        <v>0.11111111111111116</v>
      </c>
      <c r="F46" s="449" t="str">
        <f>IF(OR(E46&gt;=0.3,E46&lt;=-0.3),"超过30%","")</f>
        <v/>
      </c>
      <c r="G46" s="448">
        <f>IF(G41&lt;G42,G42/G41-1,G41/G42-1)</f>
        <v>4.0647034425549622E-2</v>
      </c>
      <c r="H46" s="449" t="str">
        <f>IF(OR(G46&gt;=0.3,G46&lt;=-0.3),"超过30%","")</f>
        <v/>
      </c>
      <c r="I46" s="448">
        <f>IF(I41&lt;I42,I42/I41-1,I41/I42-1)</f>
        <v>7.909215955983484E-3</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f>IF(E42&lt;G42,G42/E42-1,E42/G42-1)</f>
        <v>1.5789473684210575E-2</v>
      </c>
      <c r="F47" s="449" t="str">
        <f>IF(OR(E47&gt;=0.2,E47&lt;=-0.2),"超过20%","")</f>
        <v/>
      </c>
      <c r="G47" s="448">
        <f>IF(G42&lt;I42,I42/G42-1,G42/I42-1)</f>
        <v>0.15902750099641283</v>
      </c>
      <c r="H47" s="449" t="str">
        <f>IF(OR(G47&gt;=0.2,G47&lt;=-0.2),"超过20%","")</f>
        <v/>
      </c>
      <c r="I47" s="448">
        <f>IF(I42&lt;E42,E42/I42-1,I42/E42-1)</f>
        <v>0.17732793522267198</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f>IF(E41&lt;G41,G41/E41-1,E41/G41-1)</f>
        <v>8.4570400359873954E-2</v>
      </c>
      <c r="F48" s="449" t="str">
        <f>IF(OR(E48&gt;=0.3,E48&lt;=-0.3),"超过30%","")</f>
        <v/>
      </c>
      <c r="G48" s="448">
        <f>IF(G41&lt;I41,I41/G41-1,G41/I41-1)</f>
        <v>0.21567814184985479</v>
      </c>
      <c r="H48" s="449" t="str">
        <f>IF(OR(G48&gt;=0.3,G48&lt;=-0.3),"超过30%","")</f>
        <v/>
      </c>
      <c r="I48" s="448">
        <f>IF(I41&lt;E41,E41/I41-1,I41/E41-1)</f>
        <v>0.3184885290148447</v>
      </c>
      <c r="J48" s="449" t="str">
        <f>IF(OR(I48&gt;=0.3,I48&lt;=-0.3),"超过30%","")</f>
        <v>超过30%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672" t="s">
        <v>1884</v>
      </c>
      <c r="H50" s="3684"/>
      <c r="I50" s="1355" t="s">
        <v>1919</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f>C43</f>
        <v>2629</v>
      </c>
      <c r="C51" s="638">
        <v>1</v>
      </c>
      <c r="D51" s="944">
        <v>1</v>
      </c>
      <c r="E51" s="638">
        <f>'数据-汇总表'!E8+'数据-汇总表'!E9</f>
        <v>39191.68</v>
      </c>
      <c r="F51" s="639">
        <f t="shared" ref="F51:F60" si="15">ROUND(B51*E51/10000,0)</f>
        <v>10303</v>
      </c>
      <c r="G51" s="3685"/>
      <c r="H51" s="366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f>ROUND($C$43*C52*D52,0)</f>
        <v>0</v>
      </c>
      <c r="C52" s="171">
        <f t="shared" ref="C52:C60" si="16">IF($C$50="北京市系数",I52,J52)</f>
        <v>0</v>
      </c>
      <c r="D52" s="945">
        <v>0.25</v>
      </c>
      <c r="E52" s="642"/>
      <c r="F52" s="639">
        <f t="shared" si="15"/>
        <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f t="shared" si="17"/>
        <v>131</v>
      </c>
      <c r="C56" s="171">
        <f t="shared" si="16"/>
        <v>0.2</v>
      </c>
      <c r="D56" s="945">
        <v>0.25</v>
      </c>
      <c r="E56" s="217">
        <v>2000</v>
      </c>
      <c r="F56" s="639">
        <f t="shared" si="15"/>
        <v>26</v>
      </c>
      <c r="G56" s="1986" t="s">
        <v>1893</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f t="shared" si="17"/>
        <v>131</v>
      </c>
      <c r="C57" s="171">
        <f t="shared" si="16"/>
        <v>0.2</v>
      </c>
      <c r="D57" s="945">
        <v>0.25</v>
      </c>
      <c r="E57" s="217">
        <f>'数据-汇总表'!E12</f>
        <v>0</v>
      </c>
      <c r="F57" s="639">
        <f t="shared" si="15"/>
        <v>0</v>
      </c>
      <c r="G57" s="892" t="s">
        <v>3</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f t="shared" si="17"/>
        <v>66</v>
      </c>
      <c r="C58" s="171">
        <f t="shared" si="16"/>
        <v>0.1</v>
      </c>
      <c r="D58" s="945">
        <v>0.25</v>
      </c>
      <c r="E58" s="3470">
        <f>'数据-汇总表'!G19-E56</f>
        <v>17508.41</v>
      </c>
      <c r="F58" s="639">
        <f t="shared" si="15"/>
        <v>116</v>
      </c>
      <c r="G58" s="892" t="s">
        <v>3</v>
      </c>
      <c r="H58" s="887" t="str">
        <f>IF(G58="商业",项目基本情况!B37,IF(G58="办公",项目基本情况!C37,IF(G58="住宅",项目基本情况!D37,项目基本情况!E37)))</f>
        <v>九级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f t="shared" si="17"/>
        <v>0</v>
      </c>
      <c r="C59" s="171">
        <f t="shared" si="16"/>
        <v>0</v>
      </c>
      <c r="D59" s="945">
        <v>0.25</v>
      </c>
      <c r="E59" s="217">
        <f>'数据-汇总表'!E14</f>
        <v>0</v>
      </c>
      <c r="F59" s="639">
        <f t="shared" si="15"/>
        <v>0</v>
      </c>
      <c r="G59" s="1986"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f t="shared" si="17"/>
        <v>66</v>
      </c>
      <c r="C60" s="171">
        <f t="shared" si="16"/>
        <v>0.1</v>
      </c>
      <c r="D60" s="945">
        <v>0.25</v>
      </c>
      <c r="E60" s="217">
        <f>'数据-汇总表'!E15</f>
        <v>0</v>
      </c>
      <c r="F60" s="639">
        <f t="shared" si="15"/>
        <v>0</v>
      </c>
      <c r="G60" s="1987" t="s">
        <v>1893</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58700.09</v>
      </c>
      <c r="F61" s="645">
        <f>IF(B41="楼面地价",SUM(F51:F60),ROUND(C43*E61/10000,0))</f>
        <v>10445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3467" t="s">
        <v>3565</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3469" t="s">
        <v>3574</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3468" t="s">
        <v>3569</v>
      </c>
      <c r="D112" s="3468" t="s">
        <v>3570</v>
      </c>
      <c r="E112" s="3468" t="s">
        <v>3571</v>
      </c>
      <c r="F112" s="3468" t="s">
        <v>3572</v>
      </c>
      <c r="G112" s="3468" t="s">
        <v>3573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3468" t="s">
        <v>3575</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
  <sheetViews>
    <sheetView workbookViewId="0">
      <pane xSplit="5" ySplit="1" topLeftCell="AL2" activePane="bottomRight" state="frozen"/>
      <selection pane="topRight" activeCell="F1" sqref="F1"/>
      <selection pane="bottomLeft" activeCell="A2" sqref="A2"/>
      <selection pane="bottomRight" activeCell="A8" sqref="A8"/>
    </sheetView>
  </sheetViews>
  <sheetFormatPr defaultRowHeight="14.25"/>
  <cols>
    <col min="1" max="1" width="20" style="3453" customWidth="1"/>
    <col min="2" max="5" width="20" style="3453" hidden="1" customWidth="1"/>
    <col min="6" max="14" width="20" style="3453" customWidth="1"/>
    <col min="15" max="25" width="20" style="3453" hidden="1" customWidth="1"/>
    <col min="26" max="42" width="20" style="3453" customWidth="1"/>
    <col min="43" max="45" width="20" style="3453" hidden="1" customWidth="1"/>
    <col min="46" max="46" width="20" style="3453" customWidth="1"/>
    <col min="47" max="52" width="20" style="3453" hidden="1" customWidth="1"/>
    <col min="53" max="53" width="20" style="3453" customWidth="1"/>
    <col min="54" max="16384" width="9" style="3453"/>
  </cols>
  <sheetData>
    <row r="1" spans="1:54">
      <c r="A1" s="3453" t="s">
        <v>3411</v>
      </c>
      <c r="B1" s="3453" t="s">
        <v>3412</v>
      </c>
      <c r="C1" s="3453" t="s">
        <v>3413</v>
      </c>
      <c r="D1" s="3453" t="s">
        <v>3414</v>
      </c>
      <c r="E1" s="3453" t="s">
        <v>3415</v>
      </c>
      <c r="F1" s="3453" t="s">
        <v>3416</v>
      </c>
      <c r="G1" s="3453" t="s">
        <v>3417</v>
      </c>
      <c r="H1" s="3453" t="s">
        <v>3418</v>
      </c>
      <c r="I1" s="3453" t="s">
        <v>3419</v>
      </c>
      <c r="J1" s="3453" t="s">
        <v>3420</v>
      </c>
      <c r="K1" s="3453" t="s">
        <v>3421</v>
      </c>
      <c r="L1" s="3453" t="s">
        <v>3422</v>
      </c>
      <c r="M1" s="3453" t="s">
        <v>3423</v>
      </c>
      <c r="N1" s="3453" t="s">
        <v>3424</v>
      </c>
      <c r="O1" s="3453" t="s">
        <v>3425</v>
      </c>
      <c r="P1" s="3453" t="s">
        <v>3426</v>
      </c>
      <c r="Q1" s="3453" t="s">
        <v>3427</v>
      </c>
      <c r="R1" s="3453" t="s">
        <v>3428</v>
      </c>
      <c r="S1" s="3453" t="s">
        <v>3429</v>
      </c>
      <c r="T1" s="3453" t="s">
        <v>3430</v>
      </c>
      <c r="U1" s="3453" t="s">
        <v>3431</v>
      </c>
      <c r="V1" s="3453" t="s">
        <v>3432</v>
      </c>
      <c r="W1" s="3453" t="s">
        <v>3433</v>
      </c>
      <c r="X1" s="3453" t="s">
        <v>3434</v>
      </c>
      <c r="Y1" s="3453" t="s">
        <v>3435</v>
      </c>
      <c r="Z1" s="3453" t="s">
        <v>3436</v>
      </c>
      <c r="AA1" s="3453" t="s">
        <v>3437</v>
      </c>
      <c r="AB1" s="3453" t="s">
        <v>3438</v>
      </c>
      <c r="AC1" s="3453" t="s">
        <v>3439</v>
      </c>
      <c r="AD1" s="3453" t="s">
        <v>3440</v>
      </c>
      <c r="AE1" s="3453" t="s">
        <v>3441</v>
      </c>
      <c r="AF1" s="3453" t="s">
        <v>3442</v>
      </c>
      <c r="AG1" s="3453" t="s">
        <v>3443</v>
      </c>
      <c r="AH1" s="3453" t="s">
        <v>3444</v>
      </c>
      <c r="AI1" s="3453" t="s">
        <v>3445</v>
      </c>
      <c r="AJ1" s="3453" t="s">
        <v>3446</v>
      </c>
      <c r="AK1" s="3453" t="s">
        <v>3447</v>
      </c>
      <c r="AL1" s="3453" t="s">
        <v>3448</v>
      </c>
      <c r="AM1" s="3453" t="s">
        <v>3449</v>
      </c>
      <c r="AN1" s="3453" t="s">
        <v>3450</v>
      </c>
      <c r="AO1" s="3453" t="s">
        <v>3451</v>
      </c>
      <c r="AP1" s="3453" t="s">
        <v>3452</v>
      </c>
      <c r="AQ1" s="3453" t="s">
        <v>3453</v>
      </c>
      <c r="AR1" s="3453" t="s">
        <v>3454</v>
      </c>
      <c r="AS1" s="3453" t="s">
        <v>3455</v>
      </c>
      <c r="AT1" s="3453" t="s">
        <v>3456</v>
      </c>
      <c r="AU1" s="3453" t="s">
        <v>3457</v>
      </c>
      <c r="AV1" s="3453" t="s">
        <v>3458</v>
      </c>
      <c r="AW1" s="3453" t="s">
        <v>3459</v>
      </c>
      <c r="AX1" s="3453" t="s">
        <v>3460</v>
      </c>
      <c r="AY1" s="3453" t="s">
        <v>3461</v>
      </c>
      <c r="AZ1" s="3453" t="s">
        <v>3462</v>
      </c>
      <c r="BA1" s="3454" t="s">
        <v>3463</v>
      </c>
      <c r="BB1" s="3455" t="s">
        <v>3464</v>
      </c>
    </row>
    <row r="2" spans="1:54">
      <c r="A2" s="3453" t="s">
        <v>3465</v>
      </c>
      <c r="B2" s="3453" t="s">
        <v>3379</v>
      </c>
      <c r="C2" s="3453" t="s">
        <v>3466</v>
      </c>
      <c r="D2" s="3453" t="s">
        <v>3467</v>
      </c>
      <c r="E2" s="3453" t="s">
        <v>3468</v>
      </c>
      <c r="F2" s="3453" t="s">
        <v>3469</v>
      </c>
      <c r="G2" s="3453" t="s">
        <v>3470</v>
      </c>
      <c r="H2" s="3453" t="s">
        <v>3471</v>
      </c>
      <c r="I2" s="3453">
        <v>43253.49</v>
      </c>
      <c r="J2" s="3453">
        <v>64880</v>
      </c>
      <c r="K2" s="3453">
        <v>1.5</v>
      </c>
      <c r="L2" s="3453" t="s">
        <v>3472</v>
      </c>
      <c r="M2" s="3453" t="s">
        <v>3473</v>
      </c>
      <c r="N2" s="3453" t="s">
        <v>3474</v>
      </c>
      <c r="O2" s="3453" t="s">
        <v>3475</v>
      </c>
      <c r="P2" s="3453" t="s">
        <v>3469</v>
      </c>
      <c r="Q2" s="3453" t="s">
        <v>3469</v>
      </c>
      <c r="R2" s="3453" t="s">
        <v>3469</v>
      </c>
      <c r="S2" s="3453" t="s">
        <v>3469</v>
      </c>
      <c r="T2" s="3453" t="s">
        <v>3469</v>
      </c>
      <c r="U2" s="3453" t="s">
        <v>3469</v>
      </c>
      <c r="V2" s="3453" t="s">
        <v>3469</v>
      </c>
      <c r="W2" s="3453" t="s">
        <v>3469</v>
      </c>
      <c r="X2" s="3453">
        <v>0</v>
      </c>
      <c r="Y2" s="3453">
        <v>0</v>
      </c>
      <c r="Z2" s="3456">
        <v>45057.000497685185</v>
      </c>
      <c r="AA2" s="3456">
        <v>45078.000497685185</v>
      </c>
      <c r="AB2" s="3456">
        <v>45092.000497685185</v>
      </c>
      <c r="AC2" s="3456">
        <v>45092.000497685185</v>
      </c>
      <c r="AD2" s="3453" t="s">
        <v>3476</v>
      </c>
      <c r="AE2" s="3453" t="s">
        <v>3477</v>
      </c>
      <c r="AF2" s="3453" t="s">
        <v>3478</v>
      </c>
      <c r="AG2" s="3453" t="s">
        <v>3469</v>
      </c>
      <c r="AH2" s="3453" t="s">
        <v>3469</v>
      </c>
      <c r="AI2" s="3453">
        <v>8609.58</v>
      </c>
      <c r="AJ2" s="3453">
        <v>1722</v>
      </c>
      <c r="AK2" s="3453" t="s">
        <v>3479</v>
      </c>
      <c r="AL2" s="3453">
        <v>8609.58</v>
      </c>
      <c r="AM2" s="3453">
        <v>132.69999999999999</v>
      </c>
      <c r="AN2" s="3453">
        <v>132.69999999999999</v>
      </c>
      <c r="AO2" s="3453">
        <v>1327</v>
      </c>
      <c r="AP2" s="3453">
        <v>1327</v>
      </c>
      <c r="AQ2" s="3453" t="s">
        <v>3469</v>
      </c>
      <c r="AR2" s="3453" t="s">
        <v>3469</v>
      </c>
      <c r="AS2" s="3453">
        <v>0</v>
      </c>
      <c r="AT2" s="3453" t="s">
        <v>3480</v>
      </c>
      <c r="AU2" s="3453" t="s">
        <v>3475</v>
      </c>
      <c r="AV2" s="3453" t="s">
        <v>3469</v>
      </c>
      <c r="AW2" s="3453" t="s">
        <v>3475</v>
      </c>
      <c r="AX2" s="3453" t="s">
        <v>3469</v>
      </c>
      <c r="AY2" s="3453" t="s">
        <v>3469</v>
      </c>
      <c r="AZ2" s="3453" t="s">
        <v>3469</v>
      </c>
      <c r="BA2" s="3457">
        <v>1.5192000000000001</v>
      </c>
      <c r="BB2" s="3458">
        <f>ROUND(AP2*$BA$2,0)</f>
        <v>2016</v>
      </c>
    </row>
    <row r="3" spans="1:54">
      <c r="A3" s="3453" t="s">
        <v>3481</v>
      </c>
      <c r="B3" s="3453" t="s">
        <v>3379</v>
      </c>
      <c r="C3" s="3453" t="s">
        <v>3482</v>
      </c>
      <c r="D3" s="3453" t="s">
        <v>3467</v>
      </c>
      <c r="E3" s="3453" t="s">
        <v>3468</v>
      </c>
      <c r="F3" s="3453" t="s">
        <v>3483</v>
      </c>
      <c r="G3" s="3453" t="s">
        <v>3484</v>
      </c>
      <c r="H3" s="3453" t="s">
        <v>3471</v>
      </c>
      <c r="I3" s="3453">
        <v>66934.31</v>
      </c>
      <c r="J3" s="3453">
        <v>80321</v>
      </c>
      <c r="K3" s="3453" t="s">
        <v>3485</v>
      </c>
      <c r="L3" s="3453" t="s">
        <v>3472</v>
      </c>
      <c r="M3" s="3453" t="s">
        <v>3486</v>
      </c>
      <c r="N3" s="3453" t="s">
        <v>3474</v>
      </c>
      <c r="O3" s="3453" t="s">
        <v>3475</v>
      </c>
      <c r="P3" s="3453" t="s">
        <v>3469</v>
      </c>
      <c r="Q3" s="3453" t="s">
        <v>3469</v>
      </c>
      <c r="R3" s="3453" t="s">
        <v>3469</v>
      </c>
      <c r="S3" s="3453" t="s">
        <v>3469</v>
      </c>
      <c r="T3" s="3453" t="s">
        <v>3469</v>
      </c>
      <c r="U3" s="3453" t="s">
        <v>3469</v>
      </c>
      <c r="V3" s="3453" t="s">
        <v>3469</v>
      </c>
      <c r="W3" s="3453" t="s">
        <v>3469</v>
      </c>
      <c r="X3" s="3453">
        <v>0</v>
      </c>
      <c r="Y3" s="3453">
        <v>0</v>
      </c>
      <c r="Z3" s="3456">
        <v>44998.000497685185</v>
      </c>
      <c r="AA3" s="3456">
        <v>45019.000497685185</v>
      </c>
      <c r="AB3" s="3456">
        <v>45033.000497685185</v>
      </c>
      <c r="AC3" s="3456">
        <v>45033.000497685185</v>
      </c>
      <c r="AD3" s="3453" t="s">
        <v>3487</v>
      </c>
      <c r="AE3" s="3453" t="s">
        <v>3477</v>
      </c>
      <c r="AF3" s="3453" t="s">
        <v>3488</v>
      </c>
      <c r="AG3" s="3453" t="s">
        <v>3469</v>
      </c>
      <c r="AH3" s="3453" t="s">
        <v>3469</v>
      </c>
      <c r="AI3" s="3453">
        <v>15060.05</v>
      </c>
      <c r="AJ3" s="3453">
        <v>3012</v>
      </c>
      <c r="AK3" s="3453" t="s">
        <v>3489</v>
      </c>
      <c r="AL3" s="3453">
        <v>15060.05</v>
      </c>
      <c r="AM3" s="3453">
        <v>150</v>
      </c>
      <c r="AN3" s="3453">
        <v>150</v>
      </c>
      <c r="AO3" s="3453">
        <v>1875</v>
      </c>
      <c r="AP3" s="3453">
        <v>1875</v>
      </c>
      <c r="AQ3" s="3453" t="s">
        <v>3469</v>
      </c>
      <c r="AR3" s="3453" t="s">
        <v>3469</v>
      </c>
      <c r="AS3" s="3453">
        <v>0</v>
      </c>
      <c r="AT3" s="3453" t="s">
        <v>3480</v>
      </c>
      <c r="AU3" s="3453" t="s">
        <v>3475</v>
      </c>
      <c r="AV3" s="3453" t="s">
        <v>3469</v>
      </c>
      <c r="AW3" s="3453" t="s">
        <v>3475</v>
      </c>
      <c r="AX3" s="3453" t="s">
        <v>3469</v>
      </c>
      <c r="AY3" s="3453" t="s">
        <v>3469</v>
      </c>
      <c r="AZ3" s="3453" t="s">
        <v>3469</v>
      </c>
      <c r="BA3" s="3459"/>
      <c r="BB3" s="3458">
        <f t="shared" ref="BB3:BB16" si="0">ROUND(AP3*$BA$2,0)</f>
        <v>2849</v>
      </c>
    </row>
    <row r="4" spans="1:54" s="3463" customFormat="1">
      <c r="A4" s="3463" t="s">
        <v>3490</v>
      </c>
      <c r="B4" s="3463" t="s">
        <v>3379</v>
      </c>
      <c r="C4" s="3463" t="s">
        <v>3491</v>
      </c>
      <c r="D4" s="3463" t="s">
        <v>3467</v>
      </c>
      <c r="E4" s="3463" t="s">
        <v>3468</v>
      </c>
      <c r="F4" s="3463" t="s">
        <v>3483</v>
      </c>
      <c r="G4" s="3463" t="s">
        <v>3492</v>
      </c>
      <c r="H4" s="3463" t="s">
        <v>3471</v>
      </c>
      <c r="I4" s="3463">
        <v>101126.72</v>
      </c>
      <c r="J4" s="3463">
        <v>151690</v>
      </c>
      <c r="K4" s="3463">
        <v>1.5</v>
      </c>
      <c r="L4" s="3463" t="s">
        <v>3472</v>
      </c>
      <c r="M4" s="3463" t="s">
        <v>3493</v>
      </c>
      <c r="N4" s="3463" t="s">
        <v>3474</v>
      </c>
      <c r="O4" s="3463" t="s">
        <v>3475</v>
      </c>
      <c r="P4" s="3463" t="s">
        <v>3469</v>
      </c>
      <c r="Q4" s="3463" t="s">
        <v>3469</v>
      </c>
      <c r="R4" s="3463" t="s">
        <v>3469</v>
      </c>
      <c r="S4" s="3463" t="s">
        <v>3469</v>
      </c>
      <c r="T4" s="3463" t="s">
        <v>3469</v>
      </c>
      <c r="U4" s="3463" t="s">
        <v>3469</v>
      </c>
      <c r="V4" s="3463" t="s">
        <v>3469</v>
      </c>
      <c r="W4" s="3463" t="s">
        <v>3469</v>
      </c>
      <c r="X4" s="3463">
        <v>0</v>
      </c>
      <c r="Y4" s="3463">
        <v>0</v>
      </c>
      <c r="Z4" s="3464">
        <v>44925.000497685185</v>
      </c>
      <c r="AA4" s="3464">
        <v>44945.000497685185</v>
      </c>
      <c r="AB4" s="3464">
        <v>44963.000497685185</v>
      </c>
      <c r="AC4" s="3464">
        <v>44963.000497685185</v>
      </c>
      <c r="AD4" s="3463" t="s">
        <v>3494</v>
      </c>
      <c r="AE4" s="3463" t="s">
        <v>3477</v>
      </c>
      <c r="AF4" s="3463" t="s">
        <v>3488</v>
      </c>
      <c r="AG4" s="3463" t="s">
        <v>3469</v>
      </c>
      <c r="AH4" s="3463" t="s">
        <v>3469</v>
      </c>
      <c r="AI4" s="3463">
        <v>22186.85</v>
      </c>
      <c r="AJ4" s="3463">
        <v>4400</v>
      </c>
      <c r="AK4" s="3463" t="s">
        <v>3495</v>
      </c>
      <c r="AL4" s="3463">
        <v>22186.85</v>
      </c>
      <c r="AM4" s="3463">
        <v>146.26</v>
      </c>
      <c r="AN4" s="3463">
        <v>146.26</v>
      </c>
      <c r="AO4" s="3463">
        <v>1463</v>
      </c>
      <c r="AP4" s="3463">
        <v>1463</v>
      </c>
      <c r="AQ4" s="3463" t="s">
        <v>3469</v>
      </c>
      <c r="AR4" s="3463" t="s">
        <v>3469</v>
      </c>
      <c r="AS4" s="3463">
        <v>0</v>
      </c>
      <c r="AT4" s="3463" t="s">
        <v>3480</v>
      </c>
      <c r="AU4" s="3463" t="s">
        <v>3475</v>
      </c>
      <c r="AV4" s="3463" t="s">
        <v>3469</v>
      </c>
      <c r="AW4" s="3463" t="s">
        <v>3475</v>
      </c>
      <c r="AX4" s="3463" t="s">
        <v>3469</v>
      </c>
      <c r="AY4" s="3463" t="s">
        <v>3469</v>
      </c>
      <c r="AZ4" s="3463" t="s">
        <v>3469</v>
      </c>
      <c r="BA4" s="3465"/>
      <c r="BB4" s="3465">
        <f>ROUND(AP4*$BA$2,0)</f>
        <v>2223</v>
      </c>
    </row>
    <row r="5" spans="1:54" s="3460" customFormat="1">
      <c r="A5" s="3460" t="s">
        <v>3496</v>
      </c>
      <c r="B5" s="3460" t="s">
        <v>3379</v>
      </c>
      <c r="C5" s="3460" t="s">
        <v>3497</v>
      </c>
      <c r="D5" s="3460" t="s">
        <v>3467</v>
      </c>
      <c r="E5" s="3460" t="s">
        <v>3468</v>
      </c>
      <c r="F5" s="3460" t="s">
        <v>3498</v>
      </c>
      <c r="G5" s="3460" t="s">
        <v>3499</v>
      </c>
      <c r="H5" s="3460" t="s">
        <v>3471</v>
      </c>
      <c r="I5" s="3460">
        <v>62970.8</v>
      </c>
      <c r="J5" s="3460">
        <v>75565</v>
      </c>
      <c r="K5" s="3460">
        <v>1.2</v>
      </c>
      <c r="L5" s="3460" t="s">
        <v>3472</v>
      </c>
      <c r="M5" s="3460" t="s">
        <v>3473</v>
      </c>
      <c r="N5" s="3460" t="s">
        <v>3474</v>
      </c>
      <c r="O5" s="3460" t="s">
        <v>3475</v>
      </c>
      <c r="P5" s="3460" t="s">
        <v>3469</v>
      </c>
      <c r="Q5" s="3460" t="s">
        <v>3469</v>
      </c>
      <c r="R5" s="3460" t="s">
        <v>3469</v>
      </c>
      <c r="S5" s="3460" t="s">
        <v>3469</v>
      </c>
      <c r="T5" s="3460" t="s">
        <v>3469</v>
      </c>
      <c r="U5" s="3460" t="s">
        <v>3469</v>
      </c>
      <c r="V5" s="3460" t="s">
        <v>3469</v>
      </c>
      <c r="W5" s="3460" t="s">
        <v>3469</v>
      </c>
      <c r="X5" s="3460">
        <v>0</v>
      </c>
      <c r="Y5" s="3460">
        <v>0</v>
      </c>
      <c r="Z5" s="3461">
        <v>44902.000497685185</v>
      </c>
      <c r="AA5" s="3461">
        <v>44922.000497685185</v>
      </c>
      <c r="AB5" s="3461">
        <v>44937.000497685185</v>
      </c>
      <c r="AC5" s="3461">
        <v>44937.000497685185</v>
      </c>
      <c r="AD5" s="3460" t="s">
        <v>3500</v>
      </c>
      <c r="AE5" s="3460" t="s">
        <v>3477</v>
      </c>
      <c r="AF5" s="3460" t="s">
        <v>3501</v>
      </c>
      <c r="AG5" s="3460" t="s">
        <v>3469</v>
      </c>
      <c r="AH5" s="3460" t="s">
        <v>3469</v>
      </c>
      <c r="AI5" s="3460">
        <v>11607.61</v>
      </c>
      <c r="AJ5" s="3460">
        <v>2267</v>
      </c>
      <c r="AK5" s="3460" t="s">
        <v>3502</v>
      </c>
      <c r="AL5" s="3460">
        <v>11607.61</v>
      </c>
      <c r="AM5" s="3460">
        <v>122.89</v>
      </c>
      <c r="AN5" s="3460">
        <v>122.89</v>
      </c>
      <c r="AO5" s="3460">
        <v>1536</v>
      </c>
      <c r="AP5" s="3460">
        <v>1536</v>
      </c>
      <c r="AQ5" s="3460" t="s">
        <v>3469</v>
      </c>
      <c r="AR5" s="3460" t="s">
        <v>3469</v>
      </c>
      <c r="AS5" s="3460">
        <v>0</v>
      </c>
      <c r="AT5" s="3460" t="s">
        <v>3480</v>
      </c>
      <c r="AU5" s="3460" t="s">
        <v>3475</v>
      </c>
      <c r="AV5" s="3460" t="s">
        <v>3469</v>
      </c>
      <c r="AW5" s="3460" t="s">
        <v>3475</v>
      </c>
      <c r="AX5" s="3460" t="s">
        <v>3469</v>
      </c>
      <c r="AY5" s="3460" t="s">
        <v>3469</v>
      </c>
      <c r="AZ5" s="3460" t="s">
        <v>3469</v>
      </c>
      <c r="BA5" s="3466"/>
      <c r="BB5" s="3462">
        <f t="shared" si="0"/>
        <v>2333</v>
      </c>
    </row>
    <row r="6" spans="1:54" s="3463" customFormat="1">
      <c r="A6" s="3463" t="s">
        <v>3503</v>
      </c>
      <c r="B6" s="3463" t="s">
        <v>3379</v>
      </c>
      <c r="C6" s="3463" t="s">
        <v>3504</v>
      </c>
      <c r="D6" s="3463" t="s">
        <v>3467</v>
      </c>
      <c r="E6" s="3463" t="s">
        <v>3468</v>
      </c>
      <c r="F6" s="3463" t="s">
        <v>3505</v>
      </c>
      <c r="G6" s="3463" t="s">
        <v>3506</v>
      </c>
      <c r="H6" s="3463" t="s">
        <v>3471</v>
      </c>
      <c r="I6" s="3463">
        <v>60631.73</v>
      </c>
      <c r="J6" s="3463">
        <v>60631</v>
      </c>
      <c r="K6" s="3463" t="s">
        <v>3507</v>
      </c>
      <c r="L6" s="3463" t="s">
        <v>3472</v>
      </c>
      <c r="M6" s="3463" t="s">
        <v>3493</v>
      </c>
      <c r="N6" s="3463" t="s">
        <v>3474</v>
      </c>
      <c r="O6" s="3463" t="s">
        <v>3475</v>
      </c>
      <c r="P6" s="3463">
        <v>0.4</v>
      </c>
      <c r="Q6" s="3463" t="s">
        <v>3508</v>
      </c>
      <c r="R6" s="3463" t="s">
        <v>3469</v>
      </c>
      <c r="S6" s="3463" t="s">
        <v>3469</v>
      </c>
      <c r="T6" s="3463" t="s">
        <v>3469</v>
      </c>
      <c r="U6" s="3463" t="s">
        <v>3469</v>
      </c>
      <c r="V6" s="3463" t="s">
        <v>3469</v>
      </c>
      <c r="W6" s="3463" t="s">
        <v>3469</v>
      </c>
      <c r="X6" s="3463">
        <v>0</v>
      </c>
      <c r="Y6" s="3463">
        <v>0</v>
      </c>
      <c r="Z6" s="3464">
        <v>44399.000497685185</v>
      </c>
      <c r="AA6" s="3464">
        <v>44419.000497685185</v>
      </c>
      <c r="AB6" s="3464">
        <v>44433.000497685185</v>
      </c>
      <c r="AC6" s="3464">
        <v>44433.000497685185</v>
      </c>
      <c r="AD6" s="3463" t="s">
        <v>3509</v>
      </c>
      <c r="AE6" s="3463" t="s">
        <v>3477</v>
      </c>
      <c r="AF6" s="3463" t="s">
        <v>3510</v>
      </c>
      <c r="AG6" s="3463" t="s">
        <v>3469</v>
      </c>
      <c r="AH6" s="3463" t="s">
        <v>3469</v>
      </c>
      <c r="AI6" s="3463">
        <v>9621.02</v>
      </c>
      <c r="AJ6" s="3463">
        <v>1925</v>
      </c>
      <c r="AK6" s="3463" t="s">
        <v>633</v>
      </c>
      <c r="AL6" s="3463">
        <v>9621.02</v>
      </c>
      <c r="AM6" s="3463">
        <v>105.79</v>
      </c>
      <c r="AN6" s="3463">
        <v>105.79</v>
      </c>
      <c r="AO6" s="3463">
        <v>1587</v>
      </c>
      <c r="AP6" s="3463">
        <v>1587</v>
      </c>
      <c r="AQ6" s="3463" t="s">
        <v>3469</v>
      </c>
      <c r="AR6" s="3463" t="s">
        <v>3469</v>
      </c>
      <c r="AS6" s="3463">
        <v>0</v>
      </c>
      <c r="AT6" s="3463" t="s">
        <v>3480</v>
      </c>
      <c r="AU6" s="3463" t="s">
        <v>3475</v>
      </c>
      <c r="AV6" s="3463" t="s">
        <v>3469</v>
      </c>
      <c r="AW6" s="3463" t="s">
        <v>3475</v>
      </c>
      <c r="AX6" s="3463" t="s">
        <v>3469</v>
      </c>
      <c r="AY6" s="3463" t="s">
        <v>3469</v>
      </c>
      <c r="AZ6" s="3463" t="s">
        <v>3469</v>
      </c>
      <c r="BB6" s="3465">
        <f t="shared" si="0"/>
        <v>2411</v>
      </c>
    </row>
    <row r="7" spans="1:54" s="3460" customFormat="1">
      <c r="A7" s="3460" t="s">
        <v>3511</v>
      </c>
      <c r="B7" s="3460" t="s">
        <v>3379</v>
      </c>
      <c r="C7" s="3460" t="s">
        <v>3512</v>
      </c>
      <c r="D7" s="3460" t="s">
        <v>3467</v>
      </c>
      <c r="E7" s="3460" t="s">
        <v>3468</v>
      </c>
      <c r="F7" s="3460" t="s">
        <v>3469</v>
      </c>
      <c r="G7" s="3460" t="s">
        <v>3513</v>
      </c>
      <c r="H7" s="3460" t="s">
        <v>3471</v>
      </c>
      <c r="I7" s="3460">
        <v>63922.57</v>
      </c>
      <c r="J7" s="3460">
        <v>102276</v>
      </c>
      <c r="K7" s="3460" t="s">
        <v>3514</v>
      </c>
      <c r="L7" s="3460" t="s">
        <v>3472</v>
      </c>
      <c r="M7" s="3460" t="s">
        <v>3515</v>
      </c>
      <c r="N7" s="3460" t="s">
        <v>3474</v>
      </c>
      <c r="O7" s="3460" t="s">
        <v>3475</v>
      </c>
      <c r="P7" s="3460" t="s">
        <v>3469</v>
      </c>
      <c r="Q7" s="3460" t="s">
        <v>3469</v>
      </c>
      <c r="R7" s="3460" t="s">
        <v>3469</v>
      </c>
      <c r="S7" s="3460" t="s">
        <v>3469</v>
      </c>
      <c r="T7" s="3460" t="s">
        <v>3469</v>
      </c>
      <c r="U7" s="3460" t="s">
        <v>3469</v>
      </c>
      <c r="V7" s="3460">
        <v>0</v>
      </c>
      <c r="W7" s="3460">
        <v>0</v>
      </c>
      <c r="X7" s="3460">
        <v>0</v>
      </c>
      <c r="Y7" s="3460">
        <v>0</v>
      </c>
      <c r="Z7" s="3461">
        <v>44155.000497685185</v>
      </c>
      <c r="AA7" s="3461">
        <v>44175.000497685185</v>
      </c>
      <c r="AB7" s="3461">
        <v>44189.000497685185</v>
      </c>
      <c r="AC7" s="3461">
        <v>44189.000497685185</v>
      </c>
      <c r="AD7" s="3460" t="s">
        <v>3516</v>
      </c>
      <c r="AE7" s="3460" t="s">
        <v>3477</v>
      </c>
      <c r="AF7" s="3460" t="s">
        <v>3517</v>
      </c>
      <c r="AG7" s="3460" t="s">
        <v>3469</v>
      </c>
      <c r="AH7" s="3460" t="s">
        <v>3469</v>
      </c>
      <c r="AI7" s="3460">
        <v>13766.35</v>
      </c>
      <c r="AJ7" s="3460">
        <v>2755</v>
      </c>
      <c r="AK7" s="3460" t="s">
        <v>633</v>
      </c>
      <c r="AL7" s="3460">
        <v>13766.35</v>
      </c>
      <c r="AM7" s="3460">
        <v>143.57</v>
      </c>
      <c r="AN7" s="3460">
        <v>143.57</v>
      </c>
      <c r="AO7" s="3460">
        <v>1346</v>
      </c>
      <c r="AP7" s="3460">
        <v>1346</v>
      </c>
      <c r="AQ7" s="3460" t="s">
        <v>3469</v>
      </c>
      <c r="AR7" s="3460" t="s">
        <v>3469</v>
      </c>
      <c r="AS7" s="3460">
        <v>0</v>
      </c>
      <c r="AT7" s="3460" t="s">
        <v>3480</v>
      </c>
      <c r="AU7" s="3460" t="s">
        <v>3475</v>
      </c>
      <c r="AV7" s="3460" t="s">
        <v>3469</v>
      </c>
      <c r="AW7" s="3460" t="s">
        <v>3475</v>
      </c>
      <c r="AX7" s="3460" t="s">
        <v>3469</v>
      </c>
      <c r="AY7" s="3460" t="s">
        <v>3469</v>
      </c>
      <c r="AZ7" s="3460" t="s">
        <v>3469</v>
      </c>
      <c r="BB7" s="3462">
        <f t="shared" si="0"/>
        <v>2045</v>
      </c>
    </row>
    <row r="8" spans="1:54" s="3463" customFormat="1">
      <c r="A8" s="3463" t="s">
        <v>3593</v>
      </c>
      <c r="B8" s="3463" t="s">
        <v>3379</v>
      </c>
      <c r="C8" s="3463" t="s">
        <v>3518</v>
      </c>
      <c r="D8" s="3463" t="s">
        <v>3467</v>
      </c>
      <c r="E8" s="3463" t="s">
        <v>3468</v>
      </c>
      <c r="F8" s="3463" t="s">
        <v>3469</v>
      </c>
      <c r="G8" s="3463" t="s">
        <v>3519</v>
      </c>
      <c r="H8" s="3463" t="s">
        <v>3471</v>
      </c>
      <c r="I8" s="3463">
        <v>47600.14</v>
      </c>
      <c r="J8" s="3463">
        <v>57120.17</v>
      </c>
      <c r="K8" s="3463" t="s">
        <v>3520</v>
      </c>
      <c r="L8" s="3463" t="s">
        <v>3472</v>
      </c>
      <c r="M8" s="3463" t="s">
        <v>3493</v>
      </c>
      <c r="N8" s="3463" t="s">
        <v>3474</v>
      </c>
      <c r="O8" s="3463" t="s">
        <v>3475</v>
      </c>
      <c r="P8" s="3463" t="s">
        <v>3521</v>
      </c>
      <c r="Q8" s="3463" t="s">
        <v>3522</v>
      </c>
      <c r="R8" s="3463" t="s">
        <v>3469</v>
      </c>
      <c r="S8" s="3463" t="s">
        <v>3469</v>
      </c>
      <c r="T8" s="3463" t="s">
        <v>3469</v>
      </c>
      <c r="U8" s="3463" t="s">
        <v>3469</v>
      </c>
      <c r="V8" s="3463">
        <v>0</v>
      </c>
      <c r="W8" s="3463">
        <v>0</v>
      </c>
      <c r="X8" s="3463">
        <v>0</v>
      </c>
      <c r="Y8" s="3463">
        <v>0</v>
      </c>
      <c r="Z8" s="3464">
        <v>44139.000497685185</v>
      </c>
      <c r="AA8" s="3464">
        <v>44159.000497685185</v>
      </c>
      <c r="AB8" s="3464">
        <v>44172.000497685185</v>
      </c>
      <c r="AC8" s="3464">
        <v>44172.000497685185</v>
      </c>
      <c r="AD8" s="3463" t="s">
        <v>3523</v>
      </c>
      <c r="AE8" s="3463" t="s">
        <v>3477</v>
      </c>
      <c r="AF8" s="3463" t="s">
        <v>3488</v>
      </c>
      <c r="AG8" s="3463" t="s">
        <v>3469</v>
      </c>
      <c r="AH8" s="3463" t="s">
        <v>3469</v>
      </c>
      <c r="AI8" s="3463">
        <v>11020.35</v>
      </c>
      <c r="AJ8" s="3463">
        <v>2210</v>
      </c>
      <c r="AK8" s="3463" t="s">
        <v>633</v>
      </c>
      <c r="AL8" s="3463">
        <v>11020.35</v>
      </c>
      <c r="AM8" s="3463">
        <v>154.35</v>
      </c>
      <c r="AN8" s="3463">
        <v>154.35</v>
      </c>
      <c r="AO8" s="3463">
        <v>1929</v>
      </c>
      <c r="AP8" s="3463">
        <v>1929</v>
      </c>
      <c r="AQ8" s="3463" t="s">
        <v>3469</v>
      </c>
      <c r="AR8" s="3463" t="s">
        <v>3469</v>
      </c>
      <c r="AS8" s="3463">
        <v>0</v>
      </c>
      <c r="AT8" s="3463" t="s">
        <v>3480</v>
      </c>
      <c r="AU8" s="3463" t="s">
        <v>3475</v>
      </c>
      <c r="AV8" s="3463" t="s">
        <v>3469</v>
      </c>
      <c r="AW8" s="3463" t="s">
        <v>3475</v>
      </c>
      <c r="AX8" s="3463" t="s">
        <v>3469</v>
      </c>
      <c r="AY8" s="3463" t="s">
        <v>3469</v>
      </c>
      <c r="AZ8" s="3463" t="s">
        <v>3469</v>
      </c>
      <c r="BB8" s="3465">
        <f t="shared" si="0"/>
        <v>2931</v>
      </c>
    </row>
    <row r="9" spans="1:54">
      <c r="A9" s="3453" t="s">
        <v>3524</v>
      </c>
      <c r="B9" s="3453" t="s">
        <v>3379</v>
      </c>
      <c r="C9" s="3453" t="s">
        <v>3525</v>
      </c>
      <c r="D9" s="3453" t="s">
        <v>3467</v>
      </c>
      <c r="E9" s="3453" t="s">
        <v>3468</v>
      </c>
      <c r="F9" s="3453" t="s">
        <v>3469</v>
      </c>
      <c r="G9" s="3453" t="s">
        <v>3526</v>
      </c>
      <c r="H9" s="3453" t="s">
        <v>3471</v>
      </c>
      <c r="I9" s="3453">
        <v>65233.04</v>
      </c>
      <c r="J9" s="3453">
        <v>96104</v>
      </c>
      <c r="K9" s="3453" t="s">
        <v>3514</v>
      </c>
      <c r="L9" s="3453" t="s">
        <v>3472</v>
      </c>
      <c r="M9" s="3453" t="s">
        <v>3527</v>
      </c>
      <c r="N9" s="3453" t="s">
        <v>3474</v>
      </c>
      <c r="O9" s="3453" t="s">
        <v>3475</v>
      </c>
      <c r="P9" s="3453" t="s">
        <v>3469</v>
      </c>
      <c r="Q9" s="3453" t="s">
        <v>3469</v>
      </c>
      <c r="R9" s="3453" t="s">
        <v>3469</v>
      </c>
      <c r="S9" s="3453" t="s">
        <v>3469</v>
      </c>
      <c r="T9" s="3453" t="s">
        <v>3469</v>
      </c>
      <c r="U9" s="3453" t="s">
        <v>3469</v>
      </c>
      <c r="V9" s="3453">
        <v>0</v>
      </c>
      <c r="W9" s="3453">
        <v>0</v>
      </c>
      <c r="X9" s="3453">
        <v>0</v>
      </c>
      <c r="Y9" s="3453">
        <v>0</v>
      </c>
      <c r="Z9" s="3456">
        <v>43621.000497685185</v>
      </c>
      <c r="AA9" s="3456">
        <v>43641.000497685185</v>
      </c>
      <c r="AB9" s="3456">
        <v>43664.000497685185</v>
      </c>
      <c r="AC9" s="3456">
        <v>43664.000497685185</v>
      </c>
      <c r="AD9" s="3453" t="s">
        <v>3528</v>
      </c>
      <c r="AE9" s="3453" t="s">
        <v>3477</v>
      </c>
      <c r="AF9" s="3453" t="s">
        <v>3517</v>
      </c>
      <c r="AG9" s="3453" t="s">
        <v>3529</v>
      </c>
      <c r="AH9" s="3453" t="s">
        <v>3530</v>
      </c>
      <c r="AI9" s="3453">
        <v>12877.94</v>
      </c>
      <c r="AJ9" s="3453">
        <v>3900</v>
      </c>
      <c r="AK9" s="3453" t="s">
        <v>633</v>
      </c>
      <c r="AL9" s="3453">
        <v>12877.94</v>
      </c>
      <c r="AM9" s="3453">
        <v>131.61000000000001</v>
      </c>
      <c r="AN9" s="3453">
        <v>131.61000000000001</v>
      </c>
      <c r="AO9" s="3453">
        <v>1340</v>
      </c>
      <c r="AP9" s="3453">
        <v>1340</v>
      </c>
      <c r="AQ9" s="3453" t="s">
        <v>3469</v>
      </c>
      <c r="AR9" s="3453" t="s">
        <v>3469</v>
      </c>
      <c r="AS9" s="3453">
        <v>0</v>
      </c>
      <c r="AT9" s="3453" t="s">
        <v>3480</v>
      </c>
      <c r="AU9" s="3453" t="s">
        <v>3475</v>
      </c>
      <c r="AV9" s="3453" t="s">
        <v>3469</v>
      </c>
      <c r="AW9" s="3453" t="s">
        <v>3475</v>
      </c>
      <c r="AX9" s="3453" t="s">
        <v>3469</v>
      </c>
      <c r="AY9" s="3453" t="s">
        <v>3469</v>
      </c>
      <c r="AZ9" s="3453" t="s">
        <v>3469</v>
      </c>
      <c r="BB9" s="3458">
        <f t="shared" si="0"/>
        <v>2036</v>
      </c>
    </row>
    <row r="10" spans="1:54">
      <c r="A10" s="3453" t="s">
        <v>3531</v>
      </c>
      <c r="B10" s="3453" t="s">
        <v>3379</v>
      </c>
      <c r="C10" s="3453" t="s">
        <v>3532</v>
      </c>
      <c r="D10" s="3453" t="s">
        <v>3467</v>
      </c>
      <c r="E10" s="3453" t="s">
        <v>3468</v>
      </c>
      <c r="F10" s="3453" t="s">
        <v>3469</v>
      </c>
      <c r="G10" s="3453" t="s">
        <v>3533</v>
      </c>
      <c r="H10" s="3453" t="s">
        <v>3471</v>
      </c>
      <c r="I10" s="3453">
        <v>20000</v>
      </c>
      <c r="J10" s="3453">
        <v>24000</v>
      </c>
      <c r="K10" s="3453">
        <v>1.2</v>
      </c>
      <c r="L10" s="3453" t="s">
        <v>3472</v>
      </c>
      <c r="M10" s="3453" t="s">
        <v>3534</v>
      </c>
      <c r="N10" s="3453" t="s">
        <v>3474</v>
      </c>
      <c r="O10" s="3453" t="s">
        <v>3475</v>
      </c>
      <c r="P10" s="3453" t="s">
        <v>3469</v>
      </c>
      <c r="Q10" s="3453" t="s">
        <v>3469</v>
      </c>
      <c r="R10" s="3453" t="s">
        <v>3469</v>
      </c>
      <c r="S10" s="3453" t="s">
        <v>3469</v>
      </c>
      <c r="T10" s="3453" t="s">
        <v>3469</v>
      </c>
      <c r="U10" s="3453" t="s">
        <v>3469</v>
      </c>
      <c r="V10" s="3453">
        <v>0</v>
      </c>
      <c r="W10" s="3453">
        <v>0</v>
      </c>
      <c r="X10" s="3453">
        <v>0</v>
      </c>
      <c r="Y10" s="3453">
        <v>0</v>
      </c>
      <c r="Z10" s="3456">
        <v>43431.000497685185</v>
      </c>
      <c r="AA10" s="3456">
        <v>43451.000497685185</v>
      </c>
      <c r="AB10" s="3456">
        <v>43476.000497685185</v>
      </c>
      <c r="AC10" s="3456">
        <v>43476.000497685185</v>
      </c>
      <c r="AD10" s="3453" t="s">
        <v>3535</v>
      </c>
      <c r="AE10" s="3453" t="s">
        <v>3477</v>
      </c>
      <c r="AF10" s="3453" t="s">
        <v>3536</v>
      </c>
      <c r="AG10" s="3453" t="s">
        <v>3469</v>
      </c>
      <c r="AH10" s="3453" t="s">
        <v>3469</v>
      </c>
      <c r="AI10" s="3453">
        <v>3271.5</v>
      </c>
      <c r="AJ10" s="3453">
        <v>654</v>
      </c>
      <c r="AK10" s="3453" t="s">
        <v>633</v>
      </c>
      <c r="AL10" s="3453">
        <v>3271.5</v>
      </c>
      <c r="AM10" s="3453">
        <v>109.05</v>
      </c>
      <c r="AN10" s="3453">
        <v>109.05</v>
      </c>
      <c r="AO10" s="3453">
        <v>1363</v>
      </c>
      <c r="AP10" s="3453">
        <v>1363</v>
      </c>
      <c r="AQ10" s="3453" t="s">
        <v>3469</v>
      </c>
      <c r="AR10" s="3453" t="s">
        <v>3469</v>
      </c>
      <c r="AS10" s="3453">
        <v>0</v>
      </c>
      <c r="AT10" s="3453" t="s">
        <v>3480</v>
      </c>
      <c r="AU10" s="3453" t="s">
        <v>3475</v>
      </c>
      <c r="AV10" s="3453" t="s">
        <v>3469</v>
      </c>
      <c r="AW10" s="3453" t="s">
        <v>3475</v>
      </c>
      <c r="AX10" s="3453" t="s">
        <v>3469</v>
      </c>
      <c r="AY10" s="3453" t="s">
        <v>3469</v>
      </c>
      <c r="AZ10" s="3453" t="s">
        <v>3469</v>
      </c>
      <c r="BB10" s="3458">
        <f t="shared" si="0"/>
        <v>2071</v>
      </c>
    </row>
    <row r="11" spans="1:54">
      <c r="A11" s="3453" t="s">
        <v>3537</v>
      </c>
      <c r="B11" s="3453" t="s">
        <v>3379</v>
      </c>
      <c r="C11" s="3453" t="s">
        <v>3538</v>
      </c>
      <c r="D11" s="3453" t="s">
        <v>3467</v>
      </c>
      <c r="E11" s="3453" t="s">
        <v>3468</v>
      </c>
      <c r="F11" s="3453" t="s">
        <v>3469</v>
      </c>
      <c r="G11" s="3453" t="s">
        <v>3533</v>
      </c>
      <c r="H11" s="3453" t="s">
        <v>3471</v>
      </c>
      <c r="I11" s="3453">
        <v>38375</v>
      </c>
      <c r="J11" s="3453">
        <v>46050</v>
      </c>
      <c r="K11" s="3453">
        <v>1.2</v>
      </c>
      <c r="L11" s="3453" t="s">
        <v>3472</v>
      </c>
      <c r="M11" s="3453" t="s">
        <v>3534</v>
      </c>
      <c r="N11" s="3453" t="s">
        <v>3474</v>
      </c>
      <c r="O11" s="3453" t="s">
        <v>3475</v>
      </c>
      <c r="P11" s="3453" t="s">
        <v>3469</v>
      </c>
      <c r="Q11" s="3453" t="s">
        <v>3469</v>
      </c>
      <c r="R11" s="3453" t="s">
        <v>3469</v>
      </c>
      <c r="S11" s="3453" t="s">
        <v>3469</v>
      </c>
      <c r="T11" s="3453" t="s">
        <v>3469</v>
      </c>
      <c r="U11" s="3453" t="s">
        <v>3469</v>
      </c>
      <c r="V11" s="3453">
        <v>0</v>
      </c>
      <c r="W11" s="3453">
        <v>0</v>
      </c>
      <c r="X11" s="3453">
        <v>0</v>
      </c>
      <c r="Y11" s="3453">
        <v>0</v>
      </c>
      <c r="Z11" s="3456">
        <v>43431.000497685185</v>
      </c>
      <c r="AA11" s="3456">
        <v>43451.000497685185</v>
      </c>
      <c r="AB11" s="3456">
        <v>43469.000497685185</v>
      </c>
      <c r="AC11" s="3456">
        <v>43469.000497685185</v>
      </c>
      <c r="AD11" s="3453" t="s">
        <v>3539</v>
      </c>
      <c r="AE11" s="3453" t="s">
        <v>3477</v>
      </c>
      <c r="AF11" s="3453" t="s">
        <v>3540</v>
      </c>
      <c r="AG11" s="3453" t="s">
        <v>3469</v>
      </c>
      <c r="AH11" s="3453" t="s">
        <v>3469</v>
      </c>
      <c r="AI11" s="3453">
        <v>10703.66</v>
      </c>
      <c r="AJ11" s="3453">
        <v>2141</v>
      </c>
      <c r="AK11" s="3453" t="s">
        <v>633</v>
      </c>
      <c r="AL11" s="3453">
        <v>10703.66</v>
      </c>
      <c r="AM11" s="3453">
        <v>185.95</v>
      </c>
      <c r="AN11" s="3453">
        <v>185.95</v>
      </c>
      <c r="AO11" s="3453">
        <v>2324</v>
      </c>
      <c r="AP11" s="3453">
        <v>2324</v>
      </c>
      <c r="AQ11" s="3453" t="s">
        <v>3469</v>
      </c>
      <c r="AR11" s="3453" t="s">
        <v>3469</v>
      </c>
      <c r="AS11" s="3453">
        <v>0</v>
      </c>
      <c r="AT11" s="3453" t="s">
        <v>3480</v>
      </c>
      <c r="AU11" s="3453" t="s">
        <v>3475</v>
      </c>
      <c r="AV11" s="3453" t="s">
        <v>3469</v>
      </c>
      <c r="AW11" s="3453" t="s">
        <v>3475</v>
      </c>
      <c r="AX11" s="3453" t="s">
        <v>3469</v>
      </c>
      <c r="AY11" s="3453" t="s">
        <v>3469</v>
      </c>
      <c r="AZ11" s="3453" t="s">
        <v>3469</v>
      </c>
      <c r="BB11" s="3458">
        <f t="shared" si="0"/>
        <v>3531</v>
      </c>
    </row>
    <row r="12" spans="1:54">
      <c r="A12" s="3453" t="s">
        <v>3541</v>
      </c>
      <c r="B12" s="3453" t="s">
        <v>3379</v>
      </c>
      <c r="C12" s="3453" t="s">
        <v>3542</v>
      </c>
      <c r="D12" s="3453" t="s">
        <v>3467</v>
      </c>
      <c r="E12" s="3453" t="s">
        <v>3468</v>
      </c>
      <c r="F12" s="3453" t="s">
        <v>3469</v>
      </c>
      <c r="G12" s="3453" t="s">
        <v>3519</v>
      </c>
      <c r="H12" s="3453" t="s">
        <v>3471</v>
      </c>
      <c r="I12" s="3453">
        <v>55333.599999999999</v>
      </c>
      <c r="J12" s="3453">
        <v>66400</v>
      </c>
      <c r="K12" s="3453" t="s">
        <v>3520</v>
      </c>
      <c r="L12" s="3453" t="s">
        <v>3472</v>
      </c>
      <c r="M12" s="3453" t="s">
        <v>3534</v>
      </c>
      <c r="N12" s="3453" t="s">
        <v>3474</v>
      </c>
      <c r="O12" s="3453" t="s">
        <v>3475</v>
      </c>
      <c r="P12" s="3453" t="s">
        <v>3469</v>
      </c>
      <c r="Q12" s="3453" t="s">
        <v>3469</v>
      </c>
      <c r="R12" s="3453" t="s">
        <v>3469</v>
      </c>
      <c r="S12" s="3453" t="s">
        <v>3469</v>
      </c>
      <c r="T12" s="3453" t="s">
        <v>3469</v>
      </c>
      <c r="U12" s="3453" t="s">
        <v>3469</v>
      </c>
      <c r="V12" s="3453">
        <v>0</v>
      </c>
      <c r="W12" s="3453">
        <v>0</v>
      </c>
      <c r="X12" s="3453">
        <v>0</v>
      </c>
      <c r="Y12" s="3453">
        <v>0</v>
      </c>
      <c r="Z12" s="3456">
        <v>42786.000497685185</v>
      </c>
      <c r="AA12" s="3456">
        <v>42807.000497685185</v>
      </c>
      <c r="AB12" s="3456">
        <v>42817.000497685185</v>
      </c>
      <c r="AC12" s="3456">
        <v>42817.000497685185</v>
      </c>
      <c r="AD12" s="3453" t="s">
        <v>3543</v>
      </c>
      <c r="AE12" s="3453" t="s">
        <v>3477</v>
      </c>
      <c r="AF12" s="3453" t="s">
        <v>3544</v>
      </c>
      <c r="AG12" s="3453" t="s">
        <v>3469</v>
      </c>
      <c r="AH12" s="3453" t="s">
        <v>3469</v>
      </c>
      <c r="AI12" s="3453">
        <v>9634</v>
      </c>
      <c r="AJ12" s="3453">
        <v>2000</v>
      </c>
      <c r="AK12" s="3453" t="s">
        <v>633</v>
      </c>
      <c r="AL12" s="3453">
        <v>9634</v>
      </c>
      <c r="AM12" s="3453">
        <v>116.07</v>
      </c>
      <c r="AN12" s="3453">
        <v>116.07</v>
      </c>
      <c r="AO12" s="3453">
        <v>1451</v>
      </c>
      <c r="AP12" s="3453">
        <v>1451</v>
      </c>
      <c r="AQ12" s="3453" t="s">
        <v>3469</v>
      </c>
      <c r="AR12" s="3453" t="s">
        <v>3469</v>
      </c>
      <c r="AS12" s="3453">
        <v>0</v>
      </c>
      <c r="AT12" s="3453" t="s">
        <v>3545</v>
      </c>
      <c r="AU12" s="3453" t="s">
        <v>3475</v>
      </c>
      <c r="AV12" s="3453" t="s">
        <v>3469</v>
      </c>
      <c r="AW12" s="3453" t="s">
        <v>3475</v>
      </c>
      <c r="AX12" s="3453" t="s">
        <v>3469</v>
      </c>
      <c r="AY12" s="3453" t="s">
        <v>3469</v>
      </c>
      <c r="AZ12" s="3453" t="s">
        <v>3469</v>
      </c>
      <c r="BB12" s="3458">
        <f t="shared" si="0"/>
        <v>2204</v>
      </c>
    </row>
    <row r="13" spans="1:54">
      <c r="A13" s="3453" t="s">
        <v>3546</v>
      </c>
      <c r="B13" s="3453" t="s">
        <v>3379</v>
      </c>
      <c r="C13" s="3453" t="s">
        <v>3547</v>
      </c>
      <c r="D13" s="3453" t="s">
        <v>3467</v>
      </c>
      <c r="E13" s="3453" t="s">
        <v>3468</v>
      </c>
      <c r="F13" s="3453" t="s">
        <v>3469</v>
      </c>
      <c r="G13" s="3453" t="s">
        <v>3548</v>
      </c>
      <c r="H13" s="3453" t="s">
        <v>3471</v>
      </c>
      <c r="I13" s="3453">
        <v>57769</v>
      </c>
      <c r="J13" s="3453">
        <v>57769</v>
      </c>
      <c r="K13" s="3453" t="s">
        <v>3507</v>
      </c>
      <c r="L13" s="3453" t="s">
        <v>3472</v>
      </c>
      <c r="M13" s="3453" t="s">
        <v>3493</v>
      </c>
      <c r="N13" s="3453" t="s">
        <v>3474</v>
      </c>
      <c r="O13" s="3453" t="s">
        <v>3475</v>
      </c>
      <c r="P13" s="3453" t="s">
        <v>3469</v>
      </c>
      <c r="Q13" s="3453" t="s">
        <v>3469</v>
      </c>
      <c r="R13" s="3453" t="s">
        <v>3469</v>
      </c>
      <c r="S13" s="3453" t="s">
        <v>3469</v>
      </c>
      <c r="T13" s="3453" t="s">
        <v>3469</v>
      </c>
      <c r="U13" s="3453" t="s">
        <v>3469</v>
      </c>
      <c r="V13" s="3453">
        <v>0</v>
      </c>
      <c r="W13" s="3453">
        <v>0</v>
      </c>
      <c r="X13" s="3453">
        <v>0</v>
      </c>
      <c r="Y13" s="3453">
        <v>0</v>
      </c>
      <c r="Z13" s="3456">
        <v>42667.000497685185</v>
      </c>
      <c r="AA13" s="3456">
        <v>42688.000497685185</v>
      </c>
      <c r="AB13" s="3456">
        <v>42698.000497685185</v>
      </c>
      <c r="AC13" s="3456">
        <v>42698.000497685185</v>
      </c>
      <c r="AD13" s="3453" t="s">
        <v>3549</v>
      </c>
      <c r="AE13" s="3453" t="s">
        <v>3477</v>
      </c>
      <c r="AF13" s="3453" t="s">
        <v>3550</v>
      </c>
      <c r="AG13" s="3453" t="s">
        <v>3469</v>
      </c>
      <c r="AH13" s="3453" t="s">
        <v>3469</v>
      </c>
      <c r="AI13" s="3453">
        <v>7505</v>
      </c>
      <c r="AJ13" s="3453">
        <v>1510</v>
      </c>
      <c r="AK13" s="3453" t="s">
        <v>633</v>
      </c>
      <c r="AL13" s="3453">
        <v>7505</v>
      </c>
      <c r="AM13" s="3453">
        <v>86.61</v>
      </c>
      <c r="AN13" s="3453">
        <v>86.61</v>
      </c>
      <c r="AO13" s="3453">
        <v>1299</v>
      </c>
      <c r="AP13" s="3453">
        <v>1299</v>
      </c>
      <c r="AQ13" s="3453" t="s">
        <v>3469</v>
      </c>
      <c r="AR13" s="3453" t="s">
        <v>3469</v>
      </c>
      <c r="AS13" s="3453">
        <v>0</v>
      </c>
      <c r="AT13" s="3453" t="s">
        <v>3545</v>
      </c>
      <c r="AU13" s="3453" t="s">
        <v>3475</v>
      </c>
      <c r="AV13" s="3453" t="s">
        <v>3469</v>
      </c>
      <c r="AW13" s="3453" t="s">
        <v>3475</v>
      </c>
      <c r="AX13" s="3453" t="s">
        <v>3469</v>
      </c>
      <c r="AY13" s="3453" t="s">
        <v>3469</v>
      </c>
      <c r="AZ13" s="3453" t="s">
        <v>3469</v>
      </c>
      <c r="BB13" s="3458">
        <f t="shared" si="0"/>
        <v>1973</v>
      </c>
    </row>
    <row r="14" spans="1:54">
      <c r="A14" s="3453" t="s">
        <v>3551</v>
      </c>
      <c r="B14" s="3453" t="s">
        <v>3379</v>
      </c>
      <c r="C14" s="3453" t="s">
        <v>3552</v>
      </c>
      <c r="D14" s="3453" t="s">
        <v>3467</v>
      </c>
      <c r="E14" s="3453" t="s">
        <v>3468</v>
      </c>
      <c r="F14" s="3453" t="s">
        <v>3469</v>
      </c>
      <c r="G14" s="3453" t="s">
        <v>3553</v>
      </c>
      <c r="H14" s="3453" t="s">
        <v>3471</v>
      </c>
      <c r="I14" s="3453">
        <v>32779.72</v>
      </c>
      <c r="J14" s="3453">
        <v>39335.660000000003</v>
      </c>
      <c r="K14" s="3453" t="s">
        <v>3520</v>
      </c>
      <c r="L14" s="3453" t="s">
        <v>3472</v>
      </c>
      <c r="M14" s="3453" t="s">
        <v>3493</v>
      </c>
      <c r="N14" s="3453" t="s">
        <v>3474</v>
      </c>
      <c r="O14" s="3453" t="s">
        <v>3475</v>
      </c>
      <c r="P14" s="3453" t="s">
        <v>3469</v>
      </c>
      <c r="Q14" s="3453" t="s">
        <v>3469</v>
      </c>
      <c r="R14" s="3453" t="s">
        <v>3469</v>
      </c>
      <c r="S14" s="3453" t="s">
        <v>3469</v>
      </c>
      <c r="T14" s="3453" t="s">
        <v>3469</v>
      </c>
      <c r="U14" s="3453" t="s">
        <v>3469</v>
      </c>
      <c r="V14" s="3453">
        <v>0</v>
      </c>
      <c r="W14" s="3453">
        <v>0</v>
      </c>
      <c r="X14" s="3453">
        <v>0</v>
      </c>
      <c r="Y14" s="3453">
        <v>0</v>
      </c>
      <c r="Z14" s="3456">
        <v>42667.000497685185</v>
      </c>
      <c r="AA14" s="3456">
        <v>42688.000497685185</v>
      </c>
      <c r="AB14" s="3456">
        <v>42698.000497685185</v>
      </c>
      <c r="AC14" s="3456">
        <v>42698.000497685185</v>
      </c>
      <c r="AD14" s="3453" t="s">
        <v>3554</v>
      </c>
      <c r="AE14" s="3453" t="s">
        <v>3477</v>
      </c>
      <c r="AF14" s="3453" t="s">
        <v>3555</v>
      </c>
      <c r="AG14" s="3453" t="s">
        <v>3469</v>
      </c>
      <c r="AH14" s="3453" t="s">
        <v>3469</v>
      </c>
      <c r="AI14" s="3453">
        <v>4456</v>
      </c>
      <c r="AJ14" s="3453">
        <v>900</v>
      </c>
      <c r="AK14" s="3453" t="s">
        <v>633</v>
      </c>
      <c r="AL14" s="3453">
        <v>4456</v>
      </c>
      <c r="AM14" s="3453">
        <v>90.63</v>
      </c>
      <c r="AN14" s="3453">
        <v>90.63</v>
      </c>
      <c r="AO14" s="3453">
        <v>1133</v>
      </c>
      <c r="AP14" s="3453">
        <v>1133</v>
      </c>
      <c r="AQ14" s="3453" t="s">
        <v>3469</v>
      </c>
      <c r="AR14" s="3453" t="s">
        <v>3469</v>
      </c>
      <c r="AS14" s="3453">
        <v>0</v>
      </c>
      <c r="AT14" s="3453" t="s">
        <v>3545</v>
      </c>
      <c r="AU14" s="3453" t="s">
        <v>3475</v>
      </c>
      <c r="AV14" s="3453" t="s">
        <v>3469</v>
      </c>
      <c r="AW14" s="3453" t="s">
        <v>3475</v>
      </c>
      <c r="AX14" s="3453" t="s">
        <v>3469</v>
      </c>
      <c r="AY14" s="3453" t="s">
        <v>3469</v>
      </c>
      <c r="AZ14" s="3453" t="s">
        <v>3469</v>
      </c>
      <c r="BB14" s="3458">
        <f t="shared" si="0"/>
        <v>1721</v>
      </c>
    </row>
    <row r="15" spans="1:54">
      <c r="A15" s="3453" t="s">
        <v>3556</v>
      </c>
      <c r="B15" s="3453" t="s">
        <v>3379</v>
      </c>
      <c r="C15" s="3453" t="s">
        <v>3557</v>
      </c>
      <c r="D15" s="3453" t="s">
        <v>3467</v>
      </c>
      <c r="E15" s="3453" t="s">
        <v>3468</v>
      </c>
      <c r="F15" s="3453" t="s">
        <v>3469</v>
      </c>
      <c r="G15" s="3453" t="s">
        <v>3519</v>
      </c>
      <c r="H15" s="3453" t="s">
        <v>3471</v>
      </c>
      <c r="I15" s="3453">
        <v>31995.71</v>
      </c>
      <c r="J15" s="3453">
        <v>38394.85</v>
      </c>
      <c r="K15" s="3453" t="s">
        <v>3520</v>
      </c>
      <c r="L15" s="3453" t="s">
        <v>3472</v>
      </c>
      <c r="M15" s="3453" t="s">
        <v>3534</v>
      </c>
      <c r="N15" s="3453" t="s">
        <v>3474</v>
      </c>
      <c r="O15" s="3453" t="s">
        <v>3475</v>
      </c>
      <c r="P15" s="3453" t="s">
        <v>3469</v>
      </c>
      <c r="Q15" s="3453" t="s">
        <v>3469</v>
      </c>
      <c r="R15" s="3453" t="s">
        <v>3469</v>
      </c>
      <c r="S15" s="3453" t="s">
        <v>3469</v>
      </c>
      <c r="T15" s="3453" t="s">
        <v>3469</v>
      </c>
      <c r="U15" s="3453" t="s">
        <v>3469</v>
      </c>
      <c r="V15" s="3453">
        <v>0</v>
      </c>
      <c r="W15" s="3453">
        <v>0</v>
      </c>
      <c r="X15" s="3453">
        <v>0</v>
      </c>
      <c r="Y15" s="3453">
        <v>0</v>
      </c>
      <c r="Z15" s="3456">
        <v>42360.000497685185</v>
      </c>
      <c r="AA15" s="3456">
        <v>42380.000497685185</v>
      </c>
      <c r="AB15" s="3456">
        <v>42397.000497685185</v>
      </c>
      <c r="AC15" s="3456">
        <v>42397.000497685185</v>
      </c>
      <c r="AD15" s="3453" t="s">
        <v>3558</v>
      </c>
      <c r="AE15" s="3453" t="s">
        <v>3477</v>
      </c>
      <c r="AF15" s="3453" t="s">
        <v>3559</v>
      </c>
      <c r="AG15" s="3453" t="s">
        <v>3469</v>
      </c>
      <c r="AH15" s="3453" t="s">
        <v>3469</v>
      </c>
      <c r="AI15" s="3453">
        <v>4151</v>
      </c>
      <c r="AJ15" s="3453">
        <v>900</v>
      </c>
      <c r="AK15" s="3453" t="s">
        <v>633</v>
      </c>
      <c r="AL15" s="3453">
        <v>4151</v>
      </c>
      <c r="AM15" s="3453">
        <v>86.49</v>
      </c>
      <c r="AN15" s="3453">
        <v>86.49</v>
      </c>
      <c r="AO15" s="3453">
        <v>1081</v>
      </c>
      <c r="AP15" s="3453">
        <v>1081</v>
      </c>
      <c r="AQ15" s="3453" t="s">
        <v>3469</v>
      </c>
      <c r="AR15" s="3453" t="s">
        <v>3469</v>
      </c>
      <c r="AS15" s="3453">
        <v>0</v>
      </c>
      <c r="AT15" s="3453" t="s">
        <v>3545</v>
      </c>
      <c r="AU15" s="3453" t="s">
        <v>3475</v>
      </c>
      <c r="AV15" s="3453" t="s">
        <v>3469</v>
      </c>
      <c r="AW15" s="3453" t="s">
        <v>3475</v>
      </c>
      <c r="AX15" s="3453" t="s">
        <v>3469</v>
      </c>
      <c r="AY15" s="3453" t="s">
        <v>3469</v>
      </c>
      <c r="AZ15" s="3453" t="s">
        <v>3469</v>
      </c>
      <c r="BB15" s="3458">
        <f t="shared" si="0"/>
        <v>1642</v>
      </c>
    </row>
    <row r="16" spans="1:54">
      <c r="A16" s="3453" t="s">
        <v>3560</v>
      </c>
      <c r="B16" s="3453" t="s">
        <v>3379</v>
      </c>
      <c r="C16" s="3453" t="s">
        <v>3561</v>
      </c>
      <c r="D16" s="3453" t="s">
        <v>3467</v>
      </c>
      <c r="E16" s="3453" t="s">
        <v>3468</v>
      </c>
      <c r="F16" s="3453" t="s">
        <v>3469</v>
      </c>
      <c r="G16" s="3453" t="s">
        <v>3562</v>
      </c>
      <c r="H16" s="3453" t="s">
        <v>3471</v>
      </c>
      <c r="I16" s="3453">
        <v>49749.07</v>
      </c>
      <c r="J16" s="3453">
        <v>49749.07</v>
      </c>
      <c r="K16" s="3453" t="s">
        <v>3507</v>
      </c>
      <c r="L16" s="3453" t="s">
        <v>3472</v>
      </c>
      <c r="M16" s="3453" t="s">
        <v>3534</v>
      </c>
      <c r="N16" s="3453" t="s">
        <v>3474</v>
      </c>
      <c r="O16" s="3453" t="s">
        <v>3475</v>
      </c>
      <c r="P16" s="3453" t="s">
        <v>3469</v>
      </c>
      <c r="Q16" s="3453" t="s">
        <v>3469</v>
      </c>
      <c r="R16" s="3453" t="s">
        <v>3469</v>
      </c>
      <c r="S16" s="3453" t="s">
        <v>3469</v>
      </c>
      <c r="T16" s="3453" t="s">
        <v>3469</v>
      </c>
      <c r="U16" s="3453" t="s">
        <v>3469</v>
      </c>
      <c r="V16" s="3453">
        <v>0</v>
      </c>
      <c r="W16" s="3453">
        <v>0</v>
      </c>
      <c r="X16" s="3453">
        <v>0</v>
      </c>
      <c r="Y16" s="3453">
        <v>0</v>
      </c>
      <c r="Z16" s="3456">
        <v>42360.000497685185</v>
      </c>
      <c r="AA16" s="3456">
        <v>42380.000497685185</v>
      </c>
      <c r="AB16" s="3456">
        <v>42394.000497685185</v>
      </c>
      <c r="AC16" s="3456">
        <v>42394.000497685185</v>
      </c>
      <c r="AD16" s="3453" t="s">
        <v>3563</v>
      </c>
      <c r="AE16" s="3453" t="s">
        <v>3477</v>
      </c>
      <c r="AF16" s="3453" t="s">
        <v>3564</v>
      </c>
      <c r="AG16" s="3453" t="s">
        <v>3469</v>
      </c>
      <c r="AH16" s="3453" t="s">
        <v>3469</v>
      </c>
      <c r="AI16" s="3453">
        <v>6156</v>
      </c>
      <c r="AJ16" s="3453">
        <v>1300</v>
      </c>
      <c r="AK16" s="3453" t="s">
        <v>633</v>
      </c>
      <c r="AL16" s="3453">
        <v>6156</v>
      </c>
      <c r="AM16" s="3453">
        <v>82.49</v>
      </c>
      <c r="AN16" s="3453">
        <v>82.49</v>
      </c>
      <c r="AO16" s="3453">
        <v>1237</v>
      </c>
      <c r="AP16" s="3453">
        <v>1237</v>
      </c>
      <c r="AQ16" s="3453" t="s">
        <v>3469</v>
      </c>
      <c r="AR16" s="3453" t="s">
        <v>3469</v>
      </c>
      <c r="AS16" s="3453">
        <v>0</v>
      </c>
      <c r="AT16" s="3453" t="s">
        <v>3545</v>
      </c>
      <c r="AU16" s="3453" t="s">
        <v>3475</v>
      </c>
      <c r="AV16" s="3453" t="s">
        <v>3469</v>
      </c>
      <c r="AW16" s="3453" t="s">
        <v>3475</v>
      </c>
      <c r="AX16" s="3453" t="s">
        <v>3469</v>
      </c>
      <c r="AY16" s="3453" t="s">
        <v>3469</v>
      </c>
      <c r="AZ16" s="3453" t="s">
        <v>3469</v>
      </c>
      <c r="BB16" s="3458">
        <f t="shared" si="0"/>
        <v>1879</v>
      </c>
    </row>
  </sheetData>
  <autoFilter ref="A1:AZ16"/>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7</v>
      </c>
    </row>
    <row r="2" spans="1:9" s="200" customFormat="1" ht="18" customHeight="1">
      <c r="A2" s="201" t="s">
        <v>1459</v>
      </c>
      <c r="B2" s="202">
        <f ca="1">IF(D2="——",C52,C52-E2)</f>
        <v>52363</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8920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11938</v>
      </c>
      <c r="D5" s="211" t="s">
        <v>1466</v>
      </c>
      <c r="E5" s="212" t="s">
        <v>1467</v>
      </c>
      <c r="F5" s="212" t="s">
        <v>1468</v>
      </c>
      <c r="G5" s="213"/>
    </row>
    <row r="6" spans="1:9" s="214" customFormat="1" ht="13.5" customHeight="1">
      <c r="A6" s="778" t="s">
        <v>1469</v>
      </c>
      <c r="B6" s="215" t="s">
        <v>1470</v>
      </c>
      <c r="C6" s="216">
        <f>'土地比较法-工业'!F61</f>
        <v>10445</v>
      </c>
      <c r="D6" s="217"/>
      <c r="E6" s="218"/>
      <c r="F6" s="218"/>
      <c r="G6" s="219"/>
    </row>
    <row r="7" spans="1:9" s="214" customFormat="1" ht="13.5" customHeight="1">
      <c r="A7" s="778" t="s">
        <v>1471</v>
      </c>
      <c r="B7" s="215" t="s">
        <v>1472</v>
      </c>
      <c r="C7" s="220">
        <f>ROUND(C6*F7,0)</f>
        <v>319</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1174</v>
      </c>
      <c r="D8" s="222"/>
      <c r="E8" s="220"/>
      <c r="F8" s="221"/>
      <c r="G8" s="1855"/>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c r="H9" s="1137"/>
      <c r="I9" s="1857" t="s">
        <v>1476</v>
      </c>
    </row>
    <row r="10" spans="1:9" s="214" customFormat="1" ht="13.5" customHeight="1">
      <c r="A10" s="779" t="s">
        <v>356</v>
      </c>
      <c r="B10" s="224" t="s">
        <v>1477</v>
      </c>
      <c r="C10" s="225">
        <f ca="1">ROUND(D10*E10/10000,0)</f>
        <v>1115</v>
      </c>
      <c r="D10" s="845">
        <f ca="1">IF(B1="",'数据-汇总表'!E6,IF(INDIRECT("'数据-取费表'!c"&amp;$G$1)="住宅",INDIRECT("'数据-取费表'!s"&amp;$G$1),INDIRECT("'数据-取费表'!k"&amp;$G$1)+INDIRECT("'数据-取费表'!s"&amp;$G$1)))</f>
        <v>58700.09</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1174</v>
      </c>
      <c r="D19" s="849">
        <f ca="1">D9+D10</f>
        <v>58700.09</v>
      </c>
      <c r="E19" s="211">
        <f>'数据-取费表'!B31</f>
        <v>200</v>
      </c>
      <c r="F19" s="231"/>
      <c r="G19" s="1855"/>
    </row>
    <row r="20" spans="1:7" s="214" customFormat="1" ht="13.5" customHeight="1">
      <c r="A20" s="255" t="s">
        <v>1490</v>
      </c>
      <c r="B20" s="210" t="s">
        <v>1491</v>
      </c>
      <c r="C20" s="232">
        <f ca="1">ROUND((C5+C19)*F20,0)</f>
        <v>262</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1207</v>
      </c>
      <c r="D22" s="235">
        <f ca="1">C26</f>
        <v>8.9999999999999998E-4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1088</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107</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1337</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1337</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17214</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29306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26415</v>
      </c>
      <c r="D34" s="217"/>
      <c r="E34" s="220"/>
      <c r="F34" s="257">
        <f ca="1">IF('数据-取费表'!B24=0,1,IF(B1="",'数据-取费表'!N16,INDIRECT("'数据-取费表'!n"&amp;$G$1)))</f>
        <v>1</v>
      </c>
      <c r="G34" s="219" t="s">
        <v>1523</v>
      </c>
    </row>
    <row r="35" spans="1:7" ht="13.5" customHeight="1">
      <c r="A35" s="780" t="s">
        <v>351</v>
      </c>
      <c r="B35" s="215" t="s">
        <v>1524</v>
      </c>
      <c r="C35" s="220">
        <f ca="1">ROUND(C34*F35,0)</f>
        <v>1321</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1174</v>
      </c>
      <c r="D37" s="217">
        <f ca="1">D19</f>
        <v>58700.09</v>
      </c>
      <c r="E37" s="249">
        <f>'数据-取费表'!B35</f>
        <v>200</v>
      </c>
      <c r="F37" s="259"/>
      <c r="G37" s="261" t="s">
        <v>1529</v>
      </c>
    </row>
    <row r="38" spans="1:7" ht="13.5" customHeight="1">
      <c r="A38" s="780" t="s">
        <v>354</v>
      </c>
      <c r="B38" s="215" t="s">
        <v>1530</v>
      </c>
      <c r="C38" s="220">
        <f ca="1">ROUND(C34*F38,0)</f>
        <v>396</v>
      </c>
      <c r="D38" s="220"/>
      <c r="E38" s="220"/>
      <c r="F38" s="259">
        <f>'数据-取费表'!B36</f>
        <v>1.4999999999999999E-2</v>
      </c>
      <c r="G38" s="219" t="s">
        <v>1525</v>
      </c>
    </row>
    <row r="39" spans="1:7" s="214" customFormat="1" ht="13.5" customHeight="1">
      <c r="A39" s="255" t="s">
        <v>1531</v>
      </c>
      <c r="B39" s="210" t="s">
        <v>1532</v>
      </c>
      <c r="C39" s="232">
        <f ca="1">ROUND(C33*F20,0)</f>
        <v>586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1306</v>
      </c>
      <c r="D42" s="238"/>
      <c r="E42" s="238"/>
      <c r="F42" s="239"/>
      <c r="G42" s="3699" t="s">
        <v>1541</v>
      </c>
    </row>
    <row r="43" spans="1:7" ht="13.5" customHeight="1">
      <c r="A43" s="780" t="s">
        <v>347</v>
      </c>
      <c r="B43" s="215" t="s">
        <v>1542</v>
      </c>
      <c r="C43" s="238">
        <f ca="1">ROUND(IF('数据-取费表'!B22&lt;=1,C39*F22*'数据-取费表'!B21/2,C39*(POWER((1+F22),'数据-取费表'!B21/2)-1)),0)</f>
        <v>26</v>
      </c>
      <c r="D43" s="238"/>
      <c r="E43" s="238"/>
      <c r="F43" s="239"/>
      <c r="G43" s="3700"/>
    </row>
    <row r="44" spans="1:7" ht="13.5" customHeight="1">
      <c r="A44" s="780" t="s">
        <v>348</v>
      </c>
      <c r="B44" s="215" t="s">
        <v>1543</v>
      </c>
      <c r="C44" s="238">
        <f ca="1">ROUND(IF('数据-取费表'!B22&lt;=1,C40*F22*'数据-取费表'!B21/2,C40*(POWER((1+F22),'数据-取费表'!B21/2)-1)),4)</f>
        <v>8.9999999999999998E-4</v>
      </c>
      <c r="D44" s="238"/>
      <c r="E44" s="238"/>
      <c r="F44" s="239"/>
      <c r="G44" s="3701"/>
    </row>
    <row r="45" spans="1:7" s="214" customFormat="1" ht="13.5" customHeight="1">
      <c r="A45" s="255" t="s">
        <v>1544</v>
      </c>
      <c r="B45" s="244" t="s">
        <v>1510</v>
      </c>
      <c r="C45" s="245">
        <f ca="1">C46</f>
        <v>2989</v>
      </c>
      <c r="D45" s="235">
        <f ca="1">C47</f>
        <v>2E-3</v>
      </c>
      <c r="E45" s="236" t="s">
        <v>1536</v>
      </c>
      <c r="F45" s="246">
        <f ca="1">F27</f>
        <v>0.1</v>
      </c>
      <c r="G45" s="247" t="s">
        <v>1545</v>
      </c>
    </row>
    <row r="46" spans="1:7" s="214" customFormat="1" ht="13.5" customHeight="1">
      <c r="A46" s="780" t="s">
        <v>346</v>
      </c>
      <c r="B46" s="248" t="s">
        <v>1546</v>
      </c>
      <c r="C46" s="249">
        <f ca="1">ROUND((C33+C39)*F27,0)</f>
        <v>2989</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36999</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35149</v>
      </c>
      <c r="D51" s="232"/>
      <c r="E51" s="232"/>
      <c r="F51" s="264"/>
      <c r="G51" s="234" t="s">
        <v>1557</v>
      </c>
    </row>
    <row r="52" spans="1:7" s="208" customFormat="1" ht="16.5" thickBot="1">
      <c r="A52" s="265" t="s">
        <v>1558</v>
      </c>
      <c r="B52" s="266"/>
      <c r="C52" s="267">
        <f ca="1">C31+C51</f>
        <v>52363</v>
      </c>
      <c r="D52" s="266"/>
      <c r="E52" s="266"/>
      <c r="F52" s="266"/>
      <c r="G52" s="268"/>
    </row>
    <row r="55" spans="1:7" ht="15">
      <c r="B55" s="270" t="s">
        <v>1559</v>
      </c>
      <c r="C55" s="271"/>
    </row>
    <row r="56" spans="1:7">
      <c r="B56" s="273" t="s">
        <v>802</v>
      </c>
      <c r="C56" s="275">
        <f ca="1">1-C57</f>
        <v>0.32899999999999996</v>
      </c>
    </row>
    <row r="57" spans="1:7">
      <c r="B57" s="273" t="s">
        <v>803</v>
      </c>
      <c r="C57" s="274">
        <f ca="1">ROUND(C51/C52,3)</f>
        <v>0.67100000000000004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7</v>
      </c>
      <c r="H1" s="1061" t="str">
        <f>IF(ISERROR(FIND("住宅",B1)),"非住宅","住宅")</f>
        <v>非住宅</v>
      </c>
    </row>
    <row r="2" spans="1:8" s="200" customFormat="1" ht="18" customHeight="1">
      <c r="A2" s="201" t="s">
        <v>1459</v>
      </c>
      <c r="B2" s="3423">
        <f ca="1">ROUND(IF(D2="——",C52/10000,C52/10000-E2),4)</f>
        <v>38155.322399999997</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6500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11153017</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11153017</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11153017</v>
      </c>
      <c r="D10" s="845">
        <f ca="1">IF(B1="",'数据-汇总表'!E6,IF(INDIRECT("'数据-取费表'!c"&amp;$G$1)="住宅",INDIRECT("'数据-取费表'!s"&amp;$G$1),INDIRECT("'数据-取费表'!k"&amp;$G$1)+INDIRECT("'数据-取费表'!s"&amp;$G$1)))</f>
        <v>58700.09</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11740018</v>
      </c>
      <c r="D19" s="849">
        <f ca="1">D9+D10</f>
        <v>58700.09</v>
      </c>
      <c r="E19" s="211">
        <f>'数据-取费表'!B31</f>
        <v>200</v>
      </c>
      <c r="F19" s="231"/>
      <c r="G19" s="1855"/>
    </row>
    <row r="20" spans="1:7" s="214" customFormat="1" ht="13.5" customHeight="1">
      <c r="A20" s="255" t="s">
        <v>1571</v>
      </c>
      <c r="B20" s="210" t="s">
        <v>1572</v>
      </c>
      <c r="C20" s="232">
        <f ca="1">ROUND((C5+C19)*F20,0)</f>
        <v>457861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2106578</v>
      </c>
      <c r="D22" s="235">
        <f ca="1">C26</f>
        <v>8.9999999999999998E-4</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1016340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1069831</v>
      </c>
      <c r="D24" s="238"/>
      <c r="E24" s="238"/>
      <c r="F24" s="239"/>
      <c r="G24" s="240" t="s">
        <v>1583</v>
      </c>
    </row>
    <row r="25" spans="1:7" s="214" customFormat="1" ht="24">
      <c r="A25" s="780" t="s">
        <v>1473</v>
      </c>
      <c r="B25" s="215" t="s">
        <v>1584</v>
      </c>
      <c r="C25" s="1128">
        <f ca="1">ROUND(IF('数据-取费表'!B22&lt;=1,C20*F22*'数据-取费表'!B22/2,C20*(POWER((1+F22),'数据-取费表'!B22/2)-1)),0)</f>
        <v>20407</v>
      </c>
      <c r="D25" s="238"/>
      <c r="E25" s="241"/>
      <c r="F25" s="239"/>
      <c r="G25" s="242" t="s">
        <v>1585</v>
      </c>
    </row>
    <row r="26" spans="1:7" s="214" customFormat="1">
      <c r="A26" s="780" t="s">
        <v>350</v>
      </c>
      <c r="B26" s="215" t="s">
        <v>1508</v>
      </c>
      <c r="C26" s="238">
        <f ca="1">ROUND(IF('数据-取费表'!B22&lt;=1,F21*F22*'数据-取费表'!B22/2,F21*(POWER((1+F22),'数据-取费表'!B22/2)-1)),4)</f>
        <v>8.9999999999999998E-4</v>
      </c>
      <c r="D26" s="238"/>
      <c r="E26" s="241"/>
      <c r="F26" s="239"/>
      <c r="G26" s="243"/>
    </row>
    <row r="27" spans="1:7" s="214" customFormat="1" ht="24.75">
      <c r="A27" s="255" t="s">
        <v>1509</v>
      </c>
      <c r="B27" s="244" t="s">
        <v>1510</v>
      </c>
      <c r="C27" s="245">
        <f ca="1">C28</f>
        <v>2335090</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2335090</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30055763</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293060199</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264150405</v>
      </c>
      <c r="D34" s="217"/>
      <c r="E34" s="220"/>
      <c r="F34" s="257"/>
      <c r="G34" s="219"/>
    </row>
    <row r="35" spans="1:7" ht="13.5" customHeight="1">
      <c r="A35" s="780" t="s">
        <v>351</v>
      </c>
      <c r="B35" s="215" t="s">
        <v>1524</v>
      </c>
      <c r="C35" s="220">
        <f ca="1">ROUND(C34*F35,0)</f>
        <v>13207520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11740018</v>
      </c>
      <c r="D37" s="217">
        <f ca="1">D19</f>
        <v>58700.09</v>
      </c>
      <c r="E37" s="249">
        <f>'数据-取费表'!B35</f>
        <v>200</v>
      </c>
      <c r="F37" s="259"/>
      <c r="G37" s="261"/>
    </row>
    <row r="38" spans="1:7" ht="13.5" customHeight="1">
      <c r="A38" s="780" t="s">
        <v>354</v>
      </c>
      <c r="B38" s="215" t="s">
        <v>1530</v>
      </c>
      <c r="C38" s="220">
        <f ca="1">ROUND(C34*F38,0)</f>
        <v>3962256</v>
      </c>
      <c r="D38" s="220"/>
      <c r="E38" s="220"/>
      <c r="F38" s="259">
        <f>'数据-取费表'!B36</f>
        <v>1.4999999999999999E-2</v>
      </c>
      <c r="G38" s="219" t="s">
        <v>1525</v>
      </c>
    </row>
    <row r="39" spans="1:7" s="214" customFormat="1" ht="13.5" customHeight="1">
      <c r="A39" s="255" t="s">
        <v>1531</v>
      </c>
      <c r="B39" s="210" t="s">
        <v>1532</v>
      </c>
      <c r="C39" s="232">
        <f ca="1">ROUND(C33*F20,0)</f>
        <v>5861204</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13322985</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13061750</v>
      </c>
      <c r="D42" s="238"/>
      <c r="E42" s="238"/>
      <c r="F42" s="239"/>
      <c r="G42" s="3699" t="s">
        <v>1588</v>
      </c>
    </row>
    <row r="43" spans="1:7" ht="13.5" customHeight="1">
      <c r="A43" s="780" t="s">
        <v>347</v>
      </c>
      <c r="B43" s="215" t="s">
        <v>1542</v>
      </c>
      <c r="C43" s="238">
        <f ca="1">ROUND(IF('数据-取费表'!B22&lt;=1,C39*F22*'数据-取费表'!B20/2,C39*(POWER((1+F22),'数据-取费表'!B20/2)-1)),0)</f>
        <v>261235</v>
      </c>
      <c r="D43" s="238"/>
      <c r="E43" s="238"/>
      <c r="F43" s="239"/>
      <c r="G43" s="3700"/>
    </row>
    <row r="44" spans="1:7" ht="13.5" customHeight="1">
      <c r="A44" s="780" t="s">
        <v>348</v>
      </c>
      <c r="B44" s="215" t="s">
        <v>1543</v>
      </c>
      <c r="C44" s="238">
        <f ca="1">ROUND(IF('数据-取费表'!B22&lt;=1,C40*F22*'数据-取费表'!B20/2,C40*(POWER((1+F22),'数据-取费表'!B20/2)-1)),4)</f>
        <v>8.9999999999999998E-4</v>
      </c>
      <c r="D44" s="238"/>
      <c r="E44" s="238"/>
      <c r="F44" s="239"/>
      <c r="G44" s="3701"/>
    </row>
    <row r="45" spans="1:7" s="214" customFormat="1" ht="13.5" customHeight="1">
      <c r="A45" s="255" t="s">
        <v>1544</v>
      </c>
      <c r="B45" s="244" t="s">
        <v>1510</v>
      </c>
      <c r="C45" s="245">
        <f ca="1">C46</f>
        <v>29892140</v>
      </c>
      <c r="D45" s="235">
        <f ca="1">C47</f>
        <v>2E-3</v>
      </c>
      <c r="E45" s="236" t="s">
        <v>1536</v>
      </c>
      <c r="F45" s="246">
        <f ca="1">F27</f>
        <v>0.1</v>
      </c>
      <c r="G45" s="247" t="s">
        <v>1545</v>
      </c>
    </row>
    <row r="46" spans="1:7" s="214" customFormat="1" ht="13.5" customHeight="1">
      <c r="A46" s="780" t="s">
        <v>346</v>
      </c>
      <c r="B46" s="248" t="s">
        <v>1546</v>
      </c>
      <c r="C46" s="249">
        <f ca="1">ROUND((C33+C39)*F27,0)</f>
        <v>29892140</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369997327</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351497461</v>
      </c>
      <c r="D51" s="232"/>
      <c r="E51" s="232"/>
      <c r="F51" s="264"/>
      <c r="G51" s="234" t="s">
        <v>1557</v>
      </c>
    </row>
    <row r="52" spans="1:7" s="208" customFormat="1" ht="16.5" thickBot="1">
      <c r="A52" s="265" t="s">
        <v>1558</v>
      </c>
      <c r="B52" s="266"/>
      <c r="C52" s="267">
        <f ca="1">C31+C51</f>
        <v>381553224</v>
      </c>
      <c r="D52" s="266"/>
      <c r="E52" s="266"/>
      <c r="F52" s="266"/>
      <c r="G52" s="268"/>
    </row>
    <row r="55" spans="1:7" ht="15">
      <c r="B55" s="270" t="s">
        <v>1559</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5"/>
      <c r="F1" s="2805"/>
      <c r="G1" s="2670"/>
      <c r="H1" s="2805"/>
      <c r="I1" s="2805"/>
      <c r="J1" s="2805"/>
      <c r="K1" s="2806">
        <f>MATCH(C1,'数据-取费表'!A6:A16,0)+5</f>
        <v>7</v>
      </c>
    </row>
    <row r="2" spans="1:33" ht="18" customHeight="1">
      <c r="A2" s="201" t="s">
        <v>1459</v>
      </c>
      <c r="B2" s="204">
        <f ca="1">C32</f>
        <v>64</v>
      </c>
      <c r="C2" s="276" t="s">
        <v>1592</v>
      </c>
      <c r="D2" s="276"/>
      <c r="E2" s="2805"/>
      <c r="F2" s="2805"/>
      <c r="G2" s="2805"/>
      <c r="H2" s="2805"/>
      <c r="I2" s="2805"/>
      <c r="J2" s="2805"/>
      <c r="K2" s="2805"/>
    </row>
    <row r="3" spans="1:33" ht="18" customHeight="1" thickBot="1">
      <c r="A3" s="203" t="s">
        <v>1461</v>
      </c>
      <c r="B3" s="204">
        <f ca="1">ROUND(B2*10000/IF(C1="",'数据-汇总表'!E3,INDIRECT("'数据-取费表'!K"&amp;$K$1)),0)</f>
        <v>11</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58700.09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58700.09</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-59</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1115</v>
      </c>
      <c r="D20" s="846">
        <f ca="1">IF(C1="",'数据-汇总表'!E6,IF(INDIRECT("'数据-取费表'!c"&amp;$K$1)="住宅",INDIRECT("'数据-取费表'!s"&amp;$K$1),INDIRECT("'数据-取费表'!k"&amp;$K$1)+INDIRECT("'数据-取费表'!s"&amp;$K$1)))</f>
        <v>58700.09</v>
      </c>
      <c r="E20" s="21">
        <f>'数据-取费表'!B28</f>
        <v>190</v>
      </c>
      <c r="F20" s="804"/>
      <c r="G20" s="12"/>
      <c r="H20" s="809"/>
      <c r="I20" s="809"/>
      <c r="J20" s="809"/>
      <c r="K20" s="810"/>
    </row>
    <row r="21" spans="1:33" s="803" customFormat="1" ht="13.5" customHeight="1">
      <c r="A21" s="790" t="s">
        <v>357</v>
      </c>
      <c r="B21" s="813" t="s">
        <v>1625</v>
      </c>
      <c r="C21" s="814">
        <f ca="1">C16+C17+C18</f>
        <v>-59</v>
      </c>
      <c r="D21" s="815"/>
      <c r="E21" s="281"/>
      <c r="F21" s="281"/>
      <c r="G21" s="131" t="s">
        <v>1626</v>
      </c>
      <c r="H21" s="807"/>
      <c r="I21" s="807"/>
      <c r="J21" s="807"/>
      <c r="K21" s="808"/>
    </row>
    <row r="22" spans="1:33" s="803" customFormat="1" ht="13.5" customHeight="1">
      <c r="A22" s="790" t="s">
        <v>1598</v>
      </c>
      <c r="B22" s="813" t="s">
        <v>1627</v>
      </c>
      <c r="C22" s="814">
        <f ca="1">ROUND(C21*F22,0)</f>
        <v>-1</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-6</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-6</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64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43.51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57191</v>
      </c>
      <c r="C2" s="1386" t="s">
        <v>805</v>
      </c>
      <c r="D2" s="1386"/>
      <c r="E2" s="1387"/>
      <c r="F2" s="1388"/>
      <c r="G2" s="2705"/>
      <c r="H2" s="2694"/>
      <c r="I2" s="2694"/>
      <c r="J2" s="2694"/>
      <c r="K2" s="2695"/>
      <c r="L2" s="2694"/>
      <c r="M2" s="2694"/>
    </row>
    <row r="3" spans="1:37" ht="18" customHeight="1" thickBot="1">
      <c r="A3" s="1389" t="s">
        <v>806</v>
      </c>
      <c r="B3" s="1390">
        <f ca="1">IF(ISERROR(B2*10000/F43),0,ROUND(B2*10000/F43,0))</f>
        <v>9743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3282</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3278</v>
      </c>
      <c r="D6" s="155" t="s">
        <v>2105</v>
      </c>
      <c r="E6" s="302" t="s">
        <v>696</v>
      </c>
      <c r="F6" s="303">
        <f ca="1">INDIRECT("'数据-取费表'!u"&amp;$G$1)</f>
        <v>1.7</v>
      </c>
      <c r="G6" s="1383"/>
      <c r="H6" s="1069" t="s">
        <v>398</v>
      </c>
      <c r="I6" s="3704" t="s">
        <v>694</v>
      </c>
      <c r="J6" s="301">
        <f ca="1">ROUND(M6*M8*M7*(1-M9)/10000,0)</f>
        <v>0</v>
      </c>
      <c r="K6" s="155" t="s">
        <v>2104</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58700.09</v>
      </c>
      <c r="G7" s="1383"/>
      <c r="H7" s="304"/>
      <c r="I7" s="3705"/>
      <c r="J7" s="306"/>
      <c r="K7" s="307"/>
      <c r="L7" s="302" t="s">
        <v>697</v>
      </c>
      <c r="M7" s="303">
        <f ca="1">F7</f>
        <v>58700.09</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2113</v>
      </c>
      <c r="E10" s="313" t="s">
        <v>701</v>
      </c>
      <c r="F10" s="1116" t="s">
        <v>3407</v>
      </c>
      <c r="G10" s="1383"/>
      <c r="H10" s="1069" t="s">
        <v>402</v>
      </c>
      <c r="I10" s="1364" t="s">
        <v>700</v>
      </c>
      <c r="J10" s="301">
        <f ca="1">ROUND(IF(M10="押一",J6/12*M11,IF(M10="押二",J6/12*2*M11,IF(M10="押三",J6/12*3*M11,J11*M11))),0)</f>
        <v>0</v>
      </c>
      <c r="K10" s="1365" t="s">
        <v>2112</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35149</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26415</v>
      </c>
      <c r="D14" s="1344" t="s">
        <v>708</v>
      </c>
      <c r="E14" s="1341"/>
      <c r="F14" s="319"/>
      <c r="G14" s="1383"/>
      <c r="H14" s="982" t="s">
        <v>398</v>
      </c>
      <c r="I14" s="302" t="s">
        <v>709</v>
      </c>
      <c r="J14" s="21">
        <f ca="1">C29</f>
        <v>36999</v>
      </c>
      <c r="K14" s="12"/>
      <c r="L14" s="807"/>
      <c r="M14" s="808"/>
    </row>
    <row r="15" spans="1:37" s="1396" customFormat="1" ht="18" customHeight="1" thickBot="1">
      <c r="A15" s="982" t="s">
        <v>399</v>
      </c>
      <c r="B15" s="302" t="s">
        <v>710</v>
      </c>
      <c r="C15" s="21">
        <f ca="1">ROUND(C14*F15,0)</f>
        <v>1321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301</v>
      </c>
      <c r="K16" s="1087" t="s">
        <v>715</v>
      </c>
      <c r="L16" s="1088"/>
      <c r="M16" s="1072"/>
    </row>
    <row r="17" spans="1:37" s="1396" customFormat="1" ht="18" customHeight="1">
      <c r="A17" s="982" t="s">
        <v>681</v>
      </c>
      <c r="B17" s="302" t="s">
        <v>716</v>
      </c>
      <c r="C17" s="21">
        <f ca="1">ROUND(F17*(F43+INDIRECT("'数据-取费表'!S"&amp;$G$1))/10000,0)</f>
        <v>1174</v>
      </c>
      <c r="D17" s="302" t="s">
        <v>717</v>
      </c>
      <c r="E17" s="302" t="s">
        <v>718</v>
      </c>
      <c r="F17" s="23">
        <f>'数据-取费表'!B35</f>
        <v>200</v>
      </c>
      <c r="G17" s="1395"/>
      <c r="H17" s="982" t="s">
        <v>398</v>
      </c>
      <c r="I17" s="302" t="s">
        <v>719</v>
      </c>
      <c r="J17" s="2315">
        <f ca="1">ROUND(IF(AND(项目基本情况!B11="自然人",项目基本情况!B10="北京市"),J6*M17/(1+'数据-取费表'!C42),J18+J19+J20),2)</f>
        <v>4.92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396</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29306</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586</v>
      </c>
      <c r="D20" s="323" t="s">
        <v>729</v>
      </c>
      <c r="E20" s="302" t="s">
        <v>712</v>
      </c>
      <c r="F20" s="322">
        <f>'数据-取费表'!B37</f>
        <v>0.02</v>
      </c>
      <c r="G20" s="1395"/>
      <c r="H20" s="982" t="s">
        <v>680</v>
      </c>
      <c r="I20" s="155" t="s">
        <v>730</v>
      </c>
      <c r="J20" s="22">
        <f ca="1">ROUND(M20*M21/10000,2)</f>
        <v>4.92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32779.72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295.99</v>
      </c>
      <c r="K22" s="1343" t="s">
        <v>739</v>
      </c>
      <c r="L22" s="302" t="s">
        <v>712</v>
      </c>
      <c r="M22" s="328">
        <f ca="1">INDIRECT("'数据-取费表'!Ak"&amp;$G$1)</f>
        <v>8.0000000000000002E-3</v>
      </c>
    </row>
    <row r="23" spans="1:37" s="1396" customFormat="1" ht="18" customHeight="1">
      <c r="A23" s="982" t="s">
        <v>397</v>
      </c>
      <c r="B23" s="302" t="s">
        <v>740</v>
      </c>
      <c r="C23" s="21">
        <f ca="1">IF('数据-取费表'!B22&lt;=1,ROUND(C19*F24*F23/2,0)+ROUND(C20*F24*F23/2,0),ROUND(C19*(POWER((1+F24),F23/2)-1),0)+ROUND(C20*(POWER((1+F24),F23/2)-1),0))</f>
        <v>1332</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-301</v>
      </c>
      <c r="K25" s="1095" t="s">
        <v>753</v>
      </c>
      <c r="L25" s="1096"/>
      <c r="M25" s="1097"/>
    </row>
    <row r="26" spans="1:37">
      <c r="A26" s="982" t="s">
        <v>397</v>
      </c>
      <c r="B26" s="302" t="s">
        <v>754</v>
      </c>
      <c r="C26" s="21">
        <f ca="1">ROUND((C19+C20)*F26,0)</f>
        <v>2989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36999</v>
      </c>
      <c r="D29" s="1092"/>
      <c r="E29" s="1090"/>
      <c r="F29" s="1093"/>
      <c r="G29" s="1395"/>
      <c r="H29" s="334" t="s">
        <v>396</v>
      </c>
      <c r="I29" s="335" t="s">
        <v>768</v>
      </c>
      <c r="J29" s="336">
        <f ca="1">ROUND(J26/(1+F40)^F41,0)</f>
        <v>0</v>
      </c>
      <c r="K29" s="337" t="s">
        <v>769</v>
      </c>
      <c r="L29" s="338"/>
      <c r="M29" s="339">
        <f ca="1">INDIRECT("'数据-取费表'!k"&amp;$G$1)</f>
        <v>58700.09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909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551.25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171.7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374.63</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4.92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32779.72</v>
      </c>
      <c r="G35" s="1383"/>
      <c r="H35" s="2696"/>
      <c r="I35" s="1397"/>
      <c r="J35" s="1398"/>
      <c r="K35" s="2700"/>
      <c r="L35" s="2699"/>
      <c r="M35" s="2699"/>
    </row>
    <row r="36" spans="1:18" ht="18" customHeight="1">
      <c r="A36" s="1102" t="s">
        <v>402</v>
      </c>
      <c r="B36" s="302" t="s">
        <v>738</v>
      </c>
      <c r="C36" s="21">
        <f ca="1">ROUND(C29*F36,2)</f>
        <v>295.99</v>
      </c>
      <c r="D36" s="1343" t="s">
        <v>771</v>
      </c>
      <c r="E36" s="302" t="s">
        <v>712</v>
      </c>
      <c r="F36" s="328">
        <f ca="1">INDIRECT("'数据-取费表'!Ak"&amp;$G$1)</f>
        <v>8.0000000000000002E-3</v>
      </c>
      <c r="G36" s="1383"/>
      <c r="H36" s="2699"/>
      <c r="I36" s="1397"/>
      <c r="J36" s="1398"/>
      <c r="K36" s="2543"/>
      <c r="L36" s="2699"/>
      <c r="M36" s="2699"/>
    </row>
    <row r="37" spans="1:18" ht="18" customHeight="1">
      <c r="A37" s="982" t="s">
        <v>437</v>
      </c>
      <c r="B37" s="302" t="s">
        <v>742</v>
      </c>
      <c r="C37" s="21">
        <f ca="1">ROUND(C13*F37,2)</f>
        <v>35.15</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26.26</v>
      </c>
      <c r="D38" s="1092" t="s">
        <v>748</v>
      </c>
      <c r="E38" s="1090" t="s">
        <v>744</v>
      </c>
      <c r="F38" s="1086">
        <f ca="1">INDIRECT("'数据-取费表'!Am"&amp;$G$1)</f>
        <v>8.0000000000000002E-3</v>
      </c>
      <c r="G38" s="1383"/>
      <c r="H38" s="2699"/>
      <c r="I38" s="1397"/>
      <c r="J38" s="1398"/>
      <c r="K38" s="2703"/>
      <c r="L38" s="2699"/>
      <c r="M38" s="2699"/>
    </row>
    <row r="39" spans="1:18" ht="24.6" customHeight="1" thickTop="1">
      <c r="A39" s="1079" t="s">
        <v>394</v>
      </c>
      <c r="B39" s="1094" t="s">
        <v>772</v>
      </c>
      <c r="C39" s="310">
        <f ca="1">C5-C30</f>
        <v>2373</v>
      </c>
      <c r="D39" s="1095" t="s">
        <v>773</v>
      </c>
      <c r="E39" s="1096"/>
      <c r="F39" s="1097"/>
      <c r="G39" s="1383"/>
      <c r="H39" s="2699"/>
      <c r="I39" s="1397"/>
      <c r="J39" s="1398"/>
      <c r="K39" s="2703"/>
      <c r="L39" s="2699"/>
      <c r="M39" s="2699"/>
    </row>
    <row r="40" spans="1:18" ht="18" customHeight="1">
      <c r="A40" s="299" t="s">
        <v>395</v>
      </c>
      <c r="B40" s="300" t="s">
        <v>774</v>
      </c>
      <c r="C40" s="301">
        <f ca="1">ROUND(C39*(1-((1+F42)/(1+F40))^F41)/(F40-F42),0)</f>
        <v>56555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43.51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9635</v>
      </c>
      <c r="D43" s="337" t="s">
        <v>777</v>
      </c>
      <c r="E43" s="338" t="s">
        <v>778</v>
      </c>
      <c r="F43" s="339">
        <f ca="1">INDIRECT("'数据-取费表'!k"&amp;$G$1)</f>
        <v>58700.09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-62069</v>
      </c>
      <c r="D46" s="1405" t="str">
        <f>C2</f>
        <v>万元</v>
      </c>
      <c r="E46" s="1399"/>
      <c r="F46" s="1399"/>
      <c r="I46" s="1406" t="s">
        <v>810</v>
      </c>
      <c r="J46" s="1407"/>
      <c r="K46" s="1408"/>
      <c r="L46" s="1409">
        <f ca="1">IF(M47="住宅",0,IF(L48&gt;J51,L60,J60))</f>
        <v>636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3408</v>
      </c>
      <c r="K47" s="1415" t="s">
        <v>816</v>
      </c>
      <c r="L47" s="1416">
        <f ca="1">INDIRECT("'数据-取费表'!d"&amp;$G$1)</f>
        <v>50</v>
      </c>
      <c r="M47" s="1379" t="str">
        <f>IF(ISNUMBER(FIND("住宅",C1)),"住宅","非住宅")</f>
        <v>非住宅</v>
      </c>
      <c r="O47" s="1417" t="s">
        <v>403</v>
      </c>
      <c r="P47" s="1418" t="s">
        <v>817</v>
      </c>
      <c r="Q47" s="1419">
        <f ca="1">C40+J29</f>
        <v>56555</v>
      </c>
      <c r="R47" s="1419" t="s">
        <v>818</v>
      </c>
    </row>
    <row r="48" spans="1:18" s="1383" customFormat="1" ht="28.5" thickBot="1">
      <c r="A48" s="1110" t="s">
        <v>438</v>
      </c>
      <c r="B48" s="300" t="s">
        <v>692</v>
      </c>
      <c r="C48" s="1358">
        <f ca="1">C49+C53+C55</f>
        <v>0</v>
      </c>
      <c r="D48" s="1112"/>
      <c r="E48" s="1113"/>
      <c r="F48" s="962"/>
      <c r="G48" s="722"/>
      <c r="H48" s="723"/>
      <c r="I48" s="1420" t="s">
        <v>819</v>
      </c>
      <c r="J48" s="1421" t="s">
        <v>3409</v>
      </c>
      <c r="K48" s="1422" t="s">
        <v>820</v>
      </c>
      <c r="L48" s="1423">
        <f ca="1">INDIRECT("'数据-取费表'!f"&amp;$G$1)</f>
        <v>43.51</v>
      </c>
      <c r="O48" s="1417" t="s">
        <v>404</v>
      </c>
      <c r="P48" s="1418" t="s">
        <v>821</v>
      </c>
      <c r="Q48" s="1419">
        <f ca="1">J60</f>
        <v>636</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2020</v>
      </c>
      <c r="K49" s="1422" t="s">
        <v>824</v>
      </c>
      <c r="L49" s="1426"/>
      <c r="O49" s="1427" t="s">
        <v>405</v>
      </c>
      <c r="P49" s="1418" t="s">
        <v>825</v>
      </c>
      <c r="Q49" s="1419">
        <f ca="1">C29</f>
        <v>36999</v>
      </c>
      <c r="R49" s="1419" t="s">
        <v>818</v>
      </c>
    </row>
    <row r="50" spans="1:18" s="1383" customFormat="1" ht="13.5" thickBot="1">
      <c r="A50" s="976"/>
      <c r="B50" s="979"/>
      <c r="C50" s="1118"/>
      <c r="D50" s="953"/>
      <c r="E50" s="1056" t="s">
        <v>697</v>
      </c>
      <c r="F50" s="1057">
        <f ca="1">F7</f>
        <v>58700.09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-1640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43.51</v>
      </c>
      <c r="R52" s="1419" t="s">
        <v>835</v>
      </c>
    </row>
    <row r="53" spans="1:18" s="1383" customFormat="1" ht="24.75" thickBot="1">
      <c r="A53" s="1152" t="s">
        <v>440</v>
      </c>
      <c r="B53" s="1372" t="s">
        <v>700</v>
      </c>
      <c r="C53" s="316">
        <f ca="1">ROUND(IF(F53="押一",C49/12*F11,IF(F53="押二",C49/12*2*F11,IF(F53="押三",C49/12*3*F11,C54*F11))),0)</f>
        <v>0</v>
      </c>
      <c r="D53" s="1365" t="s">
        <v>2112</v>
      </c>
      <c r="E53" s="313" t="s">
        <v>701</v>
      </c>
      <c r="F53" s="1116"/>
      <c r="I53" s="1438" t="s">
        <v>836</v>
      </c>
      <c r="J53" s="2167">
        <f ca="1">IF(M47="住宅",IF(D1="——",MAX(J51,L48),MAX(J51,L48-'数据-取费表'!B24)),IF(D1="——",MIN(J51,L48),MIN(J51,L48-'数据-取费表'!B24)))</f>
        <v>43.51</v>
      </c>
      <c r="K53" s="3702" t="s">
        <v>837</v>
      </c>
      <c r="L53" s="3703"/>
      <c r="O53" s="1417" t="s">
        <v>409</v>
      </c>
      <c r="P53" s="1418" t="s">
        <v>838</v>
      </c>
      <c r="Q53" s="1419">
        <f ca="1">Q47+Q48</f>
        <v>57191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35149</v>
      </c>
      <c r="D56" s="1446"/>
      <c r="E56" s="1447"/>
      <c r="F56" s="1439"/>
      <c r="I56" s="1448" t="s">
        <v>842</v>
      </c>
      <c r="J56" s="1449" t="s">
        <v>3410</v>
      </c>
      <c r="K56" s="1420" t="s">
        <v>843</v>
      </c>
      <c r="L56" s="1423" t="str">
        <f ca="1">IF(L48&lt;J51,"——",L48-J53)</f>
        <v>——</v>
      </c>
      <c r="O56" s="1417" t="s">
        <v>403</v>
      </c>
      <c r="P56" s="1418" t="s">
        <v>817</v>
      </c>
      <c r="Q56" s="1419">
        <f ca="1">C40+J29</f>
        <v>56555</v>
      </c>
      <c r="R56" s="1419" t="s">
        <v>818</v>
      </c>
    </row>
    <row r="57" spans="1:18" s="1383" customFormat="1" ht="24.75" thickBot="1">
      <c r="A57" s="1450"/>
      <c r="B57" s="950" t="s">
        <v>767</v>
      </c>
      <c r="C57" s="238">
        <f ca="1">C29</f>
        <v>36999</v>
      </c>
      <c r="D57" s="1451"/>
      <c r="E57" s="1452"/>
      <c r="F57" s="1453"/>
      <c r="I57" s="1454" t="s">
        <v>844</v>
      </c>
      <c r="J57" s="1455">
        <f ca="1">IF(OR(M47="住宅",J51&lt;L48,J56="是"),"——",J51-L48)</f>
        <v>13.490000000000002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336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14800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636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4.92</v>
      </c>
      <c r="D62" s="965" t="s">
        <v>786</v>
      </c>
      <c r="E62" s="950" t="s">
        <v>787</v>
      </c>
      <c r="F62" s="325">
        <f t="shared" si="0"/>
        <v>1.5</v>
      </c>
      <c r="I62" s="1461" t="s">
        <v>858</v>
      </c>
      <c r="J62" s="1462" t="s">
        <v>859</v>
      </c>
      <c r="K62" s="1462" t="s">
        <v>860</v>
      </c>
      <c r="L62" s="1462" t="s">
        <v>861</v>
      </c>
      <c r="M62" s="1463" t="s">
        <v>862</v>
      </c>
      <c r="O62" s="1417" t="s">
        <v>409</v>
      </c>
      <c r="P62" s="1418" t="s">
        <v>863</v>
      </c>
      <c r="Q62" s="1419">
        <f ca="1">Q56+Q57</f>
        <v>56555</v>
      </c>
      <c r="R62" s="1419" t="s">
        <v>410</v>
      </c>
    </row>
    <row r="63" spans="1:18" s="1383" customFormat="1" ht="13.5" thickBot="1">
      <c r="A63" s="326"/>
      <c r="B63" s="956"/>
      <c r="C63" s="26"/>
      <c r="D63" s="966"/>
      <c r="E63" s="950" t="s">
        <v>788</v>
      </c>
      <c r="F63" s="303">
        <f t="shared" ca="1" si="0"/>
        <v>32779.72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295.99</v>
      </c>
      <c r="D64" s="964" t="s">
        <v>791</v>
      </c>
      <c r="E64" s="950" t="s">
        <v>783</v>
      </c>
      <c r="F64" s="328">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35.15</v>
      </c>
      <c r="D65" s="964" t="s">
        <v>743</v>
      </c>
      <c r="E65" s="950" t="s">
        <v>744</v>
      </c>
      <c r="F65" s="330">
        <f t="shared" ca="1" si="0"/>
        <v>1E-3</v>
      </c>
      <c r="I65" s="1461" t="s">
        <v>867</v>
      </c>
      <c r="J65" s="1462">
        <v>40</v>
      </c>
      <c r="K65" s="1462">
        <v>30</v>
      </c>
      <c r="L65" s="1462">
        <v>50</v>
      </c>
      <c r="M65" s="1464">
        <v>0.02</v>
      </c>
      <c r="O65" s="1417" t="s">
        <v>403</v>
      </c>
      <c r="P65" s="1418" t="s">
        <v>868</v>
      </c>
      <c r="Q65" s="1419">
        <f ca="1">C40+J29</f>
        <v>56555</v>
      </c>
      <c r="R65" s="1419" t="s">
        <v>818</v>
      </c>
    </row>
    <row r="66" spans="1:18" s="1383" customFormat="1" ht="16.5" thickBot="1">
      <c r="A66" s="982" t="s">
        <v>793</v>
      </c>
      <c r="B66" s="950" t="s">
        <v>728</v>
      </c>
      <c r="C66" s="21">
        <f ca="1">ROUND(C48*F66,2)</f>
        <v>0</v>
      </c>
      <c r="D66" s="964" t="s">
        <v>794</v>
      </c>
      <c r="E66" s="950" t="s">
        <v>712</v>
      </c>
      <c r="F66" s="312">
        <f t="shared" ca="1" si="0"/>
        <v>8.0000000000000002E-3</v>
      </c>
      <c r="O66" s="1417" t="s">
        <v>404</v>
      </c>
      <c r="P66" s="1418" t="s">
        <v>846</v>
      </c>
      <c r="Q66" s="1419">
        <f ca="1">L60</f>
        <v>0</v>
      </c>
      <c r="R66" s="1419" t="s">
        <v>869</v>
      </c>
    </row>
    <row r="67" spans="1:18" s="1383" customFormat="1" ht="16.5" thickBot="1">
      <c r="A67" s="957" t="s">
        <v>394</v>
      </c>
      <c r="B67" s="967" t="s">
        <v>752</v>
      </c>
      <c r="C67" s="316">
        <f ca="1">C48-C58</f>
        <v>-336</v>
      </c>
      <c r="D67" s="963" t="s">
        <v>753</v>
      </c>
      <c r="E67" s="968"/>
      <c r="F67" s="969"/>
      <c r="O67" s="1427" t="s">
        <v>405</v>
      </c>
      <c r="P67" s="1418" t="s">
        <v>850</v>
      </c>
      <c r="Q67" s="1465">
        <f ca="1">L51</f>
        <v>-1640</v>
      </c>
      <c r="R67" s="1419" t="s">
        <v>870</v>
      </c>
    </row>
    <row r="68" spans="1:18" s="1383" customFormat="1" ht="16.5" thickBot="1">
      <c r="A68" s="947" t="s">
        <v>395</v>
      </c>
      <c r="B68" s="948" t="s">
        <v>774</v>
      </c>
      <c r="C68" s="301">
        <f ca="1">ROUND(C67*(1-((1+F70)/(1+F68))^F69)/(F68-F70),0)</f>
        <v>-5514</v>
      </c>
      <c r="D68" s="965" t="s">
        <v>758</v>
      </c>
      <c r="E68" s="950" t="s">
        <v>759</v>
      </c>
      <c r="F68" s="312">
        <f ca="1">F40</f>
        <v>5.5E-2</v>
      </c>
      <c r="O68" s="1427" t="s">
        <v>406</v>
      </c>
      <c r="P68" s="1466" t="s">
        <v>871</v>
      </c>
      <c r="Q68" s="1419">
        <f ca="1">ROUND(Q69-Q70*Q71,0)</f>
        <v>-87</v>
      </c>
      <c r="R68" s="1419" t="s">
        <v>414</v>
      </c>
    </row>
    <row r="69" spans="1:18" s="1383" customFormat="1" ht="13.5" thickBot="1">
      <c r="A69" s="951"/>
      <c r="B69" s="952"/>
      <c r="C69" s="306"/>
      <c r="D69" s="970" t="s">
        <v>762</v>
      </c>
      <c r="E69" s="950" t="s">
        <v>763</v>
      </c>
      <c r="F69" s="333">
        <f ca="1">F41</f>
        <v>43.51</v>
      </c>
      <c r="O69" s="1427" t="s">
        <v>411</v>
      </c>
      <c r="P69" s="1466" t="s">
        <v>872</v>
      </c>
      <c r="Q69" s="1419">
        <f ca="1">C39</f>
        <v>2373</v>
      </c>
      <c r="R69" s="1419" t="s">
        <v>818</v>
      </c>
    </row>
    <row r="70" spans="1:18" s="1383" customFormat="1" ht="13.5" thickBot="1">
      <c r="A70" s="954"/>
      <c r="B70" s="955"/>
      <c r="C70" s="310"/>
      <c r="D70" s="966"/>
      <c r="E70" s="950" t="s">
        <v>766</v>
      </c>
      <c r="F70" s="1054"/>
      <c r="O70" s="1427" t="s">
        <v>412</v>
      </c>
      <c r="P70" s="1466" t="s">
        <v>873</v>
      </c>
      <c r="Q70" s="1419">
        <f ca="1">C13</f>
        <v>35149</v>
      </c>
      <c r="R70" s="1419" t="s">
        <v>818</v>
      </c>
    </row>
    <row r="71" spans="1:18" s="1383" customFormat="1" ht="13.5" thickBot="1">
      <c r="A71" s="971" t="s">
        <v>396</v>
      </c>
      <c r="B71" s="972" t="s">
        <v>776</v>
      </c>
      <c r="C71" s="336">
        <f ca="1">ROUND(C68*10000/F71,0)</f>
        <v>-939</v>
      </c>
      <c r="D71" s="973" t="s">
        <v>777</v>
      </c>
      <c r="E71" s="974" t="s">
        <v>778</v>
      </c>
      <c r="F71" s="339">
        <f ca="1">F43</f>
        <v>58700.09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2460</v>
      </c>
      <c r="D75" s="1383"/>
      <c r="E75" s="1383"/>
      <c r="F75" s="1383"/>
      <c r="K75" s="1401"/>
      <c r="L75" s="1383"/>
      <c r="O75" s="1417" t="s">
        <v>409</v>
      </c>
      <c r="P75" s="1418" t="s">
        <v>838</v>
      </c>
      <c r="Q75" s="1419">
        <f ca="1">Q65+Q66</f>
        <v>56555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-3.6999999999999922E-2</v>
      </c>
    </row>
    <row r="80" spans="1:18">
      <c r="B80" s="340" t="s">
        <v>800</v>
      </c>
      <c r="C80" s="274">
        <f ca="1">ROUND(C75/C39,3)</f>
        <v>1.0369999999999999</v>
      </c>
    </row>
    <row r="81" spans="2:3">
      <c r="B81" s="270" t="s">
        <v>801</v>
      </c>
      <c r="C81" s="238"/>
    </row>
    <row r="82" spans="2:3">
      <c r="B82" s="273" t="s">
        <v>802</v>
      </c>
      <c r="C82" s="275">
        <f ca="1">1-C83</f>
        <v>0.378</v>
      </c>
    </row>
    <row r="83" spans="2:3">
      <c r="B83" s="273" t="s">
        <v>803</v>
      </c>
      <c r="C83" s="274">
        <f ca="1">ROUND(C13/C40,3)</f>
        <v>0.622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2102</v>
      </c>
      <c r="E6" s="302" t="s">
        <v>696</v>
      </c>
      <c r="F6" s="303">
        <f ca="1">INDIRECT("'数据-取费表'!u"&amp;$G$1)</f>
        <v>0</v>
      </c>
      <c r="G6" s="1383"/>
      <c r="H6" s="1069" t="s">
        <v>398</v>
      </c>
      <c r="I6" s="3704" t="s">
        <v>694</v>
      </c>
      <c r="J6" s="301">
        <f ca="1">ROUND(M6*M8*M7*(1-M9),0)</f>
        <v>0</v>
      </c>
      <c r="K6" s="1375" t="s">
        <v>2103</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2112</v>
      </c>
      <c r="E10" s="313" t="s">
        <v>701</v>
      </c>
      <c r="F10" s="1116"/>
      <c r="G10" s="1383"/>
      <c r="H10" s="1069" t="s">
        <v>402</v>
      </c>
      <c r="I10" s="1364" t="s">
        <v>700</v>
      </c>
      <c r="J10" s="301">
        <f ca="1">ROUND(IF(M10="押一",J6/12*M11,IF(M10="押二",J6/12*2*M11,IF(M10="押三",J6/12*3*M11,J11*M11))),0)</f>
        <v>0</v>
      </c>
      <c r="K10" s="1376" t="s">
        <v>2114</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3361</v>
      </c>
      <c r="E2" s="3443"/>
      <c r="F2" s="2845"/>
      <c r="G2" s="2846"/>
      <c r="H2" s="2847"/>
      <c r="I2" s="2848"/>
      <c r="J2" s="3707" t="s">
        <v>2317</v>
      </c>
      <c r="K2" s="370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09" t="s">
        <v>2327</v>
      </c>
      <c r="K3" s="371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09" t="s">
        <v>2329</v>
      </c>
      <c r="K4" s="371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11" t="s">
        <v>2333</v>
      </c>
      <c r="B6" s="3712"/>
      <c r="C6" s="3713"/>
      <c r="D6" s="2869"/>
      <c r="E6" s="2870"/>
      <c r="F6" s="2871"/>
      <c r="G6" s="2872"/>
      <c r="H6" s="2847"/>
      <c r="I6" s="2848"/>
      <c r="J6" s="3714">
        <v>1</v>
      </c>
      <c r="K6" s="371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4"/>
      <c r="K7" s="371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18" t="s">
        <v>2347</v>
      </c>
      <c r="C8" s="3719"/>
      <c r="D8" s="2888" t="s">
        <v>2348</v>
      </c>
      <c r="E8" s="2889" t="s">
        <v>2349</v>
      </c>
      <c r="F8" s="2890" t="s">
        <v>2350</v>
      </c>
      <c r="G8" s="2891"/>
      <c r="H8" s="2847"/>
      <c r="I8" s="2848"/>
      <c r="J8" s="3714"/>
      <c r="K8" s="371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18" t="s">
        <v>2353</v>
      </c>
      <c r="C9" s="3719"/>
      <c r="D9" s="2888">
        <f>ROUND(D6*E9,0)</f>
        <v>0</v>
      </c>
      <c r="E9" s="2892"/>
      <c r="F9" s="2893" t="s">
        <v>2354</v>
      </c>
      <c r="G9" s="2872"/>
      <c r="H9" s="2847"/>
      <c r="I9" s="2848"/>
      <c r="J9" s="3714"/>
      <c r="K9" s="3716"/>
      <c r="L9" s="2882" t="s">
        <v>2355</v>
      </c>
      <c r="M9" s="2883"/>
      <c r="N9" s="2859"/>
      <c r="O9" s="2884"/>
      <c r="P9" s="2884"/>
      <c r="Q9" s="2885">
        <v>365</v>
      </c>
      <c r="R9" s="2886">
        <f t="shared" si="0"/>
        <v>0</v>
      </c>
      <c r="S9" s="2840"/>
      <c r="T9" s="2840"/>
      <c r="U9" s="2840"/>
      <c r="V9" s="2848"/>
    </row>
    <row r="10" spans="1:22" s="2852" customFormat="1" ht="13.15" customHeight="1">
      <c r="A10" s="2887">
        <v>2</v>
      </c>
      <c r="B10" s="3718" t="s">
        <v>2356</v>
      </c>
      <c r="C10" s="3719"/>
      <c r="D10" s="2888">
        <f>ROUND(D6*E10,0)</f>
        <v>0</v>
      </c>
      <c r="E10" s="2892"/>
      <c r="F10" s="2893" t="s">
        <v>2357</v>
      </c>
      <c r="G10" s="2872"/>
      <c r="H10" s="2847"/>
      <c r="I10" s="2848"/>
      <c r="J10" s="3714"/>
      <c r="K10" s="3716"/>
      <c r="L10" s="2882" t="s">
        <v>2358</v>
      </c>
      <c r="M10" s="2883"/>
      <c r="N10" s="2859"/>
      <c r="O10" s="2884"/>
      <c r="P10" s="2884"/>
      <c r="Q10" s="2885">
        <v>365</v>
      </c>
      <c r="R10" s="2886">
        <f t="shared" si="0"/>
        <v>0</v>
      </c>
      <c r="S10" s="2840"/>
      <c r="T10" s="2840"/>
      <c r="U10" s="2840"/>
      <c r="V10" s="2848"/>
    </row>
    <row r="11" spans="1:22" s="2852" customFormat="1" ht="13.15" customHeight="1">
      <c r="A11" s="2887">
        <v>3</v>
      </c>
      <c r="B11" s="3718" t="s">
        <v>2359</v>
      </c>
      <c r="C11" s="3719"/>
      <c r="D11" s="2888">
        <f>D12+D14+D15+D16</f>
        <v>0</v>
      </c>
      <c r="E11" s="2894" t="e">
        <f>D11/D6</f>
        <v>#DIV/0!</v>
      </c>
      <c r="F11" s="2890"/>
      <c r="G11" s="2891"/>
      <c r="H11" s="2847"/>
      <c r="I11" s="2848"/>
      <c r="J11" s="3714"/>
      <c r="K11" s="371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0" t="s">
        <v>2362</v>
      </c>
      <c r="C12" s="3721"/>
      <c r="D12" s="2896">
        <f>ROUND(D13*1.2%*(1-30%),0)</f>
        <v>0</v>
      </c>
      <c r="E12" s="2897">
        <v>1.2E-2</v>
      </c>
      <c r="F12" s="2890" t="s">
        <v>2363</v>
      </c>
      <c r="G12" s="2891"/>
      <c r="H12" s="2847"/>
      <c r="I12" s="2848"/>
      <c r="J12" s="3714"/>
      <c r="K12" s="371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4"/>
      <c r="K13" s="371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0" t="s">
        <v>2368</v>
      </c>
      <c r="C14" s="3721"/>
      <c r="D14" s="2896">
        <f>ROUND(E14*B5/10000,0)</f>
        <v>0</v>
      </c>
      <c r="E14" s="2885"/>
      <c r="F14" s="2890" t="s">
        <v>2369</v>
      </c>
      <c r="G14" s="2891"/>
      <c r="H14" s="2847"/>
      <c r="I14" s="2848"/>
      <c r="J14" s="3714"/>
      <c r="K14" s="371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0" t="s">
        <v>2372</v>
      </c>
      <c r="C15" s="3721"/>
      <c r="D15" s="2896">
        <f>ROUND(D6*E15,0)</f>
        <v>0</v>
      </c>
      <c r="E15" s="2897">
        <v>5.5E-2</v>
      </c>
      <c r="F15" s="2890" t="s">
        <v>2373</v>
      </c>
      <c r="G15" s="2872"/>
      <c r="H15" s="2847"/>
      <c r="I15" s="2848"/>
      <c r="J15" s="3714">
        <v>2</v>
      </c>
      <c r="K15" s="371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0" t="s">
        <v>2381</v>
      </c>
      <c r="C16" s="3721"/>
      <c r="D16" s="2907">
        <f>D6*E16</f>
        <v>0</v>
      </c>
      <c r="E16" s="2908"/>
      <c r="F16" s="2893" t="s">
        <v>2382</v>
      </c>
      <c r="G16" s="2872"/>
      <c r="H16" s="2847"/>
      <c r="I16" s="2848"/>
      <c r="J16" s="3714"/>
      <c r="K16" s="371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2" t="s">
        <v>2384</v>
      </c>
      <c r="C17" s="3723"/>
      <c r="D17" s="2910">
        <f>ROUND(D6*E17,0)</f>
        <v>0</v>
      </c>
      <c r="E17" s="2911"/>
      <c r="F17" s="2912" t="s">
        <v>2385</v>
      </c>
      <c r="G17" s="2872"/>
      <c r="H17" s="2847"/>
      <c r="I17" s="2848"/>
      <c r="J17" s="3714"/>
      <c r="K17" s="371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4"/>
      <c r="K18" s="371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4"/>
      <c r="K19" s="371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4">
        <v>3</v>
      </c>
      <c r="K20" s="371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4"/>
      <c r="K21" s="371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4"/>
      <c r="K22" s="371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4"/>
      <c r="K23" s="371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4"/>
      <c r="K24" s="371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07" t="s">
        <v>2317</v>
      </c>
      <c r="K32" s="370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09" t="s">
        <v>2327</v>
      </c>
      <c r="K33" s="371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09" t="s">
        <v>2329</v>
      </c>
      <c r="K34" s="371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4">
        <v>1</v>
      </c>
      <c r="K36" s="371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4"/>
      <c r="K40" s="371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57191</v>
      </c>
      <c r="C2" s="1871" t="s">
        <v>1648</v>
      </c>
      <c r="D2" s="1872" t="s">
        <v>1649</v>
      </c>
      <c r="E2" s="2606">
        <f>SUM(E6:E13)</f>
        <v>58700.09</v>
      </c>
      <c r="F2" s="2706"/>
      <c r="G2" s="1488"/>
      <c r="H2" s="1488"/>
      <c r="I2" s="1488"/>
      <c r="J2" s="1488"/>
      <c r="K2" s="1488"/>
      <c r="L2" s="1488"/>
      <c r="M2" s="1488"/>
      <c r="N2" s="1488"/>
      <c r="O2" s="1488"/>
      <c r="P2" s="1488"/>
      <c r="Q2" s="1488"/>
      <c r="R2" s="1488"/>
      <c r="S2" s="1488"/>
    </row>
    <row r="3" spans="1:22" ht="15.75">
      <c r="A3" s="1869" t="s">
        <v>686</v>
      </c>
      <c r="B3" s="2600">
        <f ca="1">ROUND(B2*10000/E2,0)</f>
        <v>9743</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26" t="s">
        <v>1651</v>
      </c>
      <c r="C5" s="3727"/>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v>
      </c>
      <c r="B6" s="2601">
        <f ca="1">IF(F6="是",'数据-取费表'!AO6,0)</f>
        <v>57191</v>
      </c>
      <c r="C6" s="1871" t="s">
        <v>1648</v>
      </c>
      <c r="D6" s="2708"/>
      <c r="E6" s="2605">
        <f>IF(OR(A6=0,F6="否"),0,'数据-取费表'!K6+'数据-取费表'!S6)</f>
        <v>58700.09</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58700.09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1663</v>
      </c>
      <c r="B4" s="356"/>
      <c r="C4" s="3672" t="s">
        <v>1664</v>
      </c>
      <c r="D4" s="3673"/>
      <c r="E4" s="3674" t="s">
        <v>1665</v>
      </c>
      <c r="F4" s="3675"/>
      <c r="G4" s="3672" t="s">
        <v>1666</v>
      </c>
      <c r="H4" s="3673"/>
      <c r="I4" s="3672" t="s">
        <v>1667</v>
      </c>
      <c r="J4" s="3673"/>
      <c r="K4" s="1888" t="s">
        <v>1668</v>
      </c>
      <c r="L4" s="2714"/>
      <c r="M4" s="2715"/>
      <c r="N4" s="2715"/>
      <c r="O4" s="2715"/>
      <c r="P4" s="3676" t="s">
        <v>1669</v>
      </c>
      <c r="Q4" s="3677"/>
      <c r="R4" s="3686" t="s">
        <v>1665</v>
      </c>
      <c r="S4" s="3687"/>
      <c r="T4" s="3686" t="s">
        <v>1666</v>
      </c>
      <c r="U4" s="3687"/>
      <c r="V4" s="3664" t="s">
        <v>1667</v>
      </c>
      <c r="W4" s="3664"/>
      <c r="X4" s="1354"/>
      <c r="Y4" s="3686" t="s">
        <v>1669</v>
      </c>
      <c r="Z4" s="3687"/>
      <c r="AA4" s="3669" t="s">
        <v>1665</v>
      </c>
      <c r="AB4" s="3669" t="s">
        <v>1666</v>
      </c>
      <c r="AC4" s="3669" t="s">
        <v>1667</v>
      </c>
    </row>
    <row r="5" spans="1:29" ht="15">
      <c r="A5" s="358"/>
      <c r="B5" s="359"/>
      <c r="C5" s="3690" t="s">
        <v>1670</v>
      </c>
      <c r="D5" s="3691"/>
      <c r="E5" s="3682" t="s">
        <v>1671</v>
      </c>
      <c r="F5" s="3683"/>
      <c r="G5" s="3690" t="s">
        <v>1672</v>
      </c>
      <c r="H5" s="3691"/>
      <c r="I5" s="3690" t="s">
        <v>1673</v>
      </c>
      <c r="J5" s="3691"/>
      <c r="K5" s="1889"/>
      <c r="L5" s="2714"/>
      <c r="M5" s="2715"/>
      <c r="N5" s="2715"/>
      <c r="O5" s="2715"/>
      <c r="P5" s="3678"/>
      <c r="Q5" s="3679"/>
      <c r="R5" s="3688"/>
      <c r="S5" s="3689"/>
      <c r="T5" s="3688"/>
      <c r="U5" s="3689"/>
      <c r="V5" s="3664"/>
      <c r="W5" s="3664"/>
      <c r="X5" s="1354"/>
      <c r="Y5" s="3688"/>
      <c r="Z5" s="3689"/>
      <c r="AA5" s="3670"/>
      <c r="AB5" s="3670"/>
      <c r="AC5" s="3670"/>
    </row>
    <row r="6" spans="1:29" ht="15.75" thickBot="1">
      <c r="A6" s="360"/>
      <c r="B6" s="361"/>
      <c r="C6" s="3728" t="s">
        <v>1674</v>
      </c>
      <c r="D6" s="3729"/>
      <c r="E6" s="3730" t="s">
        <v>1674</v>
      </c>
      <c r="F6" s="3731"/>
      <c r="G6" s="3728" t="s">
        <v>1674</v>
      </c>
      <c r="H6" s="3729"/>
      <c r="I6" s="3728" t="s">
        <v>1674</v>
      </c>
      <c r="J6" s="3729"/>
      <c r="K6" s="1889" t="s">
        <v>1675</v>
      </c>
      <c r="L6" s="2714"/>
      <c r="M6" s="2715"/>
      <c r="N6" s="2715"/>
      <c r="O6" s="2715"/>
      <c r="P6" s="3680"/>
      <c r="Q6" s="3681"/>
      <c r="R6" s="3688"/>
      <c r="S6" s="3689"/>
      <c r="T6" s="3697"/>
      <c r="U6" s="3698"/>
      <c r="V6" s="3664"/>
      <c r="W6" s="3664"/>
      <c r="X6" s="1354"/>
      <c r="Y6" s="3697"/>
      <c r="Z6" s="3698"/>
      <c r="AA6" s="3671"/>
      <c r="AB6" s="3671"/>
      <c r="AC6" s="3671"/>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2" t="s">
        <v>1677</v>
      </c>
      <c r="Q7" s="3694"/>
      <c r="R7" s="701" t="s">
        <v>20</v>
      </c>
      <c r="S7" s="702">
        <f t="shared" ref="S7:S15" si="0">F7</f>
        <v>0</v>
      </c>
      <c r="T7" s="701" t="s">
        <v>20</v>
      </c>
      <c r="U7" s="702">
        <f t="shared" ref="U7:U15" si="1">H7</f>
        <v>0</v>
      </c>
      <c r="V7" s="701" t="s">
        <v>20</v>
      </c>
      <c r="W7" s="702">
        <f t="shared" ref="W7:W15" si="2">J7</f>
        <v>0</v>
      </c>
      <c r="X7" s="703"/>
      <c r="Y7" s="3662" t="s">
        <v>1677</v>
      </c>
      <c r="Z7" s="3663"/>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2" t="s">
        <v>1680</v>
      </c>
      <c r="Q8" s="3663"/>
      <c r="R8" s="701" t="s">
        <v>20</v>
      </c>
      <c r="S8" s="702">
        <f t="shared" si="0"/>
        <v>100</v>
      </c>
      <c r="T8" s="701" t="s">
        <v>20</v>
      </c>
      <c r="U8" s="702">
        <f t="shared" si="1"/>
        <v>100</v>
      </c>
      <c r="V8" s="701" t="s">
        <v>20</v>
      </c>
      <c r="W8" s="702">
        <f t="shared" si="2"/>
        <v>100</v>
      </c>
      <c r="X8" s="703"/>
      <c r="Y8" s="3662" t="s">
        <v>1680</v>
      </c>
      <c r="Z8" s="3663"/>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1688</v>
      </c>
      <c r="Q15" s="1351" t="str">
        <f t="shared" si="6"/>
        <v>居住社区成熟度</v>
      </c>
      <c r="R15" s="705" t="s">
        <v>18</v>
      </c>
      <c r="S15" s="706">
        <f t="shared" si="0"/>
        <v>100</v>
      </c>
      <c r="T15" s="705" t="s">
        <v>18</v>
      </c>
      <c r="U15" s="706">
        <f t="shared" si="1"/>
        <v>100</v>
      </c>
      <c r="V15" s="705" t="s">
        <v>18</v>
      </c>
      <c r="W15" s="706">
        <f t="shared" si="2"/>
        <v>100</v>
      </c>
      <c r="X15" s="1354"/>
      <c r="Y15" s="3665"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9"/>
      <c r="Q16" s="1351"/>
      <c r="R16" s="705"/>
      <c r="S16" s="706"/>
      <c r="T16" s="705"/>
      <c r="U16" s="706"/>
      <c r="V16" s="705"/>
      <c r="W16" s="706"/>
      <c r="X16" s="1354"/>
      <c r="Y16" s="366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9"/>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9"/>
      <c r="Q18" s="1351"/>
      <c r="R18" s="705"/>
      <c r="S18" s="706"/>
      <c r="T18" s="705"/>
      <c r="U18" s="706"/>
      <c r="V18" s="705"/>
      <c r="W18" s="706"/>
      <c r="X18" s="1354"/>
      <c r="Y18" s="366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9"/>
      <c r="Q20" s="1351"/>
      <c r="R20" s="705"/>
      <c r="S20" s="706"/>
      <c r="T20" s="705"/>
      <c r="U20" s="706"/>
      <c r="V20" s="705"/>
      <c r="W20" s="706"/>
      <c r="X20" s="1354"/>
      <c r="Y20" s="366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9"/>
      <c r="Q22" s="1351"/>
      <c r="R22" s="705"/>
      <c r="S22" s="706"/>
      <c r="T22" s="705"/>
      <c r="U22" s="706"/>
      <c r="V22" s="705"/>
      <c r="W22" s="706"/>
      <c r="X22" s="1354"/>
      <c r="Y22" s="366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9"/>
      <c r="Q24" s="1351"/>
      <c r="R24" s="705"/>
      <c r="S24" s="706"/>
      <c r="T24" s="705"/>
      <c r="U24" s="706"/>
      <c r="V24" s="705"/>
      <c r="W24" s="706"/>
      <c r="X24" s="1354"/>
      <c r="Y24" s="3666"/>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9"/>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9"/>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9"/>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9"/>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9"/>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9"/>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4" t="s">
        <v>1693</v>
      </c>
      <c r="Q32" s="1351" t="str">
        <f t="shared" si="11"/>
        <v>建筑类型</v>
      </c>
      <c r="R32" s="705" t="s">
        <v>18</v>
      </c>
      <c r="S32" s="706">
        <f t="shared" si="12"/>
        <v>100</v>
      </c>
      <c r="T32" s="705" t="s">
        <v>18</v>
      </c>
      <c r="U32" s="706">
        <f t="shared" si="13"/>
        <v>100</v>
      </c>
      <c r="V32" s="705" t="s">
        <v>18</v>
      </c>
      <c r="W32" s="706">
        <f t="shared" si="14"/>
        <v>100</v>
      </c>
      <c r="X32" s="1354"/>
      <c r="Y32" s="3668"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5"/>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5"/>
      <c r="Q34" s="1351" t="str">
        <f t="shared" si="11"/>
        <v>建筑结构</v>
      </c>
      <c r="R34" s="705" t="s">
        <v>18</v>
      </c>
      <c r="S34" s="706">
        <f t="shared" si="12"/>
        <v>100</v>
      </c>
      <c r="T34" s="705" t="s">
        <v>18</v>
      </c>
      <c r="U34" s="706">
        <f t="shared" si="13"/>
        <v>100</v>
      </c>
      <c r="V34" s="705" t="s">
        <v>18</v>
      </c>
      <c r="W34" s="706">
        <f t="shared" si="14"/>
        <v>100</v>
      </c>
      <c r="X34" s="1354"/>
      <c r="Y34" s="3668"/>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5"/>
      <c r="Q35" s="1351" t="str">
        <f t="shared" si="11"/>
        <v>建筑品质</v>
      </c>
      <c r="R35" s="705" t="s">
        <v>18</v>
      </c>
      <c r="S35" s="706">
        <f t="shared" si="12"/>
        <v>100</v>
      </c>
      <c r="T35" s="705" t="s">
        <v>18</v>
      </c>
      <c r="U35" s="706">
        <f t="shared" si="13"/>
        <v>100</v>
      </c>
      <c r="V35" s="705" t="s">
        <v>18</v>
      </c>
      <c r="W35" s="706">
        <f t="shared" si="14"/>
        <v>100</v>
      </c>
      <c r="X35" s="1354"/>
      <c r="Y35" s="3668"/>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5"/>
      <c r="Q36" s="1351" t="str">
        <f t="shared" si="11"/>
        <v>公共部分装修</v>
      </c>
      <c r="R36" s="705" t="s">
        <v>18</v>
      </c>
      <c r="S36" s="706">
        <f t="shared" si="12"/>
        <v>100</v>
      </c>
      <c r="T36" s="705" t="s">
        <v>18</v>
      </c>
      <c r="U36" s="706">
        <f t="shared" si="13"/>
        <v>100</v>
      </c>
      <c r="V36" s="705" t="s">
        <v>18</v>
      </c>
      <c r="W36" s="706">
        <f t="shared" si="14"/>
        <v>100</v>
      </c>
      <c r="X36" s="1354"/>
      <c r="Y36" s="3668"/>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5"/>
      <c r="Q37" s="1342"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5" t="s">
        <v>1693</v>
      </c>
      <c r="Q38" s="1351" t="str">
        <f t="shared" si="11"/>
        <v>物业管理</v>
      </c>
      <c r="R38" s="705" t="s">
        <v>18</v>
      </c>
      <c r="S38" s="706">
        <f t="shared" si="12"/>
        <v>100</v>
      </c>
      <c r="T38" s="705" t="s">
        <v>18</v>
      </c>
      <c r="U38" s="706">
        <f t="shared" si="13"/>
        <v>100</v>
      </c>
      <c r="V38" s="705" t="s">
        <v>18</v>
      </c>
      <c r="W38" s="706">
        <f t="shared" si="14"/>
        <v>100</v>
      </c>
      <c r="X38" s="1354"/>
      <c r="Y38" s="3668"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5"/>
      <c r="Q39" s="1351" t="str">
        <f t="shared" si="11"/>
        <v>市政基础设施</v>
      </c>
      <c r="R39" s="705" t="s">
        <v>18</v>
      </c>
      <c r="S39" s="706">
        <f t="shared" si="12"/>
        <v>100</v>
      </c>
      <c r="T39" s="705" t="s">
        <v>18</v>
      </c>
      <c r="U39" s="706">
        <f t="shared" si="13"/>
        <v>100</v>
      </c>
      <c r="V39" s="705" t="s">
        <v>18</v>
      </c>
      <c r="W39" s="706">
        <f t="shared" si="14"/>
        <v>100</v>
      </c>
      <c r="X39" s="1354"/>
      <c r="Y39" s="3668"/>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5"/>
      <c r="Q40" s="1351" t="str">
        <f t="shared" si="11"/>
        <v>房型</v>
      </c>
      <c r="R40" s="705" t="s">
        <v>18</v>
      </c>
      <c r="S40" s="706">
        <f t="shared" si="12"/>
        <v>100</v>
      </c>
      <c r="T40" s="705" t="s">
        <v>18</v>
      </c>
      <c r="U40" s="706">
        <f t="shared" si="13"/>
        <v>100</v>
      </c>
      <c r="V40" s="705" t="s">
        <v>18</v>
      </c>
      <c r="W40" s="706">
        <f t="shared" si="14"/>
        <v>100</v>
      </c>
      <c r="X40" s="1354"/>
      <c r="Y40" s="3668"/>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5"/>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5"/>
      <c r="Q42" s="1351" t="str">
        <f t="shared" si="11"/>
        <v>内部装修</v>
      </c>
      <c r="R42" s="705" t="s">
        <v>18</v>
      </c>
      <c r="S42" s="706">
        <f t="shared" si="12"/>
        <v>100</v>
      </c>
      <c r="T42" s="705" t="s">
        <v>18</v>
      </c>
      <c r="U42" s="706">
        <f t="shared" si="13"/>
        <v>100</v>
      </c>
      <c r="V42" s="705" t="s">
        <v>18</v>
      </c>
      <c r="W42" s="706">
        <f t="shared" si="14"/>
        <v>100</v>
      </c>
      <c r="X42" s="1354"/>
      <c r="Y42" s="3668"/>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5"/>
      <c r="Q43" s="1351" t="str">
        <f t="shared" si="11"/>
        <v>内部装修维护情况</v>
      </c>
      <c r="R43" s="705" t="s">
        <v>18</v>
      </c>
      <c r="S43" s="706">
        <f t="shared" si="12"/>
        <v>100</v>
      </c>
      <c r="T43" s="705" t="s">
        <v>18</v>
      </c>
      <c r="U43" s="706">
        <f t="shared" si="13"/>
        <v>100</v>
      </c>
      <c r="V43" s="705" t="s">
        <v>18</v>
      </c>
      <c r="W43" s="706">
        <f t="shared" si="14"/>
        <v>100</v>
      </c>
      <c r="X43" s="1354"/>
      <c r="Y43" s="366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5"/>
      <c r="Q44" s="1342">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5"/>
      <c r="Q45" s="1351">
        <f t="shared" si="11"/>
        <v>111</v>
      </c>
      <c r="R45" s="705" t="s">
        <v>18</v>
      </c>
      <c r="S45" s="706">
        <f t="shared" si="12"/>
        <v>100</v>
      </c>
      <c r="T45" s="705" t="s">
        <v>18</v>
      </c>
      <c r="U45" s="706">
        <f t="shared" si="13"/>
        <v>100</v>
      </c>
      <c r="V45" s="705" t="s">
        <v>18</v>
      </c>
      <c r="W45" s="706">
        <f t="shared" si="14"/>
        <v>100</v>
      </c>
      <c r="X45" s="1354"/>
      <c r="Y45" s="366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6"/>
      <c r="Q46" s="1351">
        <f t="shared" si="11"/>
        <v>111</v>
      </c>
      <c r="R46" s="705" t="s">
        <v>17</v>
      </c>
      <c r="S46" s="706">
        <f t="shared" si="12"/>
        <v>100</v>
      </c>
      <c r="T46" s="705" t="s">
        <v>17</v>
      </c>
      <c r="U46" s="706">
        <f t="shared" si="13"/>
        <v>100</v>
      </c>
      <c r="V46" s="705" t="s">
        <v>17</v>
      </c>
      <c r="W46" s="706">
        <f t="shared" si="14"/>
        <v>100</v>
      </c>
      <c r="X46" s="1354"/>
      <c r="Y46" s="3737"/>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3"/>
      <c r="M47" s="2724"/>
      <c r="N47" s="2715"/>
      <c r="O47" s="2724"/>
      <c r="P47" s="3660" t="str">
        <f>A47</f>
        <v>成交单价（元/平方米）</v>
      </c>
      <c r="Q47" s="3660"/>
      <c r="R47" s="3733">
        <f>E47</f>
        <v>0</v>
      </c>
      <c r="S47" s="3733"/>
      <c r="T47" s="3733">
        <f>G47</f>
        <v>0</v>
      </c>
      <c r="U47" s="3733"/>
      <c r="V47" s="3733">
        <f>I47</f>
        <v>0</v>
      </c>
      <c r="W47" s="3733"/>
      <c r="X47" s="690"/>
      <c r="Y47" s="712"/>
      <c r="Z47" s="690"/>
      <c r="AA47" s="690"/>
      <c r="AB47" s="690"/>
      <c r="AC47" s="690"/>
    </row>
    <row r="48" spans="1:29" ht="15.75" thickBot="1">
      <c r="A48" s="437" t="s">
        <v>1706</v>
      </c>
      <c r="B48" s="438"/>
      <c r="C48" s="1160" t="e">
        <f>R49</f>
        <v>#DIV/0!</v>
      </c>
      <c r="D48" s="2316" t="s">
        <v>2134</v>
      </c>
      <c r="E48" s="1161" t="e">
        <f>R48</f>
        <v>#DIV/0!</v>
      </c>
      <c r="F48" s="2317"/>
      <c r="G48" s="1160" t="e">
        <f>T48</f>
        <v>#DIV/0!</v>
      </c>
      <c r="H48" s="2317"/>
      <c r="I48" s="1161" t="e">
        <f>V48</f>
        <v>#DIV/0!</v>
      </c>
      <c r="J48" s="2317"/>
      <c r="K48" s="2318">
        <f>F48+H48+J48</f>
        <v>0</v>
      </c>
      <c r="L48" s="2723"/>
      <c r="M48" s="2724"/>
      <c r="N48" s="2724"/>
      <c r="O48" s="2724"/>
      <c r="P48" s="3660" t="str">
        <f>A48</f>
        <v>比较价值（元/平方米）</v>
      </c>
      <c r="Q48" s="3660"/>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3"/>
      <c r="M49" s="2724"/>
      <c r="N49" s="2724"/>
      <c r="O49" s="2724"/>
      <c r="P49" s="3657" t="str">
        <f>A49</f>
        <v>估价对象XX用房的比较价值（楼面单价，元/平方米）</v>
      </c>
      <c r="Q49" s="3658"/>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58700.09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64" t="s">
        <v>1769</v>
      </c>
      <c r="AC4" s="3669" t="s">
        <v>1770</v>
      </c>
    </row>
    <row r="5" spans="1:29" ht="15">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64"/>
      <c r="AC5" s="3670"/>
    </row>
    <row r="6" spans="1:29" ht="15.7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64"/>
      <c r="AC6" s="3671"/>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8" t="s">
        <v>1688</v>
      </c>
      <c r="Q15" s="1351" t="str">
        <f t="shared" si="6"/>
        <v>商业繁华度</v>
      </c>
      <c r="R15" s="705" t="s">
        <v>14</v>
      </c>
      <c r="S15" s="706">
        <f t="shared" si="0"/>
        <v>100</v>
      </c>
      <c r="T15" s="705" t="s">
        <v>14</v>
      </c>
      <c r="U15" s="706">
        <f t="shared" si="1"/>
        <v>100</v>
      </c>
      <c r="V15" s="705" t="s">
        <v>14</v>
      </c>
      <c r="W15" s="706">
        <f t="shared" si="2"/>
        <v>100</v>
      </c>
      <c r="X15" s="1354"/>
      <c r="Y15" s="3665"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9"/>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9"/>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9"/>
      <c r="Q18" s="1351"/>
      <c r="R18" s="705"/>
      <c r="S18" s="706"/>
      <c r="T18" s="705"/>
      <c r="U18" s="706"/>
      <c r="V18" s="705"/>
      <c r="W18" s="706"/>
      <c r="X18" s="1354"/>
      <c r="Y18" s="3666"/>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9"/>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9"/>
      <c r="Q20" s="1351"/>
      <c r="R20" s="705"/>
      <c r="S20" s="706"/>
      <c r="T20" s="705"/>
      <c r="U20" s="706"/>
      <c r="V20" s="705"/>
      <c r="W20" s="706"/>
      <c r="X20" s="1354"/>
      <c r="Y20" s="3666"/>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9"/>
      <c r="Q22" s="1351"/>
      <c r="R22" s="705"/>
      <c r="S22" s="706"/>
      <c r="T22" s="705"/>
      <c r="U22" s="706"/>
      <c r="V22" s="705"/>
      <c r="W22" s="706"/>
      <c r="X22" s="1354"/>
      <c r="Y22" s="366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9"/>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9"/>
      <c r="Q24" s="1351"/>
      <c r="R24" s="705"/>
      <c r="S24" s="706"/>
      <c r="T24" s="705"/>
      <c r="U24" s="706"/>
      <c r="V24" s="705"/>
      <c r="W24" s="706"/>
      <c r="X24" s="1354"/>
      <c r="Y24" s="3666"/>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9"/>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9"/>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9"/>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4" t="s">
        <v>1693</v>
      </c>
      <c r="Q32" s="1351" t="str">
        <f t="shared" si="11"/>
        <v>商业类型</v>
      </c>
      <c r="R32" s="705" t="s">
        <v>14</v>
      </c>
      <c r="S32" s="706">
        <f t="shared" si="12"/>
        <v>100</v>
      </c>
      <c r="T32" s="705" t="s">
        <v>14</v>
      </c>
      <c r="U32" s="706">
        <f t="shared" si="13"/>
        <v>100</v>
      </c>
      <c r="V32" s="705" t="s">
        <v>14</v>
      </c>
      <c r="W32" s="706">
        <f t="shared" si="14"/>
        <v>100</v>
      </c>
      <c r="X32" s="1354"/>
      <c r="Y32" s="3668"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5"/>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5"/>
      <c r="Q34" s="1351" t="str">
        <f t="shared" si="11"/>
        <v>建筑结构</v>
      </c>
      <c r="R34" s="705" t="s">
        <v>14</v>
      </c>
      <c r="S34" s="706">
        <f t="shared" si="12"/>
        <v>100</v>
      </c>
      <c r="T34" s="705" t="s">
        <v>14</v>
      </c>
      <c r="U34" s="706">
        <f t="shared" si="13"/>
        <v>100</v>
      </c>
      <c r="V34" s="705" t="s">
        <v>14</v>
      </c>
      <c r="W34" s="706">
        <f t="shared" si="14"/>
        <v>100</v>
      </c>
      <c r="X34" s="1354"/>
      <c r="Y34" s="3668"/>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5"/>
      <c r="Q35" s="1351" t="str">
        <f t="shared" si="11"/>
        <v>公共部分装修</v>
      </c>
      <c r="R35" s="705" t="s">
        <v>14</v>
      </c>
      <c r="S35" s="706">
        <f t="shared" si="12"/>
        <v>100</v>
      </c>
      <c r="T35" s="705" t="s">
        <v>14</v>
      </c>
      <c r="U35" s="706">
        <f t="shared" si="13"/>
        <v>100</v>
      </c>
      <c r="V35" s="705" t="s">
        <v>14</v>
      </c>
      <c r="W35" s="706">
        <f t="shared" si="14"/>
        <v>100</v>
      </c>
      <c r="X35" s="1354"/>
      <c r="Y35" s="3668"/>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5"/>
      <c r="Q36" s="1351" t="str">
        <f t="shared" si="11"/>
        <v>成新度</v>
      </c>
      <c r="R36" s="705" t="s">
        <v>14</v>
      </c>
      <c r="S36" s="706" t="e">
        <f t="shared" si="12"/>
        <v>#N/A</v>
      </c>
      <c r="T36" s="705" t="s">
        <v>14</v>
      </c>
      <c r="U36" s="706" t="e">
        <f t="shared" si="13"/>
        <v>#N/A</v>
      </c>
      <c r="V36" s="705" t="s">
        <v>14</v>
      </c>
      <c r="W36" s="706" t="e">
        <f t="shared" si="14"/>
        <v>#N/A</v>
      </c>
      <c r="X36" s="1354"/>
      <c r="Y36" s="3668"/>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5"/>
      <c r="Q37" s="1342"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5" t="s">
        <v>1693</v>
      </c>
      <c r="Q38" s="1351" t="str">
        <f t="shared" si="11"/>
        <v>业态</v>
      </c>
      <c r="R38" s="705" t="s">
        <v>14</v>
      </c>
      <c r="S38" s="706">
        <f t="shared" si="12"/>
        <v>100</v>
      </c>
      <c r="T38" s="705" t="s">
        <v>14</v>
      </c>
      <c r="U38" s="706">
        <f t="shared" si="13"/>
        <v>100</v>
      </c>
      <c r="V38" s="705" t="s">
        <v>14</v>
      </c>
      <c r="W38" s="706">
        <f t="shared" si="14"/>
        <v>100</v>
      </c>
      <c r="X38" s="1354"/>
      <c r="Y38" s="3668"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5"/>
      <c r="Q39" s="1351" t="str">
        <f t="shared" si="11"/>
        <v>层高</v>
      </c>
      <c r="R39" s="705" t="s">
        <v>14</v>
      </c>
      <c r="S39" s="706">
        <f t="shared" si="12"/>
        <v>100</v>
      </c>
      <c r="T39" s="705" t="s">
        <v>14</v>
      </c>
      <c r="U39" s="706">
        <f t="shared" si="13"/>
        <v>100</v>
      </c>
      <c r="V39" s="705" t="s">
        <v>14</v>
      </c>
      <c r="W39" s="706">
        <f t="shared" si="14"/>
        <v>100</v>
      </c>
      <c r="X39" s="1354"/>
      <c r="Y39" s="3668"/>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5"/>
      <c r="Q40" s="1351" t="str">
        <f t="shared" si="11"/>
        <v>单套建筑面积</v>
      </c>
      <c r="R40" s="705" t="s">
        <v>14</v>
      </c>
      <c r="S40" s="706">
        <f t="shared" si="12"/>
        <v>100</v>
      </c>
      <c r="T40" s="705" t="s">
        <v>14</v>
      </c>
      <c r="U40" s="706">
        <f t="shared" si="13"/>
        <v>100</v>
      </c>
      <c r="V40" s="705" t="s">
        <v>14</v>
      </c>
      <c r="W40" s="706">
        <f t="shared" si="14"/>
        <v>100</v>
      </c>
      <c r="X40" s="1354"/>
      <c r="Y40" s="3668"/>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5"/>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5"/>
      <c r="Q42" s="1351" t="str">
        <f t="shared" si="11"/>
        <v>内部装修</v>
      </c>
      <c r="R42" s="705" t="s">
        <v>14</v>
      </c>
      <c r="S42" s="706">
        <f t="shared" si="12"/>
        <v>100</v>
      </c>
      <c r="T42" s="705" t="s">
        <v>14</v>
      </c>
      <c r="U42" s="706">
        <f t="shared" si="13"/>
        <v>100</v>
      </c>
      <c r="V42" s="705" t="s">
        <v>14</v>
      </c>
      <c r="W42" s="706">
        <f t="shared" si="14"/>
        <v>100</v>
      </c>
      <c r="X42" s="1354"/>
      <c r="Y42" s="3668"/>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5"/>
      <c r="Q43" s="1351" t="str">
        <f t="shared" si="11"/>
        <v>内部装修维护情况</v>
      </c>
      <c r="R43" s="705" t="s">
        <v>14</v>
      </c>
      <c r="S43" s="706">
        <f t="shared" si="12"/>
        <v>100</v>
      </c>
      <c r="T43" s="705" t="s">
        <v>14</v>
      </c>
      <c r="U43" s="706">
        <f t="shared" si="13"/>
        <v>100</v>
      </c>
      <c r="V43" s="705" t="s">
        <v>14</v>
      </c>
      <c r="W43" s="706">
        <f t="shared" si="14"/>
        <v>100</v>
      </c>
      <c r="X43" s="1354"/>
      <c r="Y43" s="366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5"/>
      <c r="Q44" s="1342">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5"/>
      <c r="Q45" s="1351">
        <f t="shared" si="11"/>
        <v>111</v>
      </c>
      <c r="R45" s="705" t="s">
        <v>14</v>
      </c>
      <c r="S45" s="706">
        <f t="shared" si="12"/>
        <v>100</v>
      </c>
      <c r="T45" s="705" t="s">
        <v>14</v>
      </c>
      <c r="U45" s="706">
        <f t="shared" si="13"/>
        <v>100</v>
      </c>
      <c r="V45" s="705" t="s">
        <v>14</v>
      </c>
      <c r="W45" s="706">
        <f t="shared" si="14"/>
        <v>100</v>
      </c>
      <c r="X45" s="1354"/>
      <c r="Y45" s="366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6"/>
      <c r="Q46" s="1351">
        <f t="shared" si="11"/>
        <v>111</v>
      </c>
      <c r="R46" s="705" t="s">
        <v>14</v>
      </c>
      <c r="S46" s="706">
        <f t="shared" si="12"/>
        <v>100</v>
      </c>
      <c r="T46" s="705" t="s">
        <v>14</v>
      </c>
      <c r="U46" s="706">
        <f t="shared" si="13"/>
        <v>100</v>
      </c>
      <c r="V46" s="705" t="s">
        <v>14</v>
      </c>
      <c r="W46" s="706">
        <f t="shared" si="14"/>
        <v>100</v>
      </c>
      <c r="X46" s="1354"/>
      <c r="Y46" s="3737"/>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3"/>
      <c r="M47" s="2724"/>
      <c r="N47" s="2715"/>
      <c r="O47" s="2724"/>
      <c r="P47" s="3660" t="str">
        <f>A47</f>
        <v>成交单价（元/平方米）</v>
      </c>
      <c r="Q47" s="3660"/>
      <c r="R47" s="3664">
        <f>E47</f>
        <v>0</v>
      </c>
      <c r="S47" s="3664"/>
      <c r="T47" s="3664">
        <f>G47</f>
        <v>0</v>
      </c>
      <c r="U47" s="3664"/>
      <c r="V47" s="3664">
        <f>I47</f>
        <v>0</v>
      </c>
      <c r="W47" s="3664"/>
      <c r="X47" s="690"/>
      <c r="Y47" s="712"/>
      <c r="Z47" s="690"/>
      <c r="AA47" s="690"/>
      <c r="AB47" s="690"/>
      <c r="AC47" s="690"/>
    </row>
    <row r="48" spans="1:29" ht="15.75" thickBot="1">
      <c r="A48" s="437" t="s">
        <v>1790</v>
      </c>
      <c r="B48" s="438"/>
      <c r="C48" s="1160" t="e">
        <f>R49</f>
        <v>#DIV/0!</v>
      </c>
      <c r="D48" s="2316" t="s">
        <v>2134</v>
      </c>
      <c r="E48" s="1161" t="e">
        <f>R48</f>
        <v>#DIV/0!</v>
      </c>
      <c r="F48" s="2317"/>
      <c r="G48" s="1160" t="e">
        <f>T48</f>
        <v>#DIV/0!</v>
      </c>
      <c r="H48" s="2317"/>
      <c r="I48" s="1161" t="e">
        <f>V48</f>
        <v>#DIV/0!</v>
      </c>
      <c r="J48" s="2317"/>
      <c r="K48" s="2319">
        <f>F48+H48+J48</f>
        <v>0</v>
      </c>
      <c r="L48" s="2723"/>
      <c r="M48" s="2724"/>
      <c r="N48" s="2715"/>
      <c r="O48" s="2724"/>
      <c r="P48" s="3660" t="str">
        <f>A48</f>
        <v>比较价值（元/平方米）</v>
      </c>
      <c r="Q48" s="3660"/>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657" t="str">
        <f>A49</f>
        <v>估价对象XX用房的比较价值（楼面单价，元/平方米）</v>
      </c>
      <c r="Q49" s="3658"/>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估价对象为北京市房地产，为所有。根据《国有土地使用证》[]，估价对象（分摊）出让国有建设用地使用权面积为32779.72平方米，建筑面积为58700.09平方米。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估价对象为北京市房地产,为开发建设的，该项目尚在开发建设中。根据《国有土地使用证》[]，估价对象（分摊）出让国有建设用地使用权面积为32779.72平方米，规划建筑面积为58700.09平方米。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58700.09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672" t="s">
        <v>1767</v>
      </c>
      <c r="D4" s="3673"/>
      <c r="E4" s="3674" t="s">
        <v>1768</v>
      </c>
      <c r="F4" s="3675"/>
      <c r="G4" s="3672" t="s">
        <v>1769</v>
      </c>
      <c r="H4" s="3673"/>
      <c r="I4" s="3672" t="s">
        <v>1770</v>
      </c>
      <c r="J4" s="3673"/>
      <c r="K4" s="559" t="s">
        <v>1771</v>
      </c>
      <c r="L4" s="2714"/>
      <c r="M4" s="2715"/>
      <c r="N4" s="2715"/>
      <c r="O4" s="2715"/>
      <c r="P4" s="3746" t="s">
        <v>1772</v>
      </c>
      <c r="Q4" s="3747"/>
      <c r="R4" s="3741" t="s">
        <v>1768</v>
      </c>
      <c r="S4" s="3742"/>
      <c r="T4" s="3741" t="s">
        <v>1769</v>
      </c>
      <c r="U4" s="3742"/>
      <c r="V4" s="3750" t="s">
        <v>1770</v>
      </c>
      <c r="W4" s="3750"/>
      <c r="X4" s="1957"/>
      <c r="Y4" s="3741" t="s">
        <v>1772</v>
      </c>
      <c r="Z4" s="3742"/>
      <c r="AA4" s="3740" t="s">
        <v>1768</v>
      </c>
      <c r="AB4" s="3740" t="s">
        <v>1769</v>
      </c>
      <c r="AC4" s="3743" t="s">
        <v>1770</v>
      </c>
    </row>
    <row r="5" spans="1:29" ht="15">
      <c r="A5" s="358"/>
      <c r="B5" s="359"/>
      <c r="C5" s="3690" t="s">
        <v>1670</v>
      </c>
      <c r="D5" s="3691"/>
      <c r="E5" s="3682" t="s">
        <v>1671</v>
      </c>
      <c r="F5" s="3683"/>
      <c r="G5" s="3690" t="s">
        <v>1672</v>
      </c>
      <c r="H5" s="3691"/>
      <c r="I5" s="3690" t="s">
        <v>1673</v>
      </c>
      <c r="J5" s="3691"/>
      <c r="K5" s="559"/>
      <c r="L5" s="2714"/>
      <c r="M5" s="2715"/>
      <c r="N5" s="2715"/>
      <c r="O5" s="2715"/>
      <c r="P5" s="3748"/>
      <c r="Q5" s="3679"/>
      <c r="R5" s="3688"/>
      <c r="S5" s="3689"/>
      <c r="T5" s="3688"/>
      <c r="U5" s="3689"/>
      <c r="V5" s="3664"/>
      <c r="W5" s="3664"/>
      <c r="X5" s="1354"/>
      <c r="Y5" s="3688"/>
      <c r="Z5" s="3689"/>
      <c r="AA5" s="3670"/>
      <c r="AB5" s="3670"/>
      <c r="AC5" s="3744"/>
    </row>
    <row r="6" spans="1:29" ht="15.75" thickBot="1">
      <c r="A6" s="360"/>
      <c r="B6" s="361"/>
      <c r="C6" s="3728" t="s">
        <v>1674</v>
      </c>
      <c r="D6" s="3729"/>
      <c r="E6" s="3730" t="s">
        <v>1674</v>
      </c>
      <c r="F6" s="3731"/>
      <c r="G6" s="3728" t="s">
        <v>1674</v>
      </c>
      <c r="H6" s="3729"/>
      <c r="I6" s="3728" t="s">
        <v>1674</v>
      </c>
      <c r="J6" s="3729"/>
      <c r="K6" s="559" t="s">
        <v>1675</v>
      </c>
      <c r="L6" s="2714"/>
      <c r="M6" s="2715"/>
      <c r="N6" s="2715"/>
      <c r="O6" s="2715"/>
      <c r="P6" s="3749"/>
      <c r="Q6" s="3681"/>
      <c r="R6" s="3688"/>
      <c r="S6" s="3689"/>
      <c r="T6" s="3697"/>
      <c r="U6" s="3698"/>
      <c r="V6" s="3664"/>
      <c r="W6" s="3664"/>
      <c r="X6" s="1354"/>
      <c r="Y6" s="3697"/>
      <c r="Z6" s="3698"/>
      <c r="AA6" s="3671"/>
      <c r="AB6" s="3671"/>
      <c r="AC6" s="3745"/>
    </row>
    <row r="7" spans="1:29" s="108" customFormat="1" ht="15.75" thickBot="1">
      <c r="A7" s="362" t="s">
        <v>1676</v>
      </c>
      <c r="B7" s="363"/>
      <c r="C7" s="364">
        <f>'数据-取费表'!B2</f>
        <v>45112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1"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1958"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1" t="s">
        <v>1680</v>
      </c>
      <c r="Q8" s="3663"/>
      <c r="R8" s="701" t="s">
        <v>14</v>
      </c>
      <c r="S8" s="702">
        <f t="shared" si="0"/>
        <v>100</v>
      </c>
      <c r="T8" s="701" t="s">
        <v>14</v>
      </c>
      <c r="U8" s="702">
        <f t="shared" si="1"/>
        <v>100</v>
      </c>
      <c r="V8" s="701" t="s">
        <v>14</v>
      </c>
      <c r="W8" s="702">
        <f t="shared" si="2"/>
        <v>100</v>
      </c>
      <c r="X8" s="703"/>
      <c r="Y8" s="3662" t="s">
        <v>1680</v>
      </c>
      <c r="Z8" s="3663"/>
      <c r="AA8" s="704">
        <f t="shared" ref="AA8:AA47" si="3">D8/F8</f>
        <v>1</v>
      </c>
      <c r="AB8" s="704">
        <f t="shared" ref="AB8:AB47" si="4">D8/H8</f>
        <v>1</v>
      </c>
      <c r="AC8" s="1958">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1688</v>
      </c>
      <c r="Q15" s="1351" t="str">
        <f t="shared" si="6"/>
        <v>办公集聚程度</v>
      </c>
      <c r="R15" s="705" t="s">
        <v>14</v>
      </c>
      <c r="S15" s="706">
        <f t="shared" si="0"/>
        <v>100</v>
      </c>
      <c r="T15" s="705" t="s">
        <v>14</v>
      </c>
      <c r="U15" s="706">
        <f t="shared" si="1"/>
        <v>100</v>
      </c>
      <c r="V15" s="705" t="s">
        <v>14</v>
      </c>
      <c r="W15" s="706">
        <f t="shared" si="2"/>
        <v>100</v>
      </c>
      <c r="X15" s="1354"/>
      <c r="Y15" s="3665" t="s">
        <v>1688</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9"/>
      <c r="Q16" s="1351"/>
      <c r="R16" s="705"/>
      <c r="S16" s="706"/>
      <c r="T16" s="705"/>
      <c r="U16" s="706"/>
      <c r="V16" s="705"/>
      <c r="W16" s="706"/>
      <c r="X16" s="1354"/>
      <c r="Y16" s="366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9"/>
      <c r="Q18" s="1351"/>
      <c r="R18" s="705"/>
      <c r="S18" s="706"/>
      <c r="T18" s="705"/>
      <c r="U18" s="706"/>
      <c r="V18" s="705"/>
      <c r="W18" s="706"/>
      <c r="X18" s="1354"/>
      <c r="Y18" s="3666"/>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9"/>
      <c r="Q20" s="1351"/>
      <c r="R20" s="705"/>
      <c r="S20" s="706"/>
      <c r="T20" s="705"/>
      <c r="U20" s="706"/>
      <c r="V20" s="705"/>
      <c r="W20" s="706"/>
      <c r="X20" s="1354"/>
      <c r="Y20" s="3666"/>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9"/>
      <c r="Q22" s="1351"/>
      <c r="R22" s="705"/>
      <c r="S22" s="706"/>
      <c r="T22" s="705"/>
      <c r="U22" s="706"/>
      <c r="V22" s="705"/>
      <c r="W22" s="706"/>
      <c r="X22" s="1354"/>
      <c r="Y22" s="3666"/>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9"/>
      <c r="Q24" s="1351"/>
      <c r="R24" s="705"/>
      <c r="S24" s="706"/>
      <c r="T24" s="705"/>
      <c r="U24" s="706"/>
      <c r="V24" s="705"/>
      <c r="W24" s="706"/>
      <c r="X24" s="1354"/>
      <c r="Y24" s="3666"/>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9"/>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9"/>
      <c r="Q26" s="1351"/>
      <c r="R26" s="705"/>
      <c r="S26" s="706"/>
      <c r="T26" s="705"/>
      <c r="U26" s="706"/>
      <c r="V26" s="705"/>
      <c r="W26" s="706"/>
      <c r="X26" s="1354"/>
      <c r="Y26" s="3666"/>
      <c r="Z26" s="1355"/>
      <c r="AA26" s="1352">
        <v>1</v>
      </c>
      <c r="AB26" s="1352">
        <v>1</v>
      </c>
      <c r="AC26" s="1961">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9"/>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9"/>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9"/>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9"/>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9"/>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1691</v>
      </c>
      <c r="B33" s="63" t="s">
        <v>1814</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4" t="s">
        <v>1693</v>
      </c>
      <c r="Q33" s="1351" t="str">
        <f t="shared" si="11"/>
        <v>建筑类型</v>
      </c>
      <c r="R33" s="705" t="s">
        <v>14</v>
      </c>
      <c r="S33" s="706">
        <f t="shared" si="12"/>
        <v>100</v>
      </c>
      <c r="T33" s="705" t="s">
        <v>14</v>
      </c>
      <c r="U33" s="706">
        <f t="shared" si="13"/>
        <v>100</v>
      </c>
      <c r="V33" s="705" t="s">
        <v>14</v>
      </c>
      <c r="W33" s="706">
        <f t="shared" si="14"/>
        <v>100</v>
      </c>
      <c r="X33" s="1354"/>
      <c r="Y33" s="3668" t="s">
        <v>1693</v>
      </c>
      <c r="Z33" s="1355" t="str">
        <f t="shared" si="15"/>
        <v>建筑类型</v>
      </c>
      <c r="AA33" s="1352">
        <f t="shared" si="3"/>
        <v>1</v>
      </c>
      <c r="AB33" s="1352">
        <f t="shared" si="4"/>
        <v>1</v>
      </c>
      <c r="AC33" s="1961">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5"/>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52" t="e">
        <f t="shared" si="3"/>
        <v>#N/A</v>
      </c>
      <c r="AB34" s="1352" t="e">
        <f t="shared" si="4"/>
        <v>#N/A</v>
      </c>
      <c r="AC34" s="1961"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5"/>
      <c r="Q35" s="1351" t="str">
        <f t="shared" si="11"/>
        <v>建筑结构</v>
      </c>
      <c r="R35" s="705" t="s">
        <v>14</v>
      </c>
      <c r="S35" s="706">
        <f t="shared" si="12"/>
        <v>100</v>
      </c>
      <c r="T35" s="705" t="s">
        <v>14</v>
      </c>
      <c r="U35" s="706">
        <f t="shared" si="13"/>
        <v>100</v>
      </c>
      <c r="V35" s="705" t="s">
        <v>14</v>
      </c>
      <c r="W35" s="706">
        <f t="shared" si="14"/>
        <v>100</v>
      </c>
      <c r="X35" s="1354"/>
      <c r="Y35" s="3668"/>
      <c r="Z35" s="1355" t="str">
        <f t="shared" si="15"/>
        <v>建筑结构</v>
      </c>
      <c r="AA35" s="1352">
        <f t="shared" si="3"/>
        <v>1</v>
      </c>
      <c r="AB35" s="1352">
        <f t="shared" si="4"/>
        <v>1</v>
      </c>
      <c r="AC35" s="1961">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5"/>
      <c r="Q36" s="1351" t="str">
        <f t="shared" si="11"/>
        <v>公共部分装修</v>
      </c>
      <c r="R36" s="705" t="s">
        <v>14</v>
      </c>
      <c r="S36" s="706">
        <f t="shared" si="12"/>
        <v>100</v>
      </c>
      <c r="T36" s="705" t="s">
        <v>14</v>
      </c>
      <c r="U36" s="706">
        <f t="shared" si="13"/>
        <v>100</v>
      </c>
      <c r="V36" s="705" t="s">
        <v>14</v>
      </c>
      <c r="W36" s="706">
        <f t="shared" si="14"/>
        <v>100</v>
      </c>
      <c r="X36" s="1354"/>
      <c r="Y36" s="3668"/>
      <c r="Z36" s="1355" t="str">
        <f t="shared" si="15"/>
        <v>公共部分装修</v>
      </c>
      <c r="AA36" s="1352">
        <f t="shared" si="3"/>
        <v>1</v>
      </c>
      <c r="AB36" s="1352">
        <f t="shared" si="4"/>
        <v>1</v>
      </c>
      <c r="AC36" s="1961">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5"/>
      <c r="Q37" s="1351" t="str">
        <f t="shared" si="11"/>
        <v>成新度</v>
      </c>
      <c r="R37" s="705" t="s">
        <v>14</v>
      </c>
      <c r="S37" s="706" t="e">
        <f t="shared" si="12"/>
        <v>#N/A</v>
      </c>
      <c r="T37" s="705" t="s">
        <v>14</v>
      </c>
      <c r="U37" s="706" t="e">
        <f t="shared" si="13"/>
        <v>#N/A</v>
      </c>
      <c r="V37" s="705" t="s">
        <v>14</v>
      </c>
      <c r="W37" s="706" t="e">
        <f t="shared" si="14"/>
        <v>#N/A</v>
      </c>
      <c r="X37" s="1354"/>
      <c r="Y37" s="3668"/>
      <c r="Z37" s="1355" t="str">
        <f t="shared" si="15"/>
        <v>成新度</v>
      </c>
      <c r="AA37" s="1352" t="e">
        <f t="shared" si="3"/>
        <v>#N/A</v>
      </c>
      <c r="AB37" s="1352" t="e">
        <f t="shared" si="4"/>
        <v>#N/A</v>
      </c>
      <c r="AC37" s="1961"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5"/>
      <c r="Q38" s="1342"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8">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5" t="s">
        <v>1693</v>
      </c>
      <c r="Q39" s="1351" t="str">
        <f t="shared" si="11"/>
        <v>物业管理</v>
      </c>
      <c r="R39" s="705" t="s">
        <v>14</v>
      </c>
      <c r="S39" s="706">
        <f t="shared" si="12"/>
        <v>100</v>
      </c>
      <c r="T39" s="705" t="s">
        <v>14</v>
      </c>
      <c r="U39" s="706">
        <f t="shared" si="13"/>
        <v>100</v>
      </c>
      <c r="V39" s="705" t="s">
        <v>14</v>
      </c>
      <c r="W39" s="706">
        <f t="shared" si="14"/>
        <v>100</v>
      </c>
      <c r="X39" s="1354"/>
      <c r="Y39" s="3668" t="s">
        <v>1693</v>
      </c>
      <c r="Z39" s="1355" t="str">
        <f t="shared" si="15"/>
        <v>物业管理</v>
      </c>
      <c r="AA39" s="1352">
        <f t="shared" si="3"/>
        <v>1</v>
      </c>
      <c r="AB39" s="1352">
        <f t="shared" si="4"/>
        <v>1</v>
      </c>
      <c r="AC39" s="1961">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5"/>
      <c r="Q40" s="1351" t="str">
        <f t="shared" si="11"/>
        <v>市政基础设施</v>
      </c>
      <c r="R40" s="705" t="s">
        <v>14</v>
      </c>
      <c r="S40" s="706">
        <f t="shared" si="12"/>
        <v>100</v>
      </c>
      <c r="T40" s="705" t="s">
        <v>14</v>
      </c>
      <c r="U40" s="706">
        <f t="shared" si="13"/>
        <v>100</v>
      </c>
      <c r="V40" s="705" t="s">
        <v>14</v>
      </c>
      <c r="W40" s="706">
        <f t="shared" si="14"/>
        <v>100</v>
      </c>
      <c r="X40" s="1354"/>
      <c r="Y40" s="3668"/>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5"/>
      <c r="Q41" s="1351" t="str">
        <f t="shared" si="11"/>
        <v>层高</v>
      </c>
      <c r="R41" s="705" t="s">
        <v>14</v>
      </c>
      <c r="S41" s="706">
        <f t="shared" si="12"/>
        <v>100</v>
      </c>
      <c r="T41" s="705" t="s">
        <v>14</v>
      </c>
      <c r="U41" s="706">
        <f t="shared" si="13"/>
        <v>100</v>
      </c>
      <c r="V41" s="705" t="s">
        <v>14</v>
      </c>
      <c r="W41" s="706">
        <f t="shared" si="14"/>
        <v>100</v>
      </c>
      <c r="X41" s="1354"/>
      <c r="Y41" s="3668"/>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5"/>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2">
        <f t="shared" si="3"/>
        <v>1</v>
      </c>
      <c r="AB42" s="1352">
        <f t="shared" si="4"/>
        <v>1</v>
      </c>
      <c r="AC42" s="1961">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5"/>
      <c r="Q43" s="1351" t="str">
        <f t="shared" si="11"/>
        <v>内部装修</v>
      </c>
      <c r="R43" s="705" t="s">
        <v>14</v>
      </c>
      <c r="S43" s="706">
        <f t="shared" si="12"/>
        <v>100</v>
      </c>
      <c r="T43" s="705" t="s">
        <v>14</v>
      </c>
      <c r="U43" s="706">
        <f t="shared" si="13"/>
        <v>100</v>
      </c>
      <c r="V43" s="705" t="s">
        <v>14</v>
      </c>
      <c r="W43" s="706">
        <f t="shared" si="14"/>
        <v>100</v>
      </c>
      <c r="X43" s="1354"/>
      <c r="Y43" s="3668"/>
      <c r="Z43" s="1355" t="str">
        <f t="shared" si="15"/>
        <v>内部装修</v>
      </c>
      <c r="AA43" s="1352">
        <f t="shared" si="3"/>
        <v>1</v>
      </c>
      <c r="AB43" s="1352">
        <f t="shared" si="4"/>
        <v>1</v>
      </c>
      <c r="AC43" s="1961">
        <f t="shared" si="5"/>
        <v>1</v>
      </c>
    </row>
    <row r="44" spans="1:29" ht="15">
      <c r="A44" s="423"/>
      <c r="B44" s="375" t="s">
        <v>1704</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5"/>
      <c r="Q44" s="1351" t="str">
        <f t="shared" si="11"/>
        <v>内部装修维护情况</v>
      </c>
      <c r="R44" s="705" t="s">
        <v>14</v>
      </c>
      <c r="S44" s="706">
        <f t="shared" si="12"/>
        <v>100</v>
      </c>
      <c r="T44" s="705" t="s">
        <v>14</v>
      </c>
      <c r="U44" s="706">
        <f t="shared" si="13"/>
        <v>100</v>
      </c>
      <c r="V44" s="705" t="s">
        <v>14</v>
      </c>
      <c r="W44" s="706">
        <f t="shared" si="14"/>
        <v>100</v>
      </c>
      <c r="X44" s="1354"/>
      <c r="Y44" s="366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5"/>
      <c r="Q45" s="1342">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5"/>
      <c r="Q46" s="1351">
        <f t="shared" si="11"/>
        <v>111</v>
      </c>
      <c r="R46" s="705" t="s">
        <v>14</v>
      </c>
      <c r="S46" s="706">
        <f t="shared" si="12"/>
        <v>100</v>
      </c>
      <c r="T46" s="705" t="s">
        <v>14</v>
      </c>
      <c r="U46" s="706">
        <f t="shared" si="13"/>
        <v>100</v>
      </c>
      <c r="V46" s="705" t="s">
        <v>14</v>
      </c>
      <c r="W46" s="706">
        <f t="shared" si="14"/>
        <v>100</v>
      </c>
      <c r="X46" s="1354"/>
      <c r="Y46" s="366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6"/>
      <c r="Q47" s="1351">
        <f t="shared" si="11"/>
        <v>111</v>
      </c>
      <c r="R47" s="705" t="s">
        <v>14</v>
      </c>
      <c r="S47" s="706">
        <f t="shared" si="12"/>
        <v>100</v>
      </c>
      <c r="T47" s="705" t="s">
        <v>14</v>
      </c>
      <c r="U47" s="706">
        <f t="shared" si="13"/>
        <v>100</v>
      </c>
      <c r="V47" s="705" t="s">
        <v>14</v>
      </c>
      <c r="W47" s="706">
        <f t="shared" si="14"/>
        <v>100</v>
      </c>
      <c r="X47" s="1354"/>
      <c r="Y47" s="3737"/>
      <c r="Z47" s="1355">
        <f t="shared" si="15"/>
        <v>111</v>
      </c>
      <c r="AA47" s="1352">
        <f t="shared" si="3"/>
        <v>1</v>
      </c>
      <c r="AB47" s="1352">
        <f t="shared" si="4"/>
        <v>1</v>
      </c>
      <c r="AC47" s="1961">
        <f t="shared" si="5"/>
        <v>1</v>
      </c>
    </row>
    <row r="48" spans="1:29" ht="15">
      <c r="A48" s="430" t="s">
        <v>1705</v>
      </c>
      <c r="B48" s="431"/>
      <c r="C48" s="1154" t="s">
        <v>0</v>
      </c>
      <c r="D48" s="1155"/>
      <c r="E48" s="1156"/>
      <c r="F48" s="1157"/>
      <c r="G48" s="1158"/>
      <c r="H48" s="1159"/>
      <c r="I48" s="1156"/>
      <c r="J48" s="436"/>
      <c r="K48" s="714"/>
      <c r="L48" s="2723"/>
      <c r="M48" s="2715"/>
      <c r="N48" s="2715"/>
      <c r="O48" s="2715"/>
      <c r="P48" s="3685" t="str">
        <f>A48</f>
        <v>成交单价（元/平方米）</v>
      </c>
      <c r="Q48" s="3660"/>
      <c r="R48" s="3733">
        <f>E48</f>
        <v>0</v>
      </c>
      <c r="S48" s="3733"/>
      <c r="T48" s="3733">
        <f>G48</f>
        <v>0</v>
      </c>
      <c r="U48" s="3733"/>
      <c r="V48" s="3733">
        <f>I48</f>
        <v>0</v>
      </c>
      <c r="W48" s="3733"/>
      <c r="X48" s="397"/>
      <c r="Y48" s="712"/>
      <c r="Z48" s="397"/>
      <c r="AA48" s="397"/>
      <c r="AB48" s="397"/>
      <c r="AC48" s="578"/>
    </row>
    <row r="49" spans="1:29" ht="15.75" thickBot="1">
      <c r="A49" s="437" t="s">
        <v>1790</v>
      </c>
      <c r="B49" s="438"/>
      <c r="C49" s="1160" t="e">
        <f>R50</f>
        <v>#DIV/0!</v>
      </c>
      <c r="D49" s="2316" t="s">
        <v>2134</v>
      </c>
      <c r="E49" s="1161" t="e">
        <f>R49</f>
        <v>#DIV/0!</v>
      </c>
      <c r="F49" s="2317"/>
      <c r="G49" s="1160" t="e">
        <f>T49</f>
        <v>#DIV/0!</v>
      </c>
      <c r="H49" s="2317"/>
      <c r="I49" s="1161" t="e">
        <f>V49</f>
        <v>#DIV/0!</v>
      </c>
      <c r="J49" s="2317"/>
      <c r="K49" s="2319">
        <f>F49+H49+J49</f>
        <v>0</v>
      </c>
      <c r="L49" s="2723"/>
      <c r="M49" s="2715"/>
      <c r="N49" s="2715"/>
      <c r="O49" s="2715"/>
      <c r="P49" s="3685" t="str">
        <f>A49</f>
        <v>比较价值（元/平方米）</v>
      </c>
      <c r="Q49" s="3660"/>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3"/>
      <c r="M50" s="2715"/>
      <c r="N50" s="2715"/>
      <c r="O50" s="271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58700.09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72" t="s">
        <v>1767</v>
      </c>
      <c r="D4" s="3673"/>
      <c r="E4" s="3674" t="s">
        <v>1768</v>
      </c>
      <c r="F4" s="3675"/>
      <c r="G4" s="3672" t="s">
        <v>1769</v>
      </c>
      <c r="H4" s="3673"/>
      <c r="I4" s="3672" t="s">
        <v>1770</v>
      </c>
      <c r="J4" s="3673"/>
      <c r="K4" s="559" t="s">
        <v>1771</v>
      </c>
      <c r="L4" s="913"/>
      <c r="M4" s="914"/>
      <c r="N4" s="914"/>
      <c r="O4" s="914"/>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ht="15">
      <c r="A5" s="358"/>
      <c r="B5" s="359"/>
      <c r="C5" s="3690" t="s">
        <v>1670</v>
      </c>
      <c r="D5" s="3691"/>
      <c r="E5" s="3682" t="s">
        <v>1671</v>
      </c>
      <c r="F5" s="3683"/>
      <c r="G5" s="3690" t="s">
        <v>1672</v>
      </c>
      <c r="H5" s="3691"/>
      <c r="I5" s="3690" t="s">
        <v>1673</v>
      </c>
      <c r="J5" s="3691"/>
      <c r="K5" s="559"/>
      <c r="L5" s="913"/>
      <c r="M5" s="914"/>
      <c r="N5" s="914"/>
      <c r="O5" s="914"/>
      <c r="P5" s="3678"/>
      <c r="Q5" s="3679"/>
      <c r="R5" s="3688"/>
      <c r="S5" s="3689"/>
      <c r="T5" s="3688"/>
      <c r="U5" s="3689"/>
      <c r="V5" s="3664"/>
      <c r="W5" s="3664"/>
      <c r="X5" s="1354"/>
      <c r="Y5" s="3688"/>
      <c r="Z5" s="3689"/>
      <c r="AA5" s="3670"/>
      <c r="AB5" s="3670"/>
      <c r="AC5" s="3670"/>
    </row>
    <row r="6" spans="1:29" ht="15.75" thickBot="1">
      <c r="A6" s="360"/>
      <c r="B6" s="361"/>
      <c r="C6" s="3728" t="s">
        <v>1674</v>
      </c>
      <c r="D6" s="3729"/>
      <c r="E6" s="3730" t="s">
        <v>1674</v>
      </c>
      <c r="F6" s="3731"/>
      <c r="G6" s="3728" t="s">
        <v>1674</v>
      </c>
      <c r="H6" s="3729"/>
      <c r="I6" s="3728" t="s">
        <v>1674</v>
      </c>
      <c r="J6" s="3729"/>
      <c r="K6" s="559" t="s">
        <v>1675</v>
      </c>
      <c r="L6" s="913"/>
      <c r="M6" s="914"/>
      <c r="N6" s="914"/>
      <c r="O6" s="914"/>
      <c r="P6" s="3680"/>
      <c r="Q6" s="3681"/>
      <c r="R6" s="3688"/>
      <c r="S6" s="3689"/>
      <c r="T6" s="3697"/>
      <c r="U6" s="3698"/>
      <c r="V6" s="3664"/>
      <c r="W6" s="3664"/>
      <c r="X6" s="1354"/>
      <c r="Y6" s="3697"/>
      <c r="Z6" s="3698"/>
      <c r="AA6" s="3671"/>
      <c r="AB6" s="3671"/>
      <c r="AC6" s="3671"/>
    </row>
    <row r="7" spans="1:29" s="108" customFormat="1" ht="15.75" thickBot="1">
      <c r="A7" s="362" t="s">
        <v>1676</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1680</v>
      </c>
      <c r="Q8" s="3663"/>
      <c r="R8" s="701" t="s">
        <v>14</v>
      </c>
      <c r="S8" s="702">
        <f t="shared" si="0"/>
        <v>100</v>
      </c>
      <c r="T8" s="701" t="s">
        <v>14</v>
      </c>
      <c r="U8" s="702">
        <f t="shared" si="1"/>
        <v>100</v>
      </c>
      <c r="V8" s="701" t="s">
        <v>14</v>
      </c>
      <c r="W8" s="702">
        <f t="shared" si="2"/>
        <v>100</v>
      </c>
      <c r="X8" s="703"/>
      <c r="Y8" s="3662" t="s">
        <v>1680</v>
      </c>
      <c r="Z8" s="3663"/>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1688</v>
      </c>
      <c r="Q15" s="1351" t="str">
        <f t="shared" si="6"/>
        <v>产业集聚程度</v>
      </c>
      <c r="R15" s="705" t="s">
        <v>14</v>
      </c>
      <c r="S15" s="706">
        <f t="shared" si="0"/>
        <v>100</v>
      </c>
      <c r="T15" s="705" t="s">
        <v>14</v>
      </c>
      <c r="U15" s="706">
        <f t="shared" si="1"/>
        <v>100</v>
      </c>
      <c r="V15" s="705" t="s">
        <v>14</v>
      </c>
      <c r="W15" s="706">
        <f t="shared" si="2"/>
        <v>100</v>
      </c>
      <c r="X15" s="1354"/>
      <c r="Y15" s="3665"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6"/>
      <c r="Q22" s="1351"/>
      <c r="R22" s="705"/>
      <c r="S22" s="706"/>
      <c r="T22" s="705"/>
      <c r="U22" s="706"/>
      <c r="V22" s="705"/>
      <c r="W22" s="706"/>
      <c r="X22" s="1354"/>
      <c r="Y22" s="3666"/>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67" t="s">
        <v>1693</v>
      </c>
      <c r="Q29" s="1351" t="str">
        <f t="shared" si="11"/>
        <v>建筑类型</v>
      </c>
      <c r="R29" s="705" t="s">
        <v>14</v>
      </c>
      <c r="S29" s="706">
        <f t="shared" si="12"/>
        <v>100</v>
      </c>
      <c r="T29" s="705" t="s">
        <v>14</v>
      </c>
      <c r="U29" s="706">
        <f t="shared" si="13"/>
        <v>100</v>
      </c>
      <c r="V29" s="705" t="s">
        <v>14</v>
      </c>
      <c r="W29" s="706">
        <f t="shared" si="14"/>
        <v>100</v>
      </c>
      <c r="X29" s="1354"/>
      <c r="Y29" s="3668"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1" t="str">
        <f t="shared" si="11"/>
        <v>建筑结构</v>
      </c>
      <c r="R31" s="705" t="s">
        <v>14</v>
      </c>
      <c r="S31" s="706">
        <f t="shared" si="12"/>
        <v>100</v>
      </c>
      <c r="T31" s="705" t="s">
        <v>14</v>
      </c>
      <c r="U31" s="706">
        <f t="shared" si="13"/>
        <v>100</v>
      </c>
      <c r="V31" s="705" t="s">
        <v>14</v>
      </c>
      <c r="W31" s="706">
        <f t="shared" si="14"/>
        <v>100</v>
      </c>
      <c r="X31" s="1354"/>
      <c r="Y31" s="3668"/>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1" t="str">
        <f t="shared" si="11"/>
        <v>公共部分装修</v>
      </c>
      <c r="R32" s="705" t="s">
        <v>14</v>
      </c>
      <c r="S32" s="706">
        <f t="shared" si="12"/>
        <v>100</v>
      </c>
      <c r="T32" s="705" t="s">
        <v>14</v>
      </c>
      <c r="U32" s="706">
        <f t="shared" si="13"/>
        <v>100</v>
      </c>
      <c r="V32" s="705" t="s">
        <v>14</v>
      </c>
      <c r="W32" s="706">
        <f t="shared" si="14"/>
        <v>100</v>
      </c>
      <c r="X32" s="1354"/>
      <c r="Y32" s="3668"/>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1" t="str">
        <f t="shared" si="11"/>
        <v>成新度</v>
      </c>
      <c r="R33" s="705" t="s">
        <v>14</v>
      </c>
      <c r="S33" s="706" t="e">
        <f t="shared" si="12"/>
        <v>#N/A</v>
      </c>
      <c r="T33" s="705" t="s">
        <v>14</v>
      </c>
      <c r="U33" s="706" t="e">
        <f t="shared" si="13"/>
        <v>#N/A</v>
      </c>
      <c r="V33" s="705" t="s">
        <v>14</v>
      </c>
      <c r="W33" s="706" t="e">
        <f t="shared" si="14"/>
        <v>#N/A</v>
      </c>
      <c r="X33" s="1354"/>
      <c r="Y33" s="3668"/>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2"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1693</v>
      </c>
      <c r="Q35" s="1351" t="str">
        <f t="shared" si="11"/>
        <v>市政基础设施</v>
      </c>
      <c r="R35" s="705" t="s">
        <v>14</v>
      </c>
      <c r="S35" s="706">
        <f t="shared" si="12"/>
        <v>100</v>
      </c>
      <c r="T35" s="705" t="s">
        <v>14</v>
      </c>
      <c r="U35" s="706">
        <f t="shared" si="13"/>
        <v>100</v>
      </c>
      <c r="V35" s="705" t="s">
        <v>14</v>
      </c>
      <c r="W35" s="706">
        <f t="shared" si="14"/>
        <v>100</v>
      </c>
      <c r="X35" s="1354"/>
      <c r="Y35" s="3668"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1" t="str">
        <f t="shared" si="11"/>
        <v>内部装修</v>
      </c>
      <c r="R36" s="705" t="s">
        <v>14</v>
      </c>
      <c r="S36" s="706">
        <f t="shared" si="12"/>
        <v>100</v>
      </c>
      <c r="T36" s="705" t="s">
        <v>14</v>
      </c>
      <c r="U36" s="706">
        <f t="shared" si="13"/>
        <v>100</v>
      </c>
      <c r="V36" s="705" t="s">
        <v>14</v>
      </c>
      <c r="W36" s="706">
        <f t="shared" si="14"/>
        <v>100</v>
      </c>
      <c r="X36" s="1354"/>
      <c r="Y36" s="3668"/>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1" t="str">
        <f t="shared" si="11"/>
        <v>内部装修状况</v>
      </c>
      <c r="R37" s="705" t="s">
        <v>14</v>
      </c>
      <c r="S37" s="706">
        <f t="shared" si="12"/>
        <v>100</v>
      </c>
      <c r="T37" s="705" t="s">
        <v>14</v>
      </c>
      <c r="U37" s="706">
        <f t="shared" si="13"/>
        <v>100</v>
      </c>
      <c r="V37" s="705" t="s">
        <v>14</v>
      </c>
      <c r="W37" s="706">
        <f t="shared" si="14"/>
        <v>100</v>
      </c>
      <c r="X37" s="1354"/>
      <c r="Y37" s="366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1">
        <f t="shared" si="11"/>
        <v>111</v>
      </c>
      <c r="R39" s="705" t="s">
        <v>14</v>
      </c>
      <c r="S39" s="706">
        <f t="shared" si="12"/>
        <v>100</v>
      </c>
      <c r="T39" s="705" t="s">
        <v>14</v>
      </c>
      <c r="U39" s="706">
        <f t="shared" si="13"/>
        <v>100</v>
      </c>
      <c r="V39" s="705" t="s">
        <v>14</v>
      </c>
      <c r="W39" s="706">
        <f t="shared" si="14"/>
        <v>100</v>
      </c>
      <c r="X39" s="1354"/>
      <c r="Y39" s="366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1">
        <f t="shared" si="11"/>
        <v>111</v>
      </c>
      <c r="R40" s="705" t="s">
        <v>14</v>
      </c>
      <c r="S40" s="706">
        <f t="shared" si="12"/>
        <v>100</v>
      </c>
      <c r="T40" s="705" t="s">
        <v>14</v>
      </c>
      <c r="U40" s="706">
        <f t="shared" si="13"/>
        <v>100</v>
      </c>
      <c r="V40" s="705" t="s">
        <v>14</v>
      </c>
      <c r="W40" s="706">
        <f t="shared" si="14"/>
        <v>100</v>
      </c>
      <c r="X40" s="1354"/>
      <c r="Y40" s="3737"/>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660" t="str">
        <f>A41</f>
        <v>成交单价（元/平方米）</v>
      </c>
      <c r="Q41" s="3660"/>
      <c r="R41" s="3733">
        <f>E41</f>
        <v>0</v>
      </c>
      <c r="S41" s="3733"/>
      <c r="T41" s="3733">
        <f>G41</f>
        <v>0</v>
      </c>
      <c r="U41" s="3733"/>
      <c r="V41" s="3733">
        <f>I41</f>
        <v>0</v>
      </c>
      <c r="W41" s="3733"/>
      <c r="X41" s="690"/>
      <c r="Y41" s="712"/>
      <c r="Z41" s="690"/>
      <c r="AA41" s="690"/>
      <c r="AB41" s="690"/>
      <c r="AC41" s="690"/>
    </row>
    <row r="42" spans="1:29" ht="15.75" thickBot="1">
      <c r="A42" s="437" t="s">
        <v>1790</v>
      </c>
      <c r="B42" s="438"/>
      <c r="C42" s="1160" t="e">
        <f>R43</f>
        <v>#DIV/0!</v>
      </c>
      <c r="D42" s="2316" t="s">
        <v>2134</v>
      </c>
      <c r="E42" s="1161" t="e">
        <f>R42</f>
        <v>#DIV/0!</v>
      </c>
      <c r="F42" s="2317"/>
      <c r="G42" s="1160" t="e">
        <f>T42</f>
        <v>#DIV/0!</v>
      </c>
      <c r="H42" s="2317"/>
      <c r="I42" s="1161" t="e">
        <f>V42</f>
        <v>#DIV/0!</v>
      </c>
      <c r="J42" s="2317"/>
      <c r="K42" s="2319">
        <f>F42+H42+J42</f>
        <v>0</v>
      </c>
      <c r="L42" s="926"/>
      <c r="M42" s="927"/>
      <c r="N42" s="914"/>
      <c r="O42" s="927"/>
      <c r="P42" s="3660" t="str">
        <f>A42</f>
        <v>比较价值（元/平方米）</v>
      </c>
      <c r="Q42" s="3660"/>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3335</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ht="15">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29" ht="15.7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75" thickBot="1">
      <c r="A7" s="362" t="s">
        <v>1676</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2" t="s">
        <v>1677</v>
      </c>
      <c r="Q7" s="3694"/>
      <c r="R7" s="701" t="s">
        <v>14</v>
      </c>
      <c r="S7" s="702">
        <f t="shared" ref="S7:S14" si="0">F7</f>
        <v>0</v>
      </c>
      <c r="T7" s="701" t="s">
        <v>14</v>
      </c>
      <c r="U7" s="702">
        <f t="shared" ref="U7:U14" si="1">H7</f>
        <v>0</v>
      </c>
      <c r="V7" s="701" t="s">
        <v>14</v>
      </c>
      <c r="W7" s="702">
        <f t="shared" ref="W7:W14" si="2">J7</f>
        <v>0</v>
      </c>
      <c r="X7" s="703"/>
      <c r="Y7" s="3662" t="s">
        <v>1677</v>
      </c>
      <c r="Z7" s="3663"/>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0" t="s">
        <v>1683</v>
      </c>
      <c r="Q9" s="1342" t="str">
        <f t="shared" ref="Q9:Q14" si="6">B9</f>
        <v>用途</v>
      </c>
      <c r="R9" s="701" t="s">
        <v>14</v>
      </c>
      <c r="S9" s="702">
        <f t="shared" si="0"/>
        <v>100</v>
      </c>
      <c r="T9" s="701" t="s">
        <v>14</v>
      </c>
      <c r="U9" s="702">
        <f t="shared" si="1"/>
        <v>100</v>
      </c>
      <c r="V9" s="701" t="s">
        <v>14</v>
      </c>
      <c r="W9" s="702">
        <f t="shared" si="2"/>
        <v>100</v>
      </c>
      <c r="X9" s="703"/>
      <c r="Y9" s="3633"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0"/>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1688</v>
      </c>
      <c r="Q14" s="1351" t="str">
        <f t="shared" si="6"/>
        <v>交通便捷度</v>
      </c>
      <c r="R14" s="705" t="s">
        <v>14</v>
      </c>
      <c r="S14" s="706">
        <f t="shared" si="0"/>
        <v>100</v>
      </c>
      <c r="T14" s="705" t="s">
        <v>14</v>
      </c>
      <c r="U14" s="706">
        <f t="shared" si="1"/>
        <v>100</v>
      </c>
      <c r="V14" s="705" t="s">
        <v>14</v>
      </c>
      <c r="W14" s="706">
        <f t="shared" si="2"/>
        <v>100</v>
      </c>
      <c r="X14" s="1354"/>
      <c r="Y14" s="3665"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6"/>
      <c r="Q19" s="1351"/>
      <c r="R19" s="705"/>
      <c r="S19" s="706"/>
      <c r="T19" s="705"/>
      <c r="U19" s="706"/>
      <c r="V19" s="705"/>
      <c r="W19" s="706"/>
      <c r="X19" s="1354"/>
      <c r="Y19" s="3666"/>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67"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8"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8"/>
      <c r="Q28" s="1351" t="str">
        <f t="shared" si="11"/>
        <v>公共部分装修</v>
      </c>
      <c r="R28" s="705" t="s">
        <v>14</v>
      </c>
      <c r="S28" s="706">
        <f t="shared" si="12"/>
        <v>100</v>
      </c>
      <c r="T28" s="705" t="s">
        <v>14</v>
      </c>
      <c r="U28" s="706">
        <f t="shared" si="13"/>
        <v>100</v>
      </c>
      <c r="V28" s="705" t="s">
        <v>14</v>
      </c>
      <c r="W28" s="706">
        <f t="shared" si="14"/>
        <v>100</v>
      </c>
      <c r="X28" s="1354"/>
      <c r="Y28" s="3668"/>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8"/>
      <c r="Q29" s="1351" t="str">
        <f t="shared" si="11"/>
        <v>成新率</v>
      </c>
      <c r="R29" s="705" t="s">
        <v>14</v>
      </c>
      <c r="S29" s="706" t="e">
        <f t="shared" si="12"/>
        <v>#N/A</v>
      </c>
      <c r="T29" s="705" t="s">
        <v>14</v>
      </c>
      <c r="U29" s="706" t="e">
        <f t="shared" si="13"/>
        <v>#N/A</v>
      </c>
      <c r="V29" s="705" t="s">
        <v>14</v>
      </c>
      <c r="W29" s="706" t="e">
        <f t="shared" si="14"/>
        <v>#N/A</v>
      </c>
      <c r="X29" s="1354"/>
      <c r="Y29" s="3668"/>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8"/>
      <c r="Q30" s="1351" t="str">
        <f t="shared" si="11"/>
        <v>物业等级</v>
      </c>
      <c r="R30" s="705" t="s">
        <v>14</v>
      </c>
      <c r="S30" s="706">
        <f t="shared" si="12"/>
        <v>100</v>
      </c>
      <c r="T30" s="705" t="s">
        <v>14</v>
      </c>
      <c r="U30" s="706">
        <f t="shared" si="13"/>
        <v>100</v>
      </c>
      <c r="V30" s="705" t="s">
        <v>14</v>
      </c>
      <c r="W30" s="706">
        <f t="shared" si="14"/>
        <v>100</v>
      </c>
      <c r="X30" s="1354"/>
      <c r="Y30" s="3668"/>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8"/>
      <c r="Q31" s="1342"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8" t="s">
        <v>1693</v>
      </c>
      <c r="Q32" s="1351" t="str">
        <f t="shared" si="11"/>
        <v>车位类型</v>
      </c>
      <c r="R32" s="705" t="s">
        <v>14</v>
      </c>
      <c r="S32" s="706">
        <f t="shared" si="12"/>
        <v>100</v>
      </c>
      <c r="T32" s="705" t="s">
        <v>14</v>
      </c>
      <c r="U32" s="706">
        <f t="shared" si="13"/>
        <v>100</v>
      </c>
      <c r="V32" s="705" t="s">
        <v>14</v>
      </c>
      <c r="W32" s="706">
        <f t="shared" si="14"/>
        <v>100</v>
      </c>
      <c r="X32" s="1354"/>
      <c r="Y32" s="3668"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8"/>
      <c r="Q33" s="1351" t="str">
        <f t="shared" si="11"/>
        <v>是否直接入户</v>
      </c>
      <c r="R33" s="705" t="s">
        <v>14</v>
      </c>
      <c r="S33" s="706">
        <f t="shared" si="12"/>
        <v>100</v>
      </c>
      <c r="T33" s="705" t="s">
        <v>14</v>
      </c>
      <c r="U33" s="706">
        <f t="shared" si="13"/>
        <v>100</v>
      </c>
      <c r="V33" s="705" t="s">
        <v>14</v>
      </c>
      <c r="W33" s="706">
        <f t="shared" si="14"/>
        <v>100</v>
      </c>
      <c r="X33" s="1354"/>
      <c r="Y33" s="366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8"/>
      <c r="Q34" s="1351">
        <f t="shared" si="11"/>
        <v>111</v>
      </c>
      <c r="R34" s="705" t="s">
        <v>14</v>
      </c>
      <c r="S34" s="706">
        <f t="shared" si="12"/>
        <v>100</v>
      </c>
      <c r="T34" s="705" t="s">
        <v>14</v>
      </c>
      <c r="U34" s="706">
        <f t="shared" si="13"/>
        <v>100</v>
      </c>
      <c r="V34" s="705" t="s">
        <v>14</v>
      </c>
      <c r="W34" s="706">
        <f t="shared" si="14"/>
        <v>100</v>
      </c>
      <c r="X34" s="1354"/>
      <c r="Y34" s="366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8"/>
      <c r="Q36" s="1351">
        <f t="shared" si="11"/>
        <v>111</v>
      </c>
      <c r="R36" s="705" t="s">
        <v>14</v>
      </c>
      <c r="S36" s="706">
        <f t="shared" si="12"/>
        <v>100</v>
      </c>
      <c r="T36" s="705" t="s">
        <v>14</v>
      </c>
      <c r="U36" s="706">
        <f t="shared" si="13"/>
        <v>100</v>
      </c>
      <c r="V36" s="705" t="s">
        <v>14</v>
      </c>
      <c r="W36" s="706">
        <f t="shared" si="14"/>
        <v>100</v>
      </c>
      <c r="X36" s="1354"/>
      <c r="Y36" s="3668"/>
      <c r="Z36" s="1355">
        <f t="shared" si="15"/>
        <v>111</v>
      </c>
      <c r="AA36" s="1352">
        <f t="shared" si="3"/>
        <v>1</v>
      </c>
      <c r="AB36" s="1352">
        <f t="shared" si="4"/>
        <v>1</v>
      </c>
      <c r="AC36" s="1352">
        <f t="shared" si="5"/>
        <v>1</v>
      </c>
    </row>
    <row r="37" spans="1:29" ht="15">
      <c r="A37" s="430" t="s">
        <v>1841</v>
      </c>
      <c r="B37" s="1972" t="s">
        <v>3356</v>
      </c>
      <c r="C37" s="1154" t="s">
        <v>0</v>
      </c>
      <c r="D37" s="1155"/>
      <c r="E37" s="1156"/>
      <c r="F37" s="1157"/>
      <c r="G37" s="1158"/>
      <c r="H37" s="1159"/>
      <c r="I37" s="1156"/>
      <c r="J37" s="1159"/>
      <c r="K37" s="568"/>
      <c r="L37" s="2723"/>
      <c r="M37" s="2724"/>
      <c r="N37" s="2715"/>
      <c r="O37" s="2724"/>
      <c r="P37" s="3660" t="str">
        <f>A37</f>
        <v>成交单价</v>
      </c>
      <c r="Q37" s="3660"/>
      <c r="R37" s="3733">
        <f>E37</f>
        <v>0</v>
      </c>
      <c r="S37" s="3733"/>
      <c r="T37" s="3733">
        <f>G37</f>
        <v>0</v>
      </c>
      <c r="U37" s="3733"/>
      <c r="V37" s="3733">
        <f>I37</f>
        <v>0</v>
      </c>
      <c r="W37" s="3733"/>
      <c r="X37" s="690"/>
      <c r="Y37" s="712"/>
      <c r="Z37" s="690"/>
      <c r="AA37" s="690"/>
      <c r="AB37" s="690"/>
      <c r="AC37" s="690"/>
    </row>
    <row r="38" spans="1:29" ht="15.75" thickBot="1">
      <c r="A38" s="437" t="s">
        <v>1842</v>
      </c>
      <c r="B38" s="438" t="str">
        <f>B37</f>
        <v>元/平方米</v>
      </c>
      <c r="C38" s="1160" t="e">
        <f>R39</f>
        <v>#DIV/0!</v>
      </c>
      <c r="D38" s="2316" t="s">
        <v>2134</v>
      </c>
      <c r="E38" s="1161" t="e">
        <f>R38</f>
        <v>#DIV/0!</v>
      </c>
      <c r="F38" s="2317"/>
      <c r="G38" s="1160" t="e">
        <f>T38</f>
        <v>#DIV/0!</v>
      </c>
      <c r="H38" s="2317"/>
      <c r="I38" s="1161" t="e">
        <f>V38</f>
        <v>#DIV/0!</v>
      </c>
      <c r="J38" s="2317"/>
      <c r="K38" s="2319">
        <f>F38+H38+J38</f>
        <v>0</v>
      </c>
      <c r="L38" s="2723"/>
      <c r="M38" s="2724"/>
      <c r="N38" s="2724"/>
      <c r="O38" s="2724"/>
      <c r="P38" s="3660" t="str">
        <f>A38</f>
        <v>比较价值（元/平方米）</v>
      </c>
      <c r="Q38" s="3660"/>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657" t="str">
        <f>A39</f>
        <v>估价对象XX用房的比较价值（楼面单价，元/平方米）</v>
      </c>
      <c r="Q39" s="3658"/>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3336</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ht="15">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29" ht="15.7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75" thickBot="1">
      <c r="A7" s="362" t="s">
        <v>1676</v>
      </c>
      <c r="B7" s="363"/>
      <c r="C7" s="364">
        <f>'数据-取费表'!B2</f>
        <v>45112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2" t="s">
        <v>1677</v>
      </c>
      <c r="Q7" s="3694"/>
      <c r="R7" s="701" t="s">
        <v>14</v>
      </c>
      <c r="S7" s="702">
        <f t="shared" ref="S7:S14" si="0">F7</f>
        <v>0</v>
      </c>
      <c r="T7" s="701" t="s">
        <v>14</v>
      </c>
      <c r="U7" s="702">
        <f t="shared" ref="U7:U14" si="1">H7</f>
        <v>0</v>
      </c>
      <c r="V7" s="701" t="s">
        <v>14</v>
      </c>
      <c r="W7" s="702">
        <f t="shared" ref="W7:W14" si="2">J7</f>
        <v>0</v>
      </c>
      <c r="X7" s="703"/>
      <c r="Y7" s="3662" t="s">
        <v>1677</v>
      </c>
      <c r="Z7" s="3663"/>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0" t="s">
        <v>1683</v>
      </c>
      <c r="Q9" s="1342" t="str">
        <f t="shared" ref="Q9:Q14" si="6">B9</f>
        <v>用途</v>
      </c>
      <c r="R9" s="701" t="s">
        <v>14</v>
      </c>
      <c r="S9" s="702">
        <f t="shared" si="0"/>
        <v>100</v>
      </c>
      <c r="T9" s="701" t="s">
        <v>14</v>
      </c>
      <c r="U9" s="702">
        <f t="shared" si="1"/>
        <v>100</v>
      </c>
      <c r="V9" s="701" t="s">
        <v>14</v>
      </c>
      <c r="W9" s="702">
        <f t="shared" si="2"/>
        <v>100</v>
      </c>
      <c r="X9" s="703"/>
      <c r="Y9" s="3633"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0"/>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1688</v>
      </c>
      <c r="Q14" s="1351" t="str">
        <f t="shared" si="6"/>
        <v>交通便捷度</v>
      </c>
      <c r="R14" s="705" t="s">
        <v>14</v>
      </c>
      <c r="S14" s="706">
        <f t="shared" si="0"/>
        <v>100</v>
      </c>
      <c r="T14" s="705" t="s">
        <v>14</v>
      </c>
      <c r="U14" s="706">
        <f t="shared" si="1"/>
        <v>100</v>
      </c>
      <c r="V14" s="705" t="s">
        <v>14</v>
      </c>
      <c r="W14" s="706">
        <f t="shared" si="2"/>
        <v>100</v>
      </c>
      <c r="X14" s="1354"/>
      <c r="Y14" s="3665"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6"/>
      <c r="Q19" s="1351"/>
      <c r="R19" s="705"/>
      <c r="S19" s="706"/>
      <c r="T19" s="705"/>
      <c r="U19" s="706"/>
      <c r="V19" s="705"/>
      <c r="W19" s="706"/>
      <c r="X19" s="1354"/>
      <c r="Y19" s="3666"/>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67"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8"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8"/>
      <c r="Q28" s="1351" t="str">
        <f t="shared" si="11"/>
        <v>物业等级</v>
      </c>
      <c r="R28" s="705" t="s">
        <v>14</v>
      </c>
      <c r="S28" s="706">
        <f t="shared" si="12"/>
        <v>100</v>
      </c>
      <c r="T28" s="705" t="s">
        <v>14</v>
      </c>
      <c r="U28" s="706">
        <f t="shared" si="13"/>
        <v>100</v>
      </c>
      <c r="V28" s="705" t="s">
        <v>14</v>
      </c>
      <c r="W28" s="706">
        <f t="shared" si="14"/>
        <v>100</v>
      </c>
      <c r="X28" s="1354"/>
      <c r="Y28" s="3668"/>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8"/>
      <c r="Q29" s="1351" t="str">
        <f t="shared" si="11"/>
        <v>有无电梯</v>
      </c>
      <c r="R29" s="705" t="s">
        <v>14</v>
      </c>
      <c r="S29" s="706">
        <f t="shared" si="12"/>
        <v>100</v>
      </c>
      <c r="T29" s="705" t="s">
        <v>14</v>
      </c>
      <c r="U29" s="706">
        <f t="shared" si="13"/>
        <v>100</v>
      </c>
      <c r="V29" s="705" t="s">
        <v>14</v>
      </c>
      <c r="W29" s="706">
        <f t="shared" si="14"/>
        <v>100</v>
      </c>
      <c r="X29" s="1354"/>
      <c r="Y29" s="3668"/>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8"/>
      <c r="Q30" s="1351" t="str">
        <f t="shared" si="11"/>
        <v>建筑面积</v>
      </c>
      <c r="R30" s="705" t="s">
        <v>14</v>
      </c>
      <c r="S30" s="706" t="e">
        <f t="shared" si="12"/>
        <v>#N/A</v>
      </c>
      <c r="T30" s="705" t="s">
        <v>14</v>
      </c>
      <c r="U30" s="706" t="e">
        <f t="shared" si="13"/>
        <v>#N/A</v>
      </c>
      <c r="V30" s="705" t="s">
        <v>14</v>
      </c>
      <c r="W30" s="706" t="e">
        <f t="shared" si="14"/>
        <v>#N/A</v>
      </c>
      <c r="X30" s="1354"/>
      <c r="Y30" s="3668"/>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8"/>
      <c r="Q31" s="1342"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8" t="s">
        <v>1693</v>
      </c>
      <c r="Q32" s="1351">
        <f t="shared" si="11"/>
        <v>111</v>
      </c>
      <c r="R32" s="705" t="s">
        <v>14</v>
      </c>
      <c r="S32" s="706">
        <f t="shared" si="12"/>
        <v>100</v>
      </c>
      <c r="T32" s="705" t="s">
        <v>14</v>
      </c>
      <c r="U32" s="706">
        <f t="shared" si="13"/>
        <v>100</v>
      </c>
      <c r="V32" s="705" t="s">
        <v>14</v>
      </c>
      <c r="W32" s="706">
        <f t="shared" si="14"/>
        <v>100</v>
      </c>
      <c r="X32" s="1354"/>
      <c r="Y32" s="3668"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8"/>
      <c r="Q33" s="1351">
        <f t="shared" si="11"/>
        <v>111</v>
      </c>
      <c r="R33" s="705" t="s">
        <v>14</v>
      </c>
      <c r="S33" s="706">
        <f t="shared" si="12"/>
        <v>100</v>
      </c>
      <c r="T33" s="705" t="s">
        <v>14</v>
      </c>
      <c r="U33" s="706">
        <f t="shared" si="13"/>
        <v>100</v>
      </c>
      <c r="V33" s="705" t="s">
        <v>14</v>
      </c>
      <c r="W33" s="706">
        <f t="shared" si="14"/>
        <v>100</v>
      </c>
      <c r="X33" s="1354"/>
      <c r="Y33" s="366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8"/>
      <c r="Q34" s="1351">
        <f t="shared" si="11"/>
        <v>111</v>
      </c>
      <c r="R34" s="705" t="s">
        <v>14</v>
      </c>
      <c r="S34" s="706">
        <f t="shared" si="12"/>
        <v>100</v>
      </c>
      <c r="T34" s="705" t="s">
        <v>14</v>
      </c>
      <c r="U34" s="706">
        <f t="shared" si="13"/>
        <v>100</v>
      </c>
      <c r="V34" s="705" t="s">
        <v>14</v>
      </c>
      <c r="W34" s="706">
        <f t="shared" si="14"/>
        <v>100</v>
      </c>
      <c r="X34" s="1354"/>
      <c r="Y34" s="3668"/>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3"/>
      <c r="M35" s="2724"/>
      <c r="N35" s="2715"/>
      <c r="O35" s="2724"/>
      <c r="P35" s="3660" t="str">
        <f>A35</f>
        <v>成交单价（元/平方米）</v>
      </c>
      <c r="Q35" s="3660"/>
      <c r="R35" s="3733">
        <f>E35</f>
        <v>0</v>
      </c>
      <c r="S35" s="3733"/>
      <c r="T35" s="3733">
        <f>G35</f>
        <v>0</v>
      </c>
      <c r="U35" s="3733"/>
      <c r="V35" s="3733">
        <f>I35</f>
        <v>0</v>
      </c>
      <c r="W35" s="3733"/>
      <c r="X35" s="690"/>
      <c r="Y35" s="712"/>
      <c r="Z35" s="690"/>
      <c r="AA35" s="690"/>
      <c r="AB35" s="690"/>
      <c r="AC35" s="690"/>
    </row>
    <row r="36" spans="1:30" ht="15.75" thickBot="1">
      <c r="A36" s="437" t="s">
        <v>1790</v>
      </c>
      <c r="B36" s="438"/>
      <c r="C36" s="1160" t="e">
        <f>R37</f>
        <v>#DIV/0!</v>
      </c>
      <c r="D36" s="2316" t="s">
        <v>2134</v>
      </c>
      <c r="E36" s="1161" t="e">
        <f>R36</f>
        <v>#DIV/0!</v>
      </c>
      <c r="F36" s="2317"/>
      <c r="G36" s="1160" t="e">
        <f>T36</f>
        <v>#DIV/0!</v>
      </c>
      <c r="H36" s="2317"/>
      <c r="I36" s="1161" t="e">
        <f>V36</f>
        <v>#DIV/0!</v>
      </c>
      <c r="J36" s="2317"/>
      <c r="K36" s="2319">
        <f>F36+H36+J36</f>
        <v>0</v>
      </c>
      <c r="L36" s="2723"/>
      <c r="M36" s="2724"/>
      <c r="N36" s="2715"/>
      <c r="O36" s="2724"/>
      <c r="P36" s="3660" t="str">
        <f>A36</f>
        <v>比较价值（元/平方米）</v>
      </c>
      <c r="Q36" s="3660"/>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657" t="str">
        <f>A37</f>
        <v>估价对象XX用房的比较价值（楼面单价，元/平方米）</v>
      </c>
      <c r="Q37" s="3658"/>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30" ht="15">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30" ht="15.7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30" s="108" customFormat="1" ht="15.75" thickBot="1">
      <c r="A7" s="362" t="s">
        <v>1676</v>
      </c>
      <c r="B7" s="363"/>
      <c r="C7" s="364">
        <f>'数据-取费表'!B2</f>
        <v>45112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2" t="s">
        <v>1680</v>
      </c>
      <c r="Q8" s="3663"/>
      <c r="R8" s="701" t="s">
        <v>14</v>
      </c>
      <c r="S8" s="702">
        <f t="shared" si="0"/>
        <v>0</v>
      </c>
      <c r="T8" s="701" t="s">
        <v>14</v>
      </c>
      <c r="U8" s="702">
        <f t="shared" si="1"/>
        <v>0</v>
      </c>
      <c r="V8" s="701" t="s">
        <v>14</v>
      </c>
      <c r="W8" s="702">
        <f t="shared" si="2"/>
        <v>0</v>
      </c>
      <c r="X8" s="703"/>
      <c r="Y8" s="3662" t="s">
        <v>1680</v>
      </c>
      <c r="Z8" s="3663"/>
      <c r="AA8" s="704" t="e">
        <f t="shared" ref="AA8:AA45" si="3">D8/F8</f>
        <v>#DIV/0!</v>
      </c>
      <c r="AB8" s="704" t="e">
        <f t="shared" ref="AB8:AB45" si="4">D8/H8</f>
        <v>#DIV/0!</v>
      </c>
      <c r="AC8" s="704"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633"/>
      <c r="Z10" s="52" t="str">
        <f t="shared" si="7"/>
        <v>土地使用年限（年）</v>
      </c>
      <c r="AA10" s="704">
        <f t="shared" si="3"/>
        <v>0.96153846153846156</v>
      </c>
      <c r="AB10" s="704">
        <f t="shared" si="4"/>
        <v>0.96153846153846156</v>
      </c>
      <c r="AC10" s="704">
        <f t="shared" si="5"/>
        <v>0.96153846153846156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0"/>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0"/>
      <c r="Q12" s="1342"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1688</v>
      </c>
      <c r="Q15" s="1351" t="str">
        <f t="shared" si="6"/>
        <v>居住社区成熟度</v>
      </c>
      <c r="R15" s="705" t="s">
        <v>14</v>
      </c>
      <c r="S15" s="706">
        <f t="shared" si="0"/>
        <v>100</v>
      </c>
      <c r="T15" s="705" t="s">
        <v>14</v>
      </c>
      <c r="U15" s="706">
        <f t="shared" si="1"/>
        <v>100</v>
      </c>
      <c r="V15" s="705" t="s">
        <v>14</v>
      </c>
      <c r="W15" s="706">
        <f t="shared" si="2"/>
        <v>100</v>
      </c>
      <c r="X15" s="1354"/>
      <c r="Y15" s="3665"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67" t="s">
        <v>1693</v>
      </c>
      <c r="Q36" s="1351">
        <f t="shared" si="8"/>
        <v>111</v>
      </c>
      <c r="R36" s="705" t="s">
        <v>14</v>
      </c>
      <c r="S36" s="706">
        <f t="shared" si="10"/>
        <v>100</v>
      </c>
      <c r="T36" s="705" t="s">
        <v>14</v>
      </c>
      <c r="U36" s="706">
        <f t="shared" si="11"/>
        <v>100</v>
      </c>
      <c r="V36" s="705" t="s">
        <v>14</v>
      </c>
      <c r="W36" s="706">
        <f t="shared" si="12"/>
        <v>100</v>
      </c>
      <c r="X36" s="1354"/>
      <c r="Y36" s="3668"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8"/>
      <c r="Q37" s="1351">
        <f t="shared" si="8"/>
        <v>111</v>
      </c>
      <c r="R37" s="708" t="s">
        <v>14</v>
      </c>
      <c r="S37" s="709">
        <f t="shared" si="10"/>
        <v>100</v>
      </c>
      <c r="T37" s="708" t="s">
        <v>14</v>
      </c>
      <c r="U37" s="709">
        <f t="shared" si="11"/>
        <v>100</v>
      </c>
      <c r="V37" s="708" t="s">
        <v>14</v>
      </c>
      <c r="W37" s="709">
        <f t="shared" si="12"/>
        <v>100</v>
      </c>
      <c r="X37" s="710"/>
      <c r="Y37" s="3668"/>
      <c r="Z37" s="711">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8"/>
      <c r="Q38" s="1351" t="str">
        <f>B38</f>
        <v>宗地面积</v>
      </c>
      <c r="R38" s="705" t="s">
        <v>14</v>
      </c>
      <c r="S38" s="706" t="e">
        <f t="shared" si="10"/>
        <v>#N/A</v>
      </c>
      <c r="T38" s="705" t="s">
        <v>14</v>
      </c>
      <c r="U38" s="706" t="e">
        <f t="shared" si="11"/>
        <v>#N/A</v>
      </c>
      <c r="V38" s="705" t="s">
        <v>14</v>
      </c>
      <c r="W38" s="706" t="e">
        <f t="shared" si="12"/>
        <v>#N/A</v>
      </c>
      <c r="X38" s="1354"/>
      <c r="Y38" s="3668"/>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8"/>
      <c r="Q39" s="1351" t="str">
        <f t="shared" ref="Q39:Q45" si="14">B39</f>
        <v>宗地形状</v>
      </c>
      <c r="R39" s="705" t="s">
        <v>14</v>
      </c>
      <c r="S39" s="706">
        <f t="shared" si="10"/>
        <v>100</v>
      </c>
      <c r="T39" s="705" t="s">
        <v>14</v>
      </c>
      <c r="U39" s="706">
        <f t="shared" si="11"/>
        <v>100</v>
      </c>
      <c r="V39" s="705" t="s">
        <v>14</v>
      </c>
      <c r="W39" s="706">
        <f t="shared" si="12"/>
        <v>100</v>
      </c>
      <c r="X39" s="1354"/>
      <c r="Y39" s="3668"/>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8"/>
      <c r="Q40" s="1351" t="str">
        <f t="shared" si="14"/>
        <v>临街宽度及深度</v>
      </c>
      <c r="R40" s="705" t="s">
        <v>14</v>
      </c>
      <c r="S40" s="706">
        <f t="shared" si="10"/>
        <v>100</v>
      </c>
      <c r="T40" s="705" t="s">
        <v>14</v>
      </c>
      <c r="U40" s="706">
        <f t="shared" si="11"/>
        <v>100</v>
      </c>
      <c r="V40" s="705" t="s">
        <v>14</v>
      </c>
      <c r="W40" s="706">
        <f t="shared" si="12"/>
        <v>100</v>
      </c>
      <c r="X40" s="1354"/>
      <c r="Y40" s="3668"/>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8"/>
      <c r="Q41" s="1351"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8" t="s">
        <v>1693</v>
      </c>
      <c r="Q42" s="1351" t="str">
        <f t="shared" si="14"/>
        <v>工程地质条件</v>
      </c>
      <c r="R42" s="705" t="s">
        <v>14</v>
      </c>
      <c r="S42" s="706">
        <f t="shared" si="10"/>
        <v>100</v>
      </c>
      <c r="T42" s="705" t="s">
        <v>14</v>
      </c>
      <c r="U42" s="706">
        <f t="shared" si="11"/>
        <v>100</v>
      </c>
      <c r="V42" s="705" t="s">
        <v>14</v>
      </c>
      <c r="W42" s="706">
        <f t="shared" si="12"/>
        <v>100</v>
      </c>
      <c r="X42" s="1354"/>
      <c r="Y42" s="3668"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8"/>
      <c r="Q43" s="1351">
        <f t="shared" si="14"/>
        <v>111</v>
      </c>
      <c r="R43" s="705" t="s">
        <v>14</v>
      </c>
      <c r="S43" s="706">
        <f t="shared" si="10"/>
        <v>100</v>
      </c>
      <c r="T43" s="705" t="s">
        <v>14</v>
      </c>
      <c r="U43" s="706">
        <f t="shared" si="11"/>
        <v>100</v>
      </c>
      <c r="V43" s="705" t="s">
        <v>14</v>
      </c>
      <c r="W43" s="706">
        <f t="shared" si="12"/>
        <v>100</v>
      </c>
      <c r="X43" s="1354"/>
      <c r="Y43" s="366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8"/>
      <c r="Q44" s="1351">
        <f t="shared" si="14"/>
        <v>111</v>
      </c>
      <c r="R44" s="705" t="s">
        <v>14</v>
      </c>
      <c r="S44" s="706">
        <f t="shared" si="10"/>
        <v>100</v>
      </c>
      <c r="T44" s="705" t="s">
        <v>14</v>
      </c>
      <c r="U44" s="706">
        <f t="shared" si="11"/>
        <v>100</v>
      </c>
      <c r="V44" s="705" t="s">
        <v>14</v>
      </c>
      <c r="W44" s="706">
        <f t="shared" si="12"/>
        <v>100</v>
      </c>
      <c r="X44" s="1354"/>
      <c r="Y44" s="366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8"/>
      <c r="Q45" s="1351">
        <f t="shared" si="14"/>
        <v>111</v>
      </c>
      <c r="R45" s="708" t="s">
        <v>14</v>
      </c>
      <c r="S45" s="709">
        <f t="shared" si="10"/>
        <v>100</v>
      </c>
      <c r="T45" s="708" t="s">
        <v>14</v>
      </c>
      <c r="U45" s="709">
        <f t="shared" si="11"/>
        <v>100</v>
      </c>
      <c r="V45" s="708" t="s">
        <v>14</v>
      </c>
      <c r="W45" s="709">
        <f t="shared" si="12"/>
        <v>100</v>
      </c>
      <c r="X45" s="710"/>
      <c r="Y45" s="3668"/>
      <c r="Z45" s="711">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4"/>
      <c r="L46" s="2723"/>
      <c r="M46" s="2724"/>
      <c r="N46" s="2715"/>
      <c r="O46" s="2724"/>
      <c r="P46" s="3660" t="str">
        <f>A46</f>
        <v>成交单价</v>
      </c>
      <c r="Q46" s="3660"/>
      <c r="R46" s="3664">
        <f>E46</f>
        <v>0</v>
      </c>
      <c r="S46" s="3664"/>
      <c r="T46" s="3664">
        <f>G46</f>
        <v>0</v>
      </c>
      <c r="U46" s="3664"/>
      <c r="V46" s="3664">
        <f>I46</f>
        <v>0</v>
      </c>
      <c r="W46" s="3664"/>
      <c r="X46" s="690"/>
      <c r="Y46" s="712"/>
      <c r="Z46" s="690"/>
      <c r="AA46" s="690"/>
      <c r="AB46" s="690"/>
      <c r="AC46" s="690"/>
    </row>
    <row r="47" spans="1:29" ht="15.75" thickBot="1">
      <c r="A47" s="437" t="s">
        <v>1790</v>
      </c>
      <c r="B47" s="631"/>
      <c r="C47" s="440" t="e">
        <f>R48</f>
        <v>#DIV/0!</v>
      </c>
      <c r="D47" s="2316" t="s">
        <v>2134</v>
      </c>
      <c r="E47" s="440" t="e">
        <f>R47</f>
        <v>#DIV/0!</v>
      </c>
      <c r="F47" s="2317"/>
      <c r="G47" s="439" t="e">
        <f>T47</f>
        <v>#DIV/0!</v>
      </c>
      <c r="H47" s="2317"/>
      <c r="I47" s="440" t="e">
        <f>V47</f>
        <v>#DIV/0!</v>
      </c>
      <c r="J47" s="2317"/>
      <c r="K47" s="2319">
        <f>F47+H47+J47</f>
        <v>0</v>
      </c>
      <c r="L47" s="2723"/>
      <c r="M47" s="2724"/>
      <c r="N47" s="2724"/>
      <c r="O47" s="2724"/>
      <c r="P47" s="3660" t="str">
        <f>A47</f>
        <v>比较价值（元/平方米）</v>
      </c>
      <c r="Q47" s="3660"/>
      <c r="R47" s="3661" t="e">
        <f>ROUND(PRODUCT(R46,AA7:AA45),0)</f>
        <v>#DIV/0!</v>
      </c>
      <c r="S47" s="3661"/>
      <c r="T47" s="3661" t="e">
        <f>ROUND(PRODUCT(T46,AB7:AB45),0)</f>
        <v>#DIV/0!</v>
      </c>
      <c r="U47" s="3661"/>
      <c r="V47" s="3661" t="e">
        <f>ROUND(PRODUCT(V46,AC7:AC45),0)</f>
        <v>#DIV/0!</v>
      </c>
      <c r="W47" s="366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3"/>
      <c r="M48" s="2724"/>
      <c r="N48" s="2724"/>
      <c r="O48" s="2724"/>
      <c r="P48" s="3657" t="str">
        <f>A48</f>
        <v>估价对象XX用房的比较价值（楼面单价，元/平方米）</v>
      </c>
      <c r="Q48" s="3658"/>
      <c r="R48" s="3659" t="e">
        <f>ROUND(IF(D47="简单平均",AVERAGE(R47:W47),R47*F47+T47*H47+V47*J47),0)</f>
        <v>#DIV/0!</v>
      </c>
      <c r="S48" s="3659"/>
      <c r="T48" s="3659"/>
      <c r="U48" s="3659"/>
      <c r="V48" s="3659"/>
      <c r="W48" s="365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672" t="s">
        <v>1884</v>
      </c>
      <c r="H55" s="3684"/>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39191.68</v>
      </c>
      <c r="F56" s="886" t="e">
        <f t="shared" ref="F56:F64" si="15">ROUND(B56*E56/10000,0)</f>
        <v>#DIV/0!</v>
      </c>
      <c r="G56" s="3685"/>
      <c r="H56" s="366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0.2</v>
      </c>
      <c r="D60" s="945">
        <v>0.25</v>
      </c>
      <c r="E60" s="217">
        <f>'数据-汇总表'!E11</f>
        <v>0</v>
      </c>
      <c r="F60" s="886" t="e">
        <f t="shared" si="15"/>
        <v>#DIV/0!</v>
      </c>
      <c r="G60" s="1986" t="s">
        <v>1893</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0.2</v>
      </c>
      <c r="D61" s="945">
        <v>0.25</v>
      </c>
      <c r="E61" s="217">
        <f>'数据-汇总表'!E12</f>
        <v>0</v>
      </c>
      <c r="F61" s="886" t="e">
        <f t="shared" si="15"/>
        <v>#DIV/0!</v>
      </c>
      <c r="G61" s="892" t="s">
        <v>1895</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6"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0.1</v>
      </c>
      <c r="D64" s="945">
        <v>0.25</v>
      </c>
      <c r="E64" s="217">
        <f>'数据-汇总表'!E15</f>
        <v>0</v>
      </c>
      <c r="F64" s="886" t="e">
        <f t="shared" si="15"/>
        <v>#DIV/0!</v>
      </c>
      <c r="G64" s="1987" t="s">
        <v>1893</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39191.68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59" t="s">
        <v>2080</v>
      </c>
      <c r="D1" s="3760"/>
      <c r="E1" s="3760"/>
      <c r="F1" s="3760"/>
      <c r="G1" s="3760"/>
      <c r="H1" s="3760"/>
      <c r="I1" s="3760"/>
      <c r="J1" s="3760"/>
      <c r="K1" s="3760"/>
      <c r="L1" s="3760"/>
      <c r="M1" s="3760"/>
      <c r="N1" s="3760"/>
      <c r="O1" s="3760"/>
      <c r="P1" s="3760"/>
      <c r="Q1" s="3760"/>
      <c r="R1" s="3760"/>
      <c r="S1" s="3761"/>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2083</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2084</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2085</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2091</v>
      </c>
      <c r="E19" s="1339"/>
      <c r="F19" s="1339"/>
      <c r="G19" s="1339"/>
      <c r="H19" s="1059"/>
      <c r="I19" s="159"/>
      <c r="J19" s="159"/>
      <c r="K19" s="159"/>
      <c r="L19" s="159"/>
      <c r="M19" s="159"/>
      <c r="N19" s="159"/>
      <c r="O19" s="159"/>
      <c r="P19" s="159"/>
      <c r="Q19" s="159"/>
      <c r="R19" s="718"/>
      <c r="S19" s="129"/>
    </row>
    <row r="20" spans="1:45" ht="16.5" thickBot="1">
      <c r="A20" s="662" t="s">
        <v>2092</v>
      </c>
      <c r="B20" s="294" t="e">
        <f ca="1">IF(D20="——",S22,S22-F20)</f>
        <v>#REF!</v>
      </c>
      <c r="C20" s="159"/>
      <c r="D20" s="2150"/>
      <c r="E20" s="1340"/>
      <c r="F20" s="983" t="e">
        <f ca="1">SUMIF(INDIRECT("'"&amp;H20&amp;"'"&amp;"!A:A"),"承租人权益价值",INDIRECT("'"&amp;H20&amp;"'"&amp;"!c:c"))</f>
        <v>#REF!</v>
      </c>
      <c r="G20" s="983" t="s">
        <v>2093</v>
      </c>
      <c r="H20" s="2151"/>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2077</v>
      </c>
      <c r="B1" s="2146"/>
      <c r="C1" s="2146"/>
      <c r="D1" s="2146"/>
      <c r="E1" s="2146"/>
      <c r="F1" s="2792"/>
      <c r="G1" s="2792"/>
      <c r="H1" s="2792"/>
      <c r="I1" s="2792"/>
      <c r="J1" s="2792"/>
      <c r="K1" s="2792"/>
      <c r="L1" s="2792"/>
      <c r="M1" s="2792"/>
      <c r="N1" s="2792"/>
      <c r="O1" s="2792"/>
      <c r="P1" s="2792"/>
    </row>
    <row r="2" spans="1:16" ht="15.75">
      <c r="A2" s="2144" t="s">
        <v>2069</v>
      </c>
      <c r="B2" s="2601" t="e">
        <f ca="1">SUMIF(B6:B13,"&lt;&gt;#ref!",B6:B13)</f>
        <v>#DIV/0!</v>
      </c>
      <c r="C2" s="2144" t="s">
        <v>2070</v>
      </c>
      <c r="D2" s="2144" t="s">
        <v>2071</v>
      </c>
      <c r="E2" s="2611">
        <f ca="1">SUMIF(E6:E13,"&lt;&gt;#ref!",E6:E13)</f>
        <v>0</v>
      </c>
      <c r="F2" s="2792"/>
      <c r="G2" s="2792"/>
      <c r="H2" s="2792"/>
      <c r="I2" s="2792"/>
      <c r="J2" s="2792"/>
      <c r="K2" s="2792"/>
      <c r="L2" s="2792"/>
      <c r="M2" s="2792"/>
      <c r="N2" s="2792"/>
      <c r="O2" s="2792"/>
      <c r="P2" s="2792"/>
    </row>
    <row r="3" spans="1:16" ht="15.75">
      <c r="A3" s="2144" t="s">
        <v>2072</v>
      </c>
      <c r="B3" s="2601" t="e">
        <f ca="1">ROUND(B2*10000/E2,0)</f>
        <v>#DIV/0!</v>
      </c>
      <c r="C3" s="2144" t="s">
        <v>2078</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2073</v>
      </c>
      <c r="B5" s="2609" t="s">
        <v>2074</v>
      </c>
      <c r="C5" s="2145"/>
      <c r="D5" s="2792"/>
      <c r="E5" s="2610" t="s">
        <v>2075</v>
      </c>
      <c r="F5" s="2792"/>
      <c r="G5" s="2792"/>
      <c r="H5" s="2792"/>
      <c r="I5" s="2792"/>
      <c r="J5" s="2792"/>
      <c r="K5" s="2792"/>
      <c r="L5" s="2792"/>
      <c r="M5" s="2792"/>
      <c r="N5" s="2792"/>
      <c r="O5" s="2792"/>
      <c r="P5" s="2792"/>
    </row>
    <row r="6" spans="1:16" ht="15.75">
      <c r="A6" s="2608" t="s">
        <v>2076</v>
      </c>
      <c r="B6" s="2601" t="e">
        <f ca="1">SUMIF(INDIRECT("'"&amp;A6&amp;"'"&amp;"!A:A"),"总价",INDIRECT("'"&amp;A6&amp;"'"&amp;"!B:B"))</f>
        <v>#DIV/0!</v>
      </c>
      <c r="C6" s="2144" t="s">
        <v>2070</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2070</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2070</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2070</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2070</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2070</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2070</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2070</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1922</v>
      </c>
      <c r="B1" s="197"/>
      <c r="C1" s="201" t="s">
        <v>1923</v>
      </c>
      <c r="D1" s="342">
        <f>SUM(D33:D34,D37:D42)</f>
        <v>0</v>
      </c>
      <c r="E1" s="1994"/>
      <c r="F1" s="1994"/>
      <c r="G1" s="1994"/>
      <c r="H1" s="1994"/>
      <c r="I1" s="1994"/>
      <c r="J1" s="1994"/>
      <c r="K1" s="1119"/>
      <c r="L1" s="1995" t="s">
        <v>1924</v>
      </c>
      <c r="M1" s="863">
        <f>SUMPRODUCT((区片价!B5:B9=I2)*(区片价!C3:G3=E2)*(区片价!C5:G9))</f>
        <v>0</v>
      </c>
      <c r="N1" s="866">
        <f>SUMPRODUCT((因素修正幅度!B5:B9=I2)*(因素修正幅度!C3:G3=E2)*(因素修正幅度!C5:G9))</f>
        <v>0</v>
      </c>
      <c r="O1" s="1996"/>
      <c r="P1" s="1996"/>
      <c r="Q1" s="1119"/>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75">
      <c r="A2" s="201" t="s">
        <v>1930</v>
      </c>
      <c r="B2" s="204" t="e">
        <f>C30</f>
        <v>#DIV/0!</v>
      </c>
      <c r="C2" s="1998" t="s">
        <v>1931</v>
      </c>
      <c r="D2" s="1999" t="s">
        <v>1932</v>
      </c>
      <c r="E2" s="3421"/>
      <c r="F2" s="1999" t="s">
        <v>1933</v>
      </c>
      <c r="G2" s="2000">
        <f>IF(E2="商业",项目基本情况!B37,IF(E2="办公",项目基本情况!C37,IF(E2="住宅",项目基本情况!D37,IF(E2="工业",项目基本情况!E37,项目基本情况!F37))))</f>
        <v>0</v>
      </c>
      <c r="H2" s="1999" t="s">
        <v>1934</v>
      </c>
      <c r="I2" s="2000">
        <f>IF(E2="商业",项目基本情况!B38,IF(E2="办公",项目基本情况!C38,IF(E2="住宅",项目基本情况!D38,IF(E2="工业",项目基本情况!E38,项目基本情况!F38))))</f>
        <v>0</v>
      </c>
      <c r="J2" s="2001"/>
      <c r="K2" s="1119"/>
      <c r="L2" s="2002" t="s">
        <v>1935</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1936</v>
      </c>
      <c r="B3" s="204" t="e">
        <f>ROUND(B2*10000/D1,0)</f>
        <v>#DIV/0!</v>
      </c>
      <c r="C3" s="1998" t="s">
        <v>1937</v>
      </c>
      <c r="D3" s="1999" t="s">
        <v>1938</v>
      </c>
      <c r="E3" s="3419"/>
      <c r="F3" s="2003"/>
      <c r="G3" s="752">
        <f>IF(F3="宗地容积率",'数据-汇总表'!I4,IF(F3="估价对象容积率",'数据-汇总表'!I6,'数据-汇总表'!I7))</f>
        <v>1.2</v>
      </c>
      <c r="H3" s="170" t="s">
        <v>1939</v>
      </c>
      <c r="I3" s="775"/>
      <c r="J3" s="2001" t="s">
        <v>1940</v>
      </c>
      <c r="K3" s="1119"/>
      <c r="L3" s="2002" t="s">
        <v>1941</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9"/>
      <c r="L4" s="2002" t="s">
        <v>1942</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1943</v>
      </c>
      <c r="C5" s="753" t="e">
        <f>ROUND(IF(E2="商业",C6*C7*C17+C20,(IF(E2="住宅",C6*C13*C17+C20,IF(E2="办公",C6*C12*C17+C20,C6+C20)))),0)</f>
        <v>#DIV/0!</v>
      </c>
      <c r="D5" s="1338" t="e">
        <f>ROUND(C6*C17+C20,0)</f>
        <v>#DIV/0!</v>
      </c>
      <c r="E5" s="1338"/>
      <c r="F5" s="2006"/>
      <c r="G5" s="2007"/>
      <c r="H5" s="2007"/>
      <c r="I5" s="2007"/>
      <c r="J5" s="2008"/>
      <c r="K5" s="2009"/>
      <c r="L5" s="2002" t="s">
        <v>1944</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1945</v>
      </c>
      <c r="B6" s="2015" t="s">
        <v>1946</v>
      </c>
      <c r="C6" s="754">
        <f>SUMIF(L1:L12,G2,M1:M12)</f>
        <v>0</v>
      </c>
      <c r="D6" s="2016"/>
      <c r="E6" s="2017"/>
      <c r="F6" s="2017"/>
      <c r="G6" s="2018"/>
      <c r="H6" s="2018"/>
      <c r="I6" s="2018"/>
      <c r="J6" s="2019"/>
      <c r="K6" s="1383"/>
      <c r="L6" s="2002" t="s">
        <v>1947</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1948</v>
      </c>
      <c r="C7" s="755" t="e">
        <f>IF(C8="不临65条商业街",1,ROUND(1+(1.6*E8+1.2*E9+0.8*E10+0.4*E11)*C9,4))</f>
        <v>#DIV/0!</v>
      </c>
      <c r="D7" s="2021" t="s">
        <v>1949</v>
      </c>
      <c r="E7" s="776"/>
      <c r="F7" s="2022"/>
      <c r="G7" s="2023"/>
      <c r="H7" s="2023"/>
      <c r="I7" s="2023"/>
      <c r="J7" s="2024"/>
      <c r="K7" s="1383"/>
      <c r="L7" s="2002" t="s">
        <v>1950</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1951</v>
      </c>
      <c r="X7" s="1213">
        <f>G2</f>
        <v>0</v>
      </c>
      <c r="Y7" s="1213" t="s">
        <v>1952</v>
      </c>
      <c r="Z7" s="1214">
        <f>G3</f>
        <v>1.2</v>
      </c>
      <c r="AA7" s="1215"/>
      <c r="AB7" s="1215"/>
      <c r="AC7" s="1216"/>
      <c r="AD7" s="1217"/>
      <c r="AE7" s="1217"/>
      <c r="AF7" s="1217"/>
      <c r="AG7" s="1217"/>
      <c r="AH7" s="1217"/>
      <c r="AI7" s="1217"/>
      <c r="AJ7" s="1218"/>
    </row>
    <row r="8" spans="1:36" ht="15">
      <c r="A8" s="3298"/>
      <c r="B8" s="170" t="s">
        <v>1953</v>
      </c>
      <c r="C8" s="2025"/>
      <c r="D8" s="756" t="s">
        <v>112</v>
      </c>
      <c r="E8" s="757" t="e">
        <f>ROUND(C11/E7,4)</f>
        <v>#DIV/0!</v>
      </c>
      <c r="F8" s="2026" t="s">
        <v>1954</v>
      </c>
      <c r="G8" s="2027"/>
      <c r="H8" s="2027"/>
      <c r="I8" s="2027"/>
      <c r="J8" s="2028"/>
      <c r="K8" s="1119"/>
      <c r="L8" s="2002" t="s">
        <v>1955</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66" t="s">
        <v>1956</v>
      </c>
      <c r="X8" s="3767"/>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8"/>
      <c r="B9" s="170" t="s">
        <v>1969</v>
      </c>
      <c r="C9" s="758">
        <f>SUMIF(修正!C71:C138,C8,修正!E71:E138)</f>
        <v>0</v>
      </c>
      <c r="D9" s="171" t="s">
        <v>113</v>
      </c>
      <c r="E9" s="171" t="e">
        <f>ROUND(C11/E7,4)</f>
        <v>#DIV/0!</v>
      </c>
      <c r="F9" s="2026" t="s">
        <v>1970</v>
      </c>
      <c r="G9" s="2027"/>
      <c r="H9" s="2027"/>
      <c r="I9" s="2027"/>
      <c r="J9" s="2028"/>
      <c r="K9" s="1119"/>
      <c r="L9" s="2002" t="s">
        <v>1971</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68"/>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1972</v>
      </c>
      <c r="C10" s="171">
        <f>SUMIF(修正!C71:C138,C8,修正!F71:F138)</f>
        <v>0</v>
      </c>
      <c r="D10" s="171" t="s">
        <v>114</v>
      </c>
      <c r="E10" s="171" t="e">
        <f>ROUND(C11/E7,4)</f>
        <v>#DIV/0!</v>
      </c>
      <c r="F10" s="2026" t="s">
        <v>1973</v>
      </c>
      <c r="G10" s="2027"/>
      <c r="H10" s="2027"/>
      <c r="I10" s="2027"/>
      <c r="J10" s="2028"/>
      <c r="K10" s="1119"/>
      <c r="L10" s="2002" t="s">
        <v>1974</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1975</v>
      </c>
      <c r="C11" s="759">
        <f>C10/4</f>
        <v>0</v>
      </c>
      <c r="D11" s="759" t="s">
        <v>115</v>
      </c>
      <c r="E11" s="759" t="e">
        <f>ROUND(C11/E7,4)</f>
        <v>#DIV/0!</v>
      </c>
      <c r="F11" s="2030" t="s">
        <v>1976</v>
      </c>
      <c r="G11" s="2031"/>
      <c r="H11" s="2031"/>
      <c r="I11" s="2031"/>
      <c r="J11" s="2032"/>
      <c r="K11" s="1119"/>
      <c r="L11" s="2002" t="s">
        <v>1977</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8" t="s">
        <v>1980</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1978</v>
      </c>
      <c r="C13" s="755">
        <f>ROUND(C16*D16*E16*F16*G16*H16*I16*J16,4)</f>
        <v>0</v>
      </c>
      <c r="D13" s="2034" t="s">
        <v>1979</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1981</v>
      </c>
      <c r="C14" s="2040" t="s">
        <v>1982</v>
      </c>
      <c r="D14" s="1349" t="s">
        <v>1983</v>
      </c>
      <c r="E14" s="27" t="s">
        <v>1984</v>
      </c>
      <c r="F14" s="3311" t="s">
        <v>3245</v>
      </c>
      <c r="G14" s="3311" t="s">
        <v>3245</v>
      </c>
      <c r="H14" s="3311" t="s">
        <v>3245</v>
      </c>
      <c r="I14" s="3311" t="s">
        <v>3245</v>
      </c>
      <c r="J14" s="3311" t="s">
        <v>3245</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1985</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3" t="s">
        <v>3256</v>
      </c>
      <c r="B20" s="167" t="s">
        <v>1990</v>
      </c>
      <c r="C20" s="3324" t="e">
        <f>ROUND(IF(F21="与级别开发程度一致",0,(G21-E21)/C21),0)</f>
        <v>#DIV/0!</v>
      </c>
      <c r="D20" s="3340" t="s">
        <v>1994</v>
      </c>
      <c r="E20" s="3341"/>
      <c r="F20" s="3779" t="s">
        <v>1991</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4"/>
      <c r="B21" s="2163" t="s">
        <v>1993</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1996</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1998</v>
      </c>
      <c r="E23" s="761">
        <v>44197</v>
      </c>
      <c r="F23" s="2053" t="s">
        <v>1999</v>
      </c>
      <c r="G23" s="762">
        <f>'数据-取费表'!B2</f>
        <v>45112</v>
      </c>
      <c r="H23" s="3342" t="s">
        <v>3258</v>
      </c>
      <c r="I23" s="3343" t="str">
        <f>IF(H23="季度增幅（自定义）",SUMIF(N25:N28,E2,O25:O28),"")</f>
        <v/>
      </c>
      <c r="J23" s="3445" t="s">
        <v>3257</v>
      </c>
      <c r="K23" s="1125"/>
      <c r="L23" s="2054" t="s">
        <v>2000</v>
      </c>
      <c r="M23" s="1327">
        <f>ROUND(SUMIF(地价!B2:G2,E2,地价!B16:G16),0)</f>
        <v>0</v>
      </c>
      <c r="N23" s="2055" t="s">
        <v>2001</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2002</v>
      </c>
      <c r="C24" s="764" t="e">
        <f>ROUND(POWER(1+G24,J24-I24)*(POWER(1+G24,I24)-1)/(POWER(1+G24,J24)-1),4)</f>
        <v>#DIV/0!</v>
      </c>
      <c r="D24" s="2059" t="s">
        <v>2003</v>
      </c>
      <c r="E24" s="1334">
        <f>存贷款利率!E23/100</f>
        <v>4.3499999999999997E-2</v>
      </c>
      <c r="F24" s="2059" t="s">
        <v>1995</v>
      </c>
      <c r="G24" s="768">
        <f>SUMIF(M30:Q30,E2,M33:Q33)</f>
        <v>0</v>
      </c>
      <c r="H24" s="2059" t="s">
        <v>2004</v>
      </c>
      <c r="I24" s="769" t="e">
        <f>SUMIF('数据-取费表'!C6:C15,E2,'数据-取费表'!F6:F15)/COUNTIF('数据-取费表'!C6:C15,E2)</f>
        <v>#DIV/0!</v>
      </c>
      <c r="J24" s="770">
        <f>IF(E2="住宅",70,IF(E2="商业",40,50))</f>
        <v>50</v>
      </c>
      <c r="K24" s="1125"/>
      <c r="L24" s="2060" t="s">
        <v>2005</v>
      </c>
      <c r="M24" s="1328">
        <f>ROUND(SUMPRODUCT((地价!A4:A16=YEAR(G23)&amp;"-"&amp;ROUNDUP(MONTH(G23)/3,0))*(地价!B2:G2=E2)*(地价!B4:G16)),0)</f>
        <v>0</v>
      </c>
      <c r="N24" s="2061" t="s">
        <v>2006</v>
      </c>
      <c r="O24" s="2062" t="s">
        <v>2007</v>
      </c>
      <c r="P24" s="2063" t="s">
        <v>2008</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3337</v>
      </c>
      <c r="C25" s="771">
        <f>IF(B25="容积率修正",IF(G3&lt;10,D26,J26),C27)</f>
        <v>0</v>
      </c>
      <c r="D25" s="2066"/>
      <c r="E25" s="2066"/>
      <c r="F25" s="2066"/>
      <c r="G25" s="2066"/>
      <c r="H25" s="2066"/>
      <c r="I25" s="2066"/>
      <c r="J25" s="2067"/>
      <c r="K25" s="1125"/>
      <c r="L25" s="2787"/>
      <c r="M25" s="2787"/>
      <c r="N25" s="2068" t="s">
        <v>2009</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2010</v>
      </c>
      <c r="B26" s="2069" t="s">
        <v>2011</v>
      </c>
      <c r="C26" s="3344" t="s">
        <v>3259</v>
      </c>
      <c r="D26" s="1351">
        <f>IF(E26=G26,F26,IF(G3&lt;10,ROUND(F26+(H26-F26)*(G3-E26)/(G26-E26),4),"——"))</f>
        <v>0</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2012</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2013</v>
      </c>
      <c r="B27" s="2070" t="s">
        <v>2014</v>
      </c>
      <c r="C27" s="841">
        <f>ROUND(IF(I3&lt;6,SUMPRODUCT((B106:B110=I3)*(C105:N105=G2)*(C106:N110)),SUMIF(C105:N105,G2,C112:N112)),4)</f>
        <v>0</v>
      </c>
      <c r="D27" s="2045"/>
      <c r="E27" s="2045"/>
      <c r="F27" s="2071"/>
      <c r="G27" s="2072"/>
      <c r="H27" s="2073"/>
      <c r="I27" s="2074"/>
      <c r="J27" s="2075"/>
      <c r="K27" s="1119"/>
      <c r="L27" s="1996"/>
      <c r="M27" s="1996"/>
      <c r="N27" s="2068" t="s">
        <v>2015</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2016</v>
      </c>
      <c r="C28" s="760">
        <f>SUMIF(A47:A101,E2,B47:B101)</f>
        <v>0</v>
      </c>
      <c r="D28" s="2051"/>
      <c r="E28" s="2076"/>
      <c r="F28" s="2076"/>
      <c r="G28" s="2076"/>
      <c r="H28" s="2076"/>
      <c r="I28" s="2076"/>
      <c r="J28" s="2077"/>
      <c r="K28" s="1125"/>
      <c r="L28" s="2787"/>
      <c r="M28" s="2787"/>
      <c r="N28" s="2078"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2018</v>
      </c>
      <c r="C29" s="765"/>
      <c r="D29" s="2023"/>
      <c r="E29" s="2023"/>
      <c r="F29" s="2080"/>
      <c r="G29" s="2023"/>
      <c r="H29" s="2023"/>
      <c r="I29" s="2023"/>
      <c r="J29" s="2024"/>
      <c r="K29" s="1119"/>
      <c r="L29" s="1996"/>
      <c r="M29" s="1996"/>
      <c r="N29" s="2784" t="s">
        <v>2019</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2020</v>
      </c>
      <c r="C30" s="2320" t="e">
        <f>IF(B25="容积率修正",E33+SUM(E37:E42),SUM(V2:V16)+SUM(E37:E42))</f>
        <v>#DIV/0!</v>
      </c>
      <c r="D30" s="2082"/>
      <c r="E30" s="2045"/>
      <c r="F30" s="2083"/>
      <c r="G30" s="2045"/>
      <c r="H30" s="2045"/>
      <c r="I30" s="2045"/>
      <c r="J30" s="2084"/>
      <c r="K30" s="1119"/>
      <c r="L30" s="3350" t="s">
        <v>1932</v>
      </c>
      <c r="M30" s="3351" t="s">
        <v>1986</v>
      </c>
      <c r="N30" s="3351" t="s">
        <v>1987</v>
      </c>
      <c r="O30" s="3351" t="s">
        <v>1988</v>
      </c>
      <c r="P30" s="3351" t="s">
        <v>1989</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2021</v>
      </c>
      <c r="C31" s="766" t="e">
        <f>E34+SUM(I37:I42)</f>
        <v>#DIV/0!</v>
      </c>
      <c r="D31" s="2086"/>
      <c r="E31" s="2087"/>
      <c r="F31" s="2088"/>
      <c r="G31" s="2087"/>
      <c r="H31" s="2087"/>
      <c r="I31" s="2087"/>
      <c r="J31" s="2089"/>
      <c r="K31" s="1119"/>
      <c r="L31" s="3352" t="s">
        <v>1992</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2022</v>
      </c>
      <c r="C32" s="2092" t="s">
        <v>2023</v>
      </c>
      <c r="D32" s="2092" t="s">
        <v>2024</v>
      </c>
      <c r="E32" s="2093" t="s">
        <v>2025</v>
      </c>
      <c r="F32" s="2094"/>
      <c r="G32" s="2036"/>
      <c r="H32" s="2036"/>
      <c r="I32" s="2036"/>
      <c r="J32" s="2037"/>
      <c r="K32" s="1119"/>
      <c r="L32" s="3353" t="s">
        <v>1995</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2026</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2027</v>
      </c>
      <c r="C34" s="187" t="e">
        <f>ROUND(IF(E2="工业",C33*M42,IF(B25="楼层修正",SUM(V2:V16)*M41*10000/D34,C33*M41)),0)</f>
        <v>#DIV/0!</v>
      </c>
      <c r="D34" s="2102"/>
      <c r="E34" s="773" t="e">
        <f>ROUND(IF(B25="楼层修正",SUM(V2:V16)*M40,C34*D34/10000),0)</f>
        <v>#DIV/0!</v>
      </c>
      <c r="F34" s="2103" t="s">
        <v>2028</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2029</v>
      </c>
      <c r="C35" s="3346" t="s">
        <v>3263</v>
      </c>
      <c r="D35" s="2036"/>
      <c r="E35" s="2108"/>
      <c r="F35" s="2108"/>
      <c r="G35" s="2034" t="s">
        <v>2030</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2023</v>
      </c>
      <c r="D36" s="447" t="s">
        <v>2024</v>
      </c>
      <c r="E36" s="447" t="s">
        <v>2025</v>
      </c>
      <c r="F36" s="342" t="s">
        <v>2031</v>
      </c>
      <c r="G36" s="2111" t="s">
        <v>2023</v>
      </c>
      <c r="H36" s="2111" t="s">
        <v>2024</v>
      </c>
      <c r="I36" s="2111" t="s">
        <v>2025</v>
      </c>
      <c r="J36" s="243"/>
      <c r="K36" s="3356" t="s">
        <v>3267</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7"/>
      <c r="B37" s="2112" t="s">
        <v>2032</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2033</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8"/>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2034</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2035</v>
      </c>
      <c r="M40" s="2116"/>
      <c r="Z40" s="1120"/>
      <c r="AA40" s="1120"/>
      <c r="AB40" s="1120"/>
      <c r="AC40" s="1120"/>
      <c r="AD40" s="1120"/>
      <c r="AE40" s="1120"/>
      <c r="AF40" s="1120"/>
      <c r="AG40" s="1120"/>
      <c r="AH40" s="1120"/>
      <c r="AI40" s="1120"/>
      <c r="AJ40" s="1120"/>
    </row>
    <row r="41" spans="1:37" s="1119" customFormat="1">
      <c r="A41" s="2114"/>
      <c r="B41" s="2040" t="s">
        <v>2036</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5" thickBot="1">
      <c r="A42" s="2100"/>
      <c r="B42" s="2118" t="s">
        <v>2037</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1989</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2118</v>
      </c>
      <c r="C44" s="342" t="e">
        <f>ROUND(POWER(1+E44,H44-G44)*(POWER(1+E44,G44)-1)/(POWER(1+E44,H44)-1),4)</f>
        <v>#DIV/0!</v>
      </c>
      <c r="D44" s="171" t="s">
        <v>1995</v>
      </c>
      <c r="E44" s="2152">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2038</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2039</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2040</v>
      </c>
      <c r="B49" s="1350" t="s">
        <v>2041</v>
      </c>
      <c r="C49" s="1350" t="s">
        <v>2042</v>
      </c>
      <c r="D49" s="1350" t="s">
        <v>2043</v>
      </c>
      <c r="E49" s="743" t="s">
        <v>2044</v>
      </c>
      <c r="F49" s="2130" t="s">
        <v>2045</v>
      </c>
      <c r="G49" s="1350" t="s">
        <v>310</v>
      </c>
      <c r="H49" s="2131" t="s">
        <v>2046</v>
      </c>
      <c r="I49" s="1350"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2048</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2049</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2050</v>
      </c>
      <c r="B53" s="2134" t="s">
        <v>2051</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2052</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2053</v>
      </c>
      <c r="B55" s="2135" t="s">
        <v>2054</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2055</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2056</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2057</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2058</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2040</v>
      </c>
      <c r="B60" s="1350"/>
      <c r="C60" s="1350" t="s">
        <v>2042</v>
      </c>
      <c r="D60" s="1350" t="s">
        <v>2043</v>
      </c>
      <c r="E60" s="743" t="s">
        <v>2044</v>
      </c>
      <c r="F60" s="2130" t="s">
        <v>2059</v>
      </c>
      <c r="G60" s="1350" t="s">
        <v>310</v>
      </c>
      <c r="H60" s="2131" t="s">
        <v>2046</v>
      </c>
      <c r="I60" s="1350"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2060</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2049</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2050</v>
      </c>
      <c r="B64" s="2134" t="s">
        <v>2051</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2052</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2053</v>
      </c>
      <c r="B66" s="2135" t="s">
        <v>2054</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2055</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2056</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2057</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2061</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2040</v>
      </c>
      <c r="B71" s="1350"/>
      <c r="C71" s="1350" t="s">
        <v>2042</v>
      </c>
      <c r="D71" s="1350" t="s">
        <v>2043</v>
      </c>
      <c r="E71" s="743" t="s">
        <v>2044</v>
      </c>
      <c r="F71" s="2130" t="s">
        <v>2059</v>
      </c>
      <c r="G71" s="1350" t="s">
        <v>310</v>
      </c>
      <c r="H71" s="2131" t="s">
        <v>2046</v>
      </c>
      <c r="I71" s="1350"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2062</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2049</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3271</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2063</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2055</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2056</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2053</v>
      </c>
      <c r="B78" s="2135" t="s">
        <v>2054</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2057</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2064</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2065</v>
      </c>
      <c r="B81" s="2126">
        <f>1+E83</f>
        <v>1</v>
      </c>
      <c r="C81" s="741"/>
      <c r="D81" s="741"/>
      <c r="E81" s="742"/>
      <c r="F81" s="2128"/>
      <c r="G81" s="3"/>
      <c r="H81" s="3"/>
      <c r="I81" s="3"/>
      <c r="J81" s="4"/>
      <c r="K81" s="4"/>
      <c r="L81" s="4"/>
      <c r="M81" s="4"/>
      <c r="N81" s="4"/>
      <c r="Z81" s="1997"/>
      <c r="AA81" s="2052"/>
      <c r="AG81" s="1121"/>
      <c r="AK81" s="2052"/>
    </row>
    <row r="82" spans="1:37" ht="24.75">
      <c r="A82" s="2129" t="s">
        <v>2040</v>
      </c>
      <c r="B82" s="1350"/>
      <c r="C82" s="1350" t="s">
        <v>2042</v>
      </c>
      <c r="D82" s="1350" t="s">
        <v>2043</v>
      </c>
      <c r="E82" s="743" t="s">
        <v>2044</v>
      </c>
      <c r="F82" s="2130" t="s">
        <v>2059</v>
      </c>
      <c r="G82" s="1350" t="s">
        <v>310</v>
      </c>
      <c r="H82" s="2131" t="s">
        <v>2046</v>
      </c>
      <c r="I82" s="1350" t="s">
        <v>2047</v>
      </c>
      <c r="J82" s="552" t="s">
        <v>1718</v>
      </c>
      <c r="K82" s="552" t="s">
        <v>1719</v>
      </c>
      <c r="L82" s="552" t="s">
        <v>1720</v>
      </c>
      <c r="M82" s="552" t="s">
        <v>1721</v>
      </c>
      <c r="N82" s="552" t="s">
        <v>1722</v>
      </c>
      <c r="Z82" s="1997"/>
      <c r="AA82" s="2052"/>
      <c r="AG82" s="1121"/>
      <c r="AK82" s="2052"/>
    </row>
    <row r="83" spans="1:37" ht="38.25">
      <c r="A83" s="2129" t="s">
        <v>2066</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2049</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3272</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2063</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2055</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2056</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2053</v>
      </c>
      <c r="B89" s="2135" t="s">
        <v>2067</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2068</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5" t="s">
        <v>3296</v>
      </c>
      <c r="B103" s="3775"/>
      <c r="C103" s="3775"/>
      <c r="D103" s="3775"/>
      <c r="E103" s="3775"/>
      <c r="F103" s="3775"/>
      <c r="G103" s="3775"/>
      <c r="H103" s="3775"/>
      <c r="I103" s="3775"/>
      <c r="J103" s="3775"/>
      <c r="K103" s="3389"/>
      <c r="L103" s="3389"/>
      <c r="M103" s="3389"/>
      <c r="N103" s="3389"/>
    </row>
    <row r="104" spans="1:14">
      <c r="A104" s="3776" t="s">
        <v>3297</v>
      </c>
      <c r="B104" s="3776" t="s">
        <v>3298</v>
      </c>
      <c r="C104" s="3390" t="s">
        <v>3299</v>
      </c>
      <c r="D104" s="3391"/>
      <c r="E104" s="3391"/>
      <c r="F104" s="3391"/>
      <c r="G104" s="3391"/>
      <c r="H104" s="3391"/>
      <c r="I104" s="3391"/>
      <c r="J104" s="3392"/>
      <c r="K104" s="3393"/>
      <c r="L104" s="3393"/>
      <c r="M104" s="3393"/>
      <c r="N104" s="3393"/>
    </row>
    <row r="105" spans="1:14">
      <c r="A105" s="3776"/>
      <c r="B105" s="3776"/>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2"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5" t="s">
        <v>3313</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1.2</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0.98360000000000003</v>
      </c>
      <c r="C118" s="3387">
        <f>B118</f>
        <v>0.98360000000000003</v>
      </c>
      <c r="D118" s="3387">
        <f>ROUND(0.949-0.014*B116,4)</f>
        <v>0.93220000000000003</v>
      </c>
      <c r="E118" s="3387">
        <f>D118</f>
        <v>0.93220000000000003</v>
      </c>
      <c r="F118" s="3387">
        <f>E118</f>
        <v>0.93220000000000003</v>
      </c>
      <c r="G118" s="3387">
        <f>F118</f>
        <v>0.93220000000000003</v>
      </c>
      <c r="H118" s="3387">
        <f>G118</f>
        <v>0.93220000000000003</v>
      </c>
      <c r="I118" s="3387">
        <f>ROUND(0.8486-0.018*B116,4)</f>
        <v>0.82699999999999996</v>
      </c>
      <c r="J118" s="3387">
        <f t="shared" ref="J118:M122" si="35">I118</f>
        <v>0.82699999999999996</v>
      </c>
      <c r="K118" s="3387">
        <f t="shared" si="35"/>
        <v>0.82699999999999996</v>
      </c>
      <c r="L118" s="3387">
        <f t="shared" si="35"/>
        <v>0.82699999999999996</v>
      </c>
      <c r="M118" s="3410">
        <f t="shared" si="35"/>
        <v>0.82699999999999996</v>
      </c>
      <c r="N118" s="3397"/>
    </row>
    <row r="119" spans="1:14">
      <c r="A119" s="3409" t="s">
        <v>3331</v>
      </c>
      <c r="B119" s="3387">
        <f>ROUND(0.993-0.0112*B116,4)</f>
        <v>0.97960000000000003</v>
      </c>
      <c r="C119" s="3387">
        <f>B119</f>
        <v>0.97960000000000003</v>
      </c>
      <c r="D119" s="3387">
        <f>ROUND(0.9415-0.0142*B116,4)</f>
        <v>0.92449999999999999</v>
      </c>
      <c r="E119" s="3387">
        <f t="shared" ref="E119:H120" si="36">D119</f>
        <v>0.92449999999999999</v>
      </c>
      <c r="F119" s="3387">
        <f t="shared" si="36"/>
        <v>0.92449999999999999</v>
      </c>
      <c r="G119" s="3387">
        <f t="shared" si="36"/>
        <v>0.92449999999999999</v>
      </c>
      <c r="H119" s="3387">
        <f t="shared" si="36"/>
        <v>0.92449999999999999</v>
      </c>
      <c r="I119" s="3387">
        <f>ROUND(0.838-0.0182*B116,4)</f>
        <v>0.81620000000000004</v>
      </c>
      <c r="J119" s="3387">
        <f t="shared" si="35"/>
        <v>0.81620000000000004</v>
      </c>
      <c r="K119" s="3387">
        <f t="shared" si="35"/>
        <v>0.81620000000000004</v>
      </c>
      <c r="L119" s="3387">
        <f t="shared" si="35"/>
        <v>0.81620000000000004</v>
      </c>
      <c r="M119" s="3410">
        <f t="shared" si="35"/>
        <v>0.81620000000000004</v>
      </c>
      <c r="N119" s="3397"/>
    </row>
    <row r="120" spans="1:14">
      <c r="A120" s="3409" t="s">
        <v>3332</v>
      </c>
      <c r="B120" s="3387">
        <f>ROUND(0.9448-0.0115*B116,4)</f>
        <v>0.93100000000000005</v>
      </c>
      <c r="C120" s="3387">
        <f>B120</f>
        <v>0.93100000000000005</v>
      </c>
      <c r="D120" s="3387">
        <f>ROUND(0.937-0.0145*B116,4)</f>
        <v>0.91959999999999997</v>
      </c>
      <c r="E120" s="3387">
        <f t="shared" si="36"/>
        <v>0.91959999999999997</v>
      </c>
      <c r="F120" s="3387">
        <f t="shared" si="36"/>
        <v>0.91959999999999997</v>
      </c>
      <c r="G120" s="3387">
        <f t="shared" si="36"/>
        <v>0.91959999999999997</v>
      </c>
      <c r="H120" s="3387">
        <f t="shared" si="36"/>
        <v>0.91959999999999997</v>
      </c>
      <c r="I120" s="3387">
        <f>ROUND(0.7965-0.0185*B116,4)</f>
        <v>0.77429999999999999</v>
      </c>
      <c r="J120" s="3387">
        <f t="shared" si="35"/>
        <v>0.77429999999999999</v>
      </c>
      <c r="K120" s="3387">
        <f t="shared" si="35"/>
        <v>0.77429999999999999</v>
      </c>
      <c r="L120" s="3387">
        <f t="shared" si="35"/>
        <v>0.77429999999999999</v>
      </c>
      <c r="M120" s="3410">
        <f t="shared" si="35"/>
        <v>0.77429999999999999</v>
      </c>
      <c r="N120" s="3397"/>
    </row>
    <row r="121" spans="1:14" ht="13.5" thickBot="1">
      <c r="A121" s="3411" t="s">
        <v>3333</v>
      </c>
      <c r="B121" s="3412">
        <f>ROUND(0.7836-0.012*B116,4)</f>
        <v>0.76919999999999999</v>
      </c>
      <c r="C121" s="3412">
        <f>B121</f>
        <v>0.76919999999999999</v>
      </c>
      <c r="D121" s="3412">
        <f>ROUND(0.753-0.015*B116,4)</f>
        <v>0.73499999999999999</v>
      </c>
      <c r="E121" s="3412">
        <f>D121</f>
        <v>0.73499999999999999</v>
      </c>
      <c r="F121" s="3412">
        <f>E121</f>
        <v>0.73499999999999999</v>
      </c>
      <c r="G121" s="3412">
        <f>ROUND(0.6612-0.018*B116,4)</f>
        <v>0.63959999999999995</v>
      </c>
      <c r="H121" s="3412">
        <f>G121</f>
        <v>0.63959999999999995</v>
      </c>
      <c r="I121" s="3412">
        <f>ROUND(0.5905-0.019*B116,4)</f>
        <v>0.56769999999999998</v>
      </c>
      <c r="J121" s="3412">
        <f t="shared" si="35"/>
        <v>0.56769999999999998</v>
      </c>
      <c r="K121" s="3412">
        <f t="shared" si="35"/>
        <v>0.56769999999999998</v>
      </c>
      <c r="L121" s="3412">
        <f t="shared" si="35"/>
        <v>0.56769999999999998</v>
      </c>
      <c r="M121" s="3413">
        <f t="shared" si="35"/>
        <v>0.56769999999999998</v>
      </c>
      <c r="N121" s="3397"/>
    </row>
    <row r="122" spans="1:14">
      <c r="A122" s="3414" t="s">
        <v>2612</v>
      </c>
      <c r="B122" s="3387">
        <f>ROUND(0.9404-0.0106*B116,4)</f>
        <v>0.92769999999999997</v>
      </c>
      <c r="C122" s="3387">
        <f>B122</f>
        <v>0.92769999999999997</v>
      </c>
      <c r="D122" s="3387">
        <f>ROUND(0.8955-0.0135*B116,4)</f>
        <v>0.87929999999999997</v>
      </c>
      <c r="E122" s="3387">
        <f t="shared" ref="E122:H122" si="37">D122</f>
        <v>0.87929999999999997</v>
      </c>
      <c r="F122" s="3387">
        <f t="shared" si="37"/>
        <v>0.87929999999999997</v>
      </c>
      <c r="G122" s="3387">
        <f t="shared" si="37"/>
        <v>0.87929999999999997</v>
      </c>
      <c r="H122" s="3387">
        <f t="shared" si="37"/>
        <v>0.87929999999999997</v>
      </c>
      <c r="I122" s="3387">
        <f>ROUND(0.7632-0.0166*B116,4)</f>
        <v>0.74329999999999996</v>
      </c>
      <c r="J122" s="3387">
        <f t="shared" si="35"/>
        <v>0.74329999999999996</v>
      </c>
      <c r="K122" s="3387">
        <f t="shared" si="35"/>
        <v>0.74329999999999996</v>
      </c>
      <c r="L122" s="3387">
        <f t="shared" si="35"/>
        <v>0.74329999999999996</v>
      </c>
      <c r="M122" s="3410">
        <f t="shared" si="35"/>
        <v>0.74329999999999996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8" t="s">
        <v>2607</v>
      </c>
      <c r="B20" s="3781" t="s">
        <v>2628</v>
      </c>
      <c r="C20" s="3102" t="s">
        <v>2439</v>
      </c>
      <c r="D20" s="3103"/>
      <c r="E20" s="3104">
        <v>1</v>
      </c>
      <c r="F20" s="3105" t="s">
        <v>2440</v>
      </c>
      <c r="G20" s="3105"/>
    </row>
    <row r="21" spans="1:13" ht="19.5" customHeight="1">
      <c r="A21" s="3789"/>
      <c r="B21" s="3782"/>
      <c r="C21" s="3106" t="s">
        <v>2441</v>
      </c>
      <c r="D21" s="3107"/>
      <c r="E21" s="3108">
        <v>1</v>
      </c>
      <c r="F21" s="3105" t="s">
        <v>2442</v>
      </c>
      <c r="G21" s="3105"/>
    </row>
    <row r="22" spans="1:13" ht="19.5" customHeight="1">
      <c r="A22" s="3789"/>
      <c r="B22" s="3782"/>
      <c r="C22" s="3106" t="s">
        <v>2443</v>
      </c>
      <c r="D22" s="3107"/>
      <c r="E22" s="3108">
        <v>0.9</v>
      </c>
      <c r="F22" s="3105" t="s">
        <v>2444</v>
      </c>
      <c r="G22" s="3105"/>
    </row>
    <row r="23" spans="1:13" ht="19.5" customHeight="1">
      <c r="A23" s="3789"/>
      <c r="B23" s="3782"/>
      <c r="C23" s="3106" t="s">
        <v>2445</v>
      </c>
      <c r="D23" s="3107"/>
      <c r="E23" s="3108">
        <v>0.9</v>
      </c>
      <c r="F23" s="3105" t="s">
        <v>2446</v>
      </c>
      <c r="G23" s="3105"/>
    </row>
    <row r="24" spans="1:13" ht="19.5" customHeight="1">
      <c r="A24" s="3789"/>
      <c r="B24" s="3782"/>
      <c r="C24" s="3106" t="s">
        <v>2447</v>
      </c>
      <c r="D24" s="3107"/>
      <c r="E24" s="3108">
        <v>0.8</v>
      </c>
      <c r="F24" s="3105" t="s">
        <v>2448</v>
      </c>
      <c r="G24" s="3105"/>
    </row>
    <row r="25" spans="1:13" ht="19.5" customHeight="1" thickBot="1">
      <c r="A25" s="3790"/>
      <c r="B25" s="378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4" t="s">
        <v>2631</v>
      </c>
      <c r="B27" s="3781" t="s">
        <v>2612</v>
      </c>
      <c r="C27" s="3102" t="s">
        <v>2452</v>
      </c>
      <c r="D27" s="3103"/>
      <c r="E27" s="3104">
        <v>1</v>
      </c>
      <c r="F27" s="3105" t="s">
        <v>2453</v>
      </c>
      <c r="G27" s="3105"/>
    </row>
    <row r="28" spans="1:13" ht="19.5" customHeight="1">
      <c r="A28" s="3785"/>
      <c r="B28" s="3782"/>
      <c r="C28" s="3106" t="s">
        <v>2454</v>
      </c>
      <c r="D28" s="3107"/>
      <c r="E28" s="3108">
        <v>1</v>
      </c>
      <c r="F28" s="3105" t="s">
        <v>2455</v>
      </c>
      <c r="G28" s="3105"/>
    </row>
    <row r="29" spans="1:13" ht="19.5" customHeight="1">
      <c r="A29" s="3785"/>
      <c r="B29" s="3782"/>
      <c r="C29" s="3106" t="s">
        <v>2456</v>
      </c>
      <c r="D29" s="3107"/>
      <c r="E29" s="3108">
        <v>0.8</v>
      </c>
      <c r="F29" s="3105" t="s">
        <v>2457</v>
      </c>
      <c r="G29" s="3105"/>
    </row>
    <row r="30" spans="1:13" ht="19.5" customHeight="1">
      <c r="A30" s="3785"/>
      <c r="B30" s="3782"/>
      <c r="C30" s="3106" t="s">
        <v>2458</v>
      </c>
      <c r="D30" s="3107"/>
      <c r="E30" s="3108">
        <v>0.8</v>
      </c>
      <c r="F30" s="3105" t="s">
        <v>2459</v>
      </c>
      <c r="G30" s="3105"/>
    </row>
    <row r="31" spans="1:13" ht="19.5" customHeight="1">
      <c r="A31" s="3785"/>
      <c r="B31" s="3782"/>
      <c r="C31" s="3106" t="s">
        <v>2460</v>
      </c>
      <c r="D31" s="3107"/>
      <c r="E31" s="3108">
        <v>0.8</v>
      </c>
      <c r="F31" s="3105" t="s">
        <v>2461</v>
      </c>
      <c r="G31" s="3105"/>
    </row>
    <row r="32" spans="1:13" ht="19.5" customHeight="1">
      <c r="A32" s="3785"/>
      <c r="B32" s="3782"/>
      <c r="C32" s="3106" t="s">
        <v>2462</v>
      </c>
      <c r="D32" s="3107"/>
      <c r="E32" s="3108">
        <v>0.7</v>
      </c>
      <c r="F32" s="3105" t="s">
        <v>2463</v>
      </c>
      <c r="G32" s="3105"/>
    </row>
    <row r="33" spans="1:7" ht="19.5" customHeight="1">
      <c r="A33" s="3785"/>
      <c r="B33" s="3782"/>
      <c r="C33" s="3106" t="s">
        <v>2464</v>
      </c>
      <c r="D33" s="3107"/>
      <c r="E33" s="3108">
        <v>0.8</v>
      </c>
      <c r="F33" s="3105" t="s">
        <v>2465</v>
      </c>
      <c r="G33" s="3105"/>
    </row>
    <row r="34" spans="1:7" ht="19.5" customHeight="1">
      <c r="A34" s="3785"/>
      <c r="B34" s="3782"/>
      <c r="C34" s="3106" t="s">
        <v>2466</v>
      </c>
      <c r="D34" s="3107"/>
      <c r="E34" s="3108">
        <v>0.6</v>
      </c>
      <c r="F34" s="3105" t="s">
        <v>2467</v>
      </c>
      <c r="G34" s="3105"/>
    </row>
    <row r="35" spans="1:7" ht="19.5" customHeight="1">
      <c r="A35" s="3785"/>
      <c r="B35" s="3782"/>
      <c r="C35" s="3106" t="s">
        <v>2468</v>
      </c>
      <c r="D35" s="3107"/>
      <c r="E35" s="3108">
        <v>0.2</v>
      </c>
      <c r="F35" s="3105" t="s">
        <v>2469</v>
      </c>
      <c r="G35" s="3105"/>
    </row>
    <row r="36" spans="1:7" ht="19.5" customHeight="1">
      <c r="A36" s="3785"/>
      <c r="B36" s="3782"/>
      <c r="C36" s="3106" t="s">
        <v>2470</v>
      </c>
      <c r="D36" s="3107"/>
      <c r="E36" s="3108">
        <v>0.2</v>
      </c>
      <c r="F36" s="3105" t="s">
        <v>2471</v>
      </c>
      <c r="G36" s="3105"/>
    </row>
    <row r="37" spans="1:7" ht="19.5" customHeight="1">
      <c r="A37" s="3785"/>
      <c r="B37" s="3787" t="s">
        <v>2632</v>
      </c>
      <c r="C37" s="3106" t="s">
        <v>2472</v>
      </c>
      <c r="D37" s="3107"/>
      <c r="E37" s="3108">
        <v>0.6</v>
      </c>
      <c r="F37" s="3105" t="s">
        <v>2473</v>
      </c>
      <c r="G37" s="3105"/>
    </row>
    <row r="38" spans="1:7" ht="19.5" customHeight="1">
      <c r="A38" s="3785"/>
      <c r="B38" s="3782"/>
      <c r="C38" s="3106" t="s">
        <v>2474</v>
      </c>
      <c r="D38" s="3107"/>
      <c r="E38" s="3108">
        <v>0.6</v>
      </c>
      <c r="F38" s="3105" t="s">
        <v>2475</v>
      </c>
      <c r="G38" s="3105"/>
    </row>
    <row r="39" spans="1:7" ht="19.5" customHeight="1" thickBot="1">
      <c r="A39" s="3786"/>
      <c r="B39" s="378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8" t="s">
        <v>2610</v>
      </c>
      <c r="B41" s="3781" t="s">
        <v>2634</v>
      </c>
      <c r="C41" s="3102" t="s">
        <v>2479</v>
      </c>
      <c r="D41" s="3103"/>
      <c r="E41" s="3104">
        <v>1</v>
      </c>
      <c r="F41" s="3105" t="s">
        <v>2480</v>
      </c>
      <c r="G41" s="3105"/>
    </row>
    <row r="42" spans="1:7" ht="19.5" customHeight="1">
      <c r="A42" s="3789"/>
      <c r="B42" s="3782"/>
      <c r="C42" s="3106" t="s">
        <v>2481</v>
      </c>
      <c r="D42" s="3107"/>
      <c r="E42" s="3108">
        <v>1</v>
      </c>
      <c r="F42" s="3105" t="s">
        <v>2482</v>
      </c>
      <c r="G42" s="3105"/>
    </row>
    <row r="43" spans="1:7" ht="19.5" customHeight="1">
      <c r="A43" s="3789"/>
      <c r="B43" s="3791"/>
      <c r="C43" s="3106" t="s">
        <v>2483</v>
      </c>
      <c r="D43" s="3107"/>
      <c r="E43" s="3108">
        <v>1.5</v>
      </c>
      <c r="F43" s="3105" t="s">
        <v>2484</v>
      </c>
      <c r="G43" s="3105"/>
    </row>
    <row r="44" spans="1:7" ht="19.5" customHeight="1">
      <c r="A44" s="3789"/>
      <c r="B44" s="3117" t="s">
        <v>2635</v>
      </c>
      <c r="C44" s="3106" t="s">
        <v>2636</v>
      </c>
      <c r="D44" s="3107"/>
      <c r="E44" s="3108">
        <v>2</v>
      </c>
      <c r="F44" s="3105" t="s">
        <v>2485</v>
      </c>
      <c r="G44" s="3105"/>
    </row>
    <row r="45" spans="1:7" ht="19.5" customHeight="1">
      <c r="A45" s="3789"/>
      <c r="B45" s="3787" t="s">
        <v>2637</v>
      </c>
      <c r="C45" s="3106" t="s">
        <v>2486</v>
      </c>
      <c r="D45" s="3107"/>
      <c r="E45" s="3108">
        <v>1</v>
      </c>
      <c r="F45" s="3105" t="s">
        <v>2487</v>
      </c>
      <c r="G45" s="3105"/>
    </row>
    <row r="46" spans="1:7" ht="19.5" customHeight="1">
      <c r="A46" s="3789"/>
      <c r="B46" s="3782"/>
      <c r="C46" s="3106" t="s">
        <v>2488</v>
      </c>
      <c r="D46" s="3107"/>
      <c r="E46" s="3108">
        <v>1</v>
      </c>
      <c r="F46" s="3105" t="s">
        <v>2489</v>
      </c>
      <c r="G46" s="3105"/>
    </row>
    <row r="47" spans="1:7" ht="19.5" customHeight="1">
      <c r="A47" s="3789"/>
      <c r="B47" s="3782"/>
      <c r="C47" s="3106" t="s">
        <v>2490</v>
      </c>
      <c r="D47" s="3107"/>
      <c r="E47" s="3108">
        <v>1</v>
      </c>
      <c r="F47" s="3105" t="s">
        <v>2491</v>
      </c>
      <c r="G47" s="3105"/>
    </row>
    <row r="48" spans="1:7" ht="19.5" customHeight="1">
      <c r="A48" s="3789"/>
      <c r="B48" s="3782"/>
      <c r="C48" s="3106" t="s">
        <v>2492</v>
      </c>
      <c r="D48" s="3107"/>
      <c r="E48" s="3108">
        <v>1</v>
      </c>
      <c r="F48" s="3105" t="s">
        <v>2493</v>
      </c>
      <c r="G48" s="3105"/>
    </row>
    <row r="49" spans="1:7" ht="19.5" customHeight="1">
      <c r="A49" s="3789"/>
      <c r="B49" s="3782"/>
      <c r="C49" s="3106" t="s">
        <v>2494</v>
      </c>
      <c r="D49" s="3107"/>
      <c r="E49" s="3108">
        <v>1</v>
      </c>
      <c r="F49" s="3105" t="s">
        <v>2495</v>
      </c>
      <c r="G49" s="3105"/>
    </row>
    <row r="50" spans="1:7" ht="19.5" customHeight="1">
      <c r="A50" s="3789"/>
      <c r="B50" s="3782"/>
      <c r="C50" s="3106" t="s">
        <v>2496</v>
      </c>
      <c r="D50" s="3107"/>
      <c r="E50" s="3108">
        <v>1</v>
      </c>
      <c r="F50" s="3105" t="s">
        <v>2497</v>
      </c>
      <c r="G50" s="3105"/>
    </row>
    <row r="51" spans="1:7" ht="19.5" customHeight="1" thickBot="1">
      <c r="A51" s="3790"/>
      <c r="B51" s="378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7" t="s">
        <v>2651</v>
      </c>
      <c r="C73" s="3091" t="s">
        <v>2652</v>
      </c>
      <c r="D73" s="3091" t="s">
        <v>2653</v>
      </c>
      <c r="E73" s="3117">
        <v>0.2</v>
      </c>
      <c r="F73" s="3117">
        <v>25</v>
      </c>
    </row>
    <row r="74" spans="1:7" ht="24">
      <c r="A74" s="3117">
        <v>2</v>
      </c>
      <c r="B74" s="3782"/>
      <c r="C74" s="3091" t="s">
        <v>2654</v>
      </c>
      <c r="D74" s="3091" t="s">
        <v>2655</v>
      </c>
      <c r="E74" s="3117">
        <v>0.2</v>
      </c>
      <c r="F74" s="3117">
        <v>25</v>
      </c>
    </row>
    <row r="75" spans="1:7" ht="24">
      <c r="A75" s="3117">
        <v>3</v>
      </c>
      <c r="B75" s="3782"/>
      <c r="C75" s="3091" t="s">
        <v>2656</v>
      </c>
      <c r="D75" s="3091" t="s">
        <v>2657</v>
      </c>
      <c r="E75" s="3117">
        <v>0.2</v>
      </c>
      <c r="F75" s="3117">
        <v>25</v>
      </c>
    </row>
    <row r="76" spans="1:7" ht="13.5">
      <c r="A76" s="3117">
        <v>4</v>
      </c>
      <c r="B76" s="3782"/>
      <c r="C76" s="3091" t="s">
        <v>2658</v>
      </c>
      <c r="D76" s="3091" t="s">
        <v>2659</v>
      </c>
      <c r="E76" s="3117">
        <v>0.15</v>
      </c>
      <c r="F76" s="3117">
        <v>20</v>
      </c>
    </row>
    <row r="77" spans="1:7" ht="24">
      <c r="A77" s="3117">
        <v>5</v>
      </c>
      <c r="B77" s="3782"/>
      <c r="C77" s="3091" t="s">
        <v>2660</v>
      </c>
      <c r="D77" s="3091" t="s">
        <v>2661</v>
      </c>
      <c r="E77" s="3117">
        <v>0.15</v>
      </c>
      <c r="F77" s="3117">
        <v>20</v>
      </c>
    </row>
    <row r="78" spans="1:7" ht="24">
      <c r="A78" s="3117">
        <v>6</v>
      </c>
      <c r="B78" s="3782"/>
      <c r="C78" s="3091" t="s">
        <v>2662</v>
      </c>
      <c r="D78" s="3091" t="s">
        <v>2663</v>
      </c>
      <c r="E78" s="3117">
        <v>0.15</v>
      </c>
      <c r="F78" s="3117">
        <v>20</v>
      </c>
    </row>
    <row r="79" spans="1:7" ht="24">
      <c r="A79" s="3117">
        <v>7</v>
      </c>
      <c r="B79" s="3782"/>
      <c r="C79" s="3091" t="s">
        <v>2664</v>
      </c>
      <c r="D79" s="3091" t="s">
        <v>2665</v>
      </c>
      <c r="E79" s="3117">
        <v>0.15</v>
      </c>
      <c r="F79" s="3117">
        <v>20</v>
      </c>
    </row>
    <row r="80" spans="1:7" ht="24">
      <c r="A80" s="3117">
        <v>8</v>
      </c>
      <c r="B80" s="3782"/>
      <c r="C80" s="3091" t="s">
        <v>2666</v>
      </c>
      <c r="D80" s="3091" t="s">
        <v>2667</v>
      </c>
      <c r="E80" s="3117">
        <v>0.1</v>
      </c>
      <c r="F80" s="3117">
        <v>15</v>
      </c>
    </row>
    <row r="81" spans="1:6" ht="24">
      <c r="A81" s="3117">
        <v>9</v>
      </c>
      <c r="B81" s="3782"/>
      <c r="C81" s="3091" t="s">
        <v>2668</v>
      </c>
      <c r="D81" s="3091" t="s">
        <v>2669</v>
      </c>
      <c r="E81" s="3117">
        <v>0.1</v>
      </c>
      <c r="F81" s="3117">
        <v>15</v>
      </c>
    </row>
    <row r="82" spans="1:6" ht="24">
      <c r="A82" s="3117">
        <v>10</v>
      </c>
      <c r="B82" s="3782"/>
      <c r="C82" s="3091" t="s">
        <v>2670</v>
      </c>
      <c r="D82" s="3091" t="s">
        <v>2671</v>
      </c>
      <c r="E82" s="3117">
        <v>0.1</v>
      </c>
      <c r="F82" s="3117">
        <v>15</v>
      </c>
    </row>
    <row r="83" spans="1:6" ht="24">
      <c r="A83" s="3117">
        <v>11</v>
      </c>
      <c r="B83" s="3782"/>
      <c r="C83" s="3091" t="s">
        <v>2672</v>
      </c>
      <c r="D83" s="3091" t="s">
        <v>2673</v>
      </c>
      <c r="E83" s="3117">
        <v>0.1</v>
      </c>
      <c r="F83" s="3117">
        <v>15</v>
      </c>
    </row>
    <row r="84" spans="1:6" ht="24">
      <c r="A84" s="3117">
        <v>12</v>
      </c>
      <c r="B84" s="3782"/>
      <c r="C84" s="3091" t="s">
        <v>2674</v>
      </c>
      <c r="D84" s="3091" t="s">
        <v>2675</v>
      </c>
      <c r="E84" s="3117">
        <v>0.1</v>
      </c>
      <c r="F84" s="3117">
        <v>15</v>
      </c>
    </row>
    <row r="85" spans="1:6" ht="13.5">
      <c r="A85" s="3117">
        <v>13</v>
      </c>
      <c r="B85" s="3782"/>
      <c r="C85" s="3091" t="s">
        <v>2676</v>
      </c>
      <c r="D85" s="3091" t="s">
        <v>2677</v>
      </c>
      <c r="E85" s="3117">
        <v>0.1</v>
      </c>
      <c r="F85" s="3117">
        <v>15</v>
      </c>
    </row>
    <row r="86" spans="1:6" ht="13.5">
      <c r="A86" s="3117">
        <v>14</v>
      </c>
      <c r="B86" s="3782"/>
      <c r="C86" s="3091" t="s">
        <v>2678</v>
      </c>
      <c r="D86" s="3091" t="s">
        <v>2679</v>
      </c>
      <c r="E86" s="3117">
        <v>0.1</v>
      </c>
      <c r="F86" s="3117">
        <v>15</v>
      </c>
    </row>
    <row r="87" spans="1:6" ht="13.5">
      <c r="A87" s="3117">
        <v>15</v>
      </c>
      <c r="B87" s="3782"/>
      <c r="C87" s="3091" t="s">
        <v>2680</v>
      </c>
      <c r="D87" s="3091" t="s">
        <v>2681</v>
      </c>
      <c r="E87" s="3117">
        <v>0.1</v>
      </c>
      <c r="F87" s="3117">
        <v>15</v>
      </c>
    </row>
    <row r="88" spans="1:6" ht="24">
      <c r="A88" s="3117">
        <v>16</v>
      </c>
      <c r="B88" s="3782"/>
      <c r="C88" s="3091" t="s">
        <v>2682</v>
      </c>
      <c r="D88" s="3091" t="s">
        <v>2683</v>
      </c>
      <c r="E88" s="3117">
        <v>0.1</v>
      </c>
      <c r="F88" s="3117">
        <v>15</v>
      </c>
    </row>
    <row r="89" spans="1:6" ht="24">
      <c r="A89" s="3117">
        <v>17</v>
      </c>
      <c r="B89" s="3791"/>
      <c r="C89" s="3091" t="s">
        <v>2684</v>
      </c>
      <c r="D89" s="3091" t="s">
        <v>2685</v>
      </c>
      <c r="E89" s="3117">
        <v>0.1</v>
      </c>
      <c r="F89" s="3117">
        <v>15</v>
      </c>
    </row>
    <row r="90" spans="1:6" ht="13.5">
      <c r="A90" s="3117">
        <v>18</v>
      </c>
      <c r="B90" s="3787" t="s">
        <v>2686</v>
      </c>
      <c r="C90" s="3091" t="s">
        <v>2687</v>
      </c>
      <c r="D90" s="3091" t="s">
        <v>2688</v>
      </c>
      <c r="E90" s="3117">
        <v>0.2</v>
      </c>
      <c r="F90" s="3117">
        <v>25</v>
      </c>
    </row>
    <row r="91" spans="1:6" ht="24">
      <c r="A91" s="3117">
        <v>19</v>
      </c>
      <c r="B91" s="3782"/>
      <c r="C91" s="3091" t="s">
        <v>2689</v>
      </c>
      <c r="D91" s="3091" t="s">
        <v>2690</v>
      </c>
      <c r="E91" s="3117">
        <v>0.2</v>
      </c>
      <c r="F91" s="3117">
        <v>25</v>
      </c>
    </row>
    <row r="92" spans="1:6" ht="13.5">
      <c r="A92" s="3117">
        <v>20</v>
      </c>
      <c r="B92" s="3782"/>
      <c r="C92" s="3091" t="s">
        <v>2691</v>
      </c>
      <c r="D92" s="3091" t="s">
        <v>2692</v>
      </c>
      <c r="E92" s="3117">
        <v>0.15</v>
      </c>
      <c r="F92" s="3117">
        <v>20</v>
      </c>
    </row>
    <row r="93" spans="1:6" ht="13.5">
      <c r="A93" s="3117">
        <v>21</v>
      </c>
      <c r="B93" s="3782"/>
      <c r="C93" s="3091" t="s">
        <v>2693</v>
      </c>
      <c r="D93" s="3091" t="s">
        <v>2694</v>
      </c>
      <c r="E93" s="3117">
        <v>0.15</v>
      </c>
      <c r="F93" s="3117">
        <v>20</v>
      </c>
    </row>
    <row r="94" spans="1:6" ht="13.5">
      <c r="A94" s="3117">
        <v>22</v>
      </c>
      <c r="B94" s="3782"/>
      <c r="C94" s="3091" t="s">
        <v>2695</v>
      </c>
      <c r="D94" s="3091" t="s">
        <v>2696</v>
      </c>
      <c r="E94" s="3117">
        <v>0.15</v>
      </c>
      <c r="F94" s="3117">
        <v>20</v>
      </c>
    </row>
    <row r="95" spans="1:6" ht="36">
      <c r="A95" s="3117">
        <v>23</v>
      </c>
      <c r="B95" s="3782"/>
      <c r="C95" s="3091" t="s">
        <v>2697</v>
      </c>
      <c r="D95" s="3091" t="s">
        <v>2698</v>
      </c>
      <c r="E95" s="3117">
        <v>0.15</v>
      </c>
      <c r="F95" s="3117">
        <v>20</v>
      </c>
    </row>
    <row r="96" spans="1:6" ht="13.5">
      <c r="A96" s="3117">
        <v>24</v>
      </c>
      <c r="B96" s="3782"/>
      <c r="C96" s="3091" t="s">
        <v>2699</v>
      </c>
      <c r="D96" s="3091" t="s">
        <v>2700</v>
      </c>
      <c r="E96" s="3117">
        <v>0.1</v>
      </c>
      <c r="F96" s="3117">
        <v>15</v>
      </c>
    </row>
    <row r="97" spans="1:6" ht="13.5">
      <c r="A97" s="3117">
        <v>25</v>
      </c>
      <c r="B97" s="3782"/>
      <c r="C97" s="3091" t="s">
        <v>2701</v>
      </c>
      <c r="D97" s="3091" t="s">
        <v>2702</v>
      </c>
      <c r="E97" s="3117">
        <v>0.1</v>
      </c>
      <c r="F97" s="3117">
        <v>15</v>
      </c>
    </row>
    <row r="98" spans="1:6" ht="24">
      <c r="A98" s="3117">
        <v>26</v>
      </c>
      <c r="B98" s="3782"/>
      <c r="C98" s="3091" t="s">
        <v>2703</v>
      </c>
      <c r="D98" s="3091" t="s">
        <v>2704</v>
      </c>
      <c r="E98" s="3117">
        <v>0.1</v>
      </c>
      <c r="F98" s="3117">
        <v>15</v>
      </c>
    </row>
    <row r="99" spans="1:6" ht="24">
      <c r="A99" s="3117">
        <v>27</v>
      </c>
      <c r="B99" s="3782"/>
      <c r="C99" s="3091" t="s">
        <v>2705</v>
      </c>
      <c r="D99" s="3091" t="s">
        <v>2706</v>
      </c>
      <c r="E99" s="3117">
        <v>0.1</v>
      </c>
      <c r="F99" s="3117">
        <v>15</v>
      </c>
    </row>
    <row r="100" spans="1:6" ht="13.5">
      <c r="A100" s="3117">
        <v>28</v>
      </c>
      <c r="B100" s="3782"/>
      <c r="C100" s="3091" t="s">
        <v>2707</v>
      </c>
      <c r="D100" s="3091" t="s">
        <v>2708</v>
      </c>
      <c r="E100" s="3117">
        <v>0.1</v>
      </c>
      <c r="F100" s="3117">
        <v>15</v>
      </c>
    </row>
    <row r="101" spans="1:6" ht="13.5">
      <c r="A101" s="3117">
        <v>29</v>
      </c>
      <c r="B101" s="3782"/>
      <c r="C101" s="3091" t="s">
        <v>2709</v>
      </c>
      <c r="D101" s="3091" t="s">
        <v>2710</v>
      </c>
      <c r="E101" s="3117">
        <v>0.1</v>
      </c>
      <c r="F101" s="3117">
        <v>15</v>
      </c>
    </row>
    <row r="102" spans="1:6" ht="13.5">
      <c r="A102" s="3117">
        <v>30</v>
      </c>
      <c r="B102" s="3782"/>
      <c r="C102" s="3091" t="s">
        <v>2711</v>
      </c>
      <c r="D102" s="3091" t="s">
        <v>2712</v>
      </c>
      <c r="E102" s="3117">
        <v>0.1</v>
      </c>
      <c r="F102" s="3117">
        <v>15</v>
      </c>
    </row>
    <row r="103" spans="1:6" ht="24">
      <c r="A103" s="3117">
        <v>31</v>
      </c>
      <c r="B103" s="3782"/>
      <c r="C103" s="3091" t="s">
        <v>2713</v>
      </c>
      <c r="D103" s="3091" t="s">
        <v>2714</v>
      </c>
      <c r="E103" s="3117">
        <v>0.1</v>
      </c>
      <c r="F103" s="3117">
        <v>15</v>
      </c>
    </row>
    <row r="104" spans="1:6" ht="24">
      <c r="A104" s="3117">
        <v>32</v>
      </c>
      <c r="B104" s="3782"/>
      <c r="C104" s="3091" t="s">
        <v>2715</v>
      </c>
      <c r="D104" s="3091" t="s">
        <v>2716</v>
      </c>
      <c r="E104" s="3117">
        <v>0.1</v>
      </c>
      <c r="F104" s="3117">
        <v>15</v>
      </c>
    </row>
    <row r="105" spans="1:6" ht="24">
      <c r="A105" s="3117">
        <v>33</v>
      </c>
      <c r="B105" s="3782"/>
      <c r="C105" s="3091" t="s">
        <v>2717</v>
      </c>
      <c r="D105" s="3091" t="s">
        <v>2718</v>
      </c>
      <c r="E105" s="3117">
        <v>0.1</v>
      </c>
      <c r="F105" s="3117">
        <v>15</v>
      </c>
    </row>
    <row r="106" spans="1:6" ht="24">
      <c r="A106" s="3117">
        <v>34</v>
      </c>
      <c r="B106" s="3791"/>
      <c r="C106" s="3091" t="s">
        <v>2719</v>
      </c>
      <c r="D106" s="3091" t="s">
        <v>2720</v>
      </c>
      <c r="E106" s="3117">
        <v>0.1</v>
      </c>
      <c r="F106" s="3117">
        <v>15</v>
      </c>
    </row>
    <row r="107" spans="1:6" ht="24">
      <c r="A107" s="3117">
        <v>35</v>
      </c>
      <c r="B107" s="3787" t="s">
        <v>2721</v>
      </c>
      <c r="C107" s="3117" t="s">
        <v>2722</v>
      </c>
      <c r="D107" s="3091" t="s">
        <v>2723</v>
      </c>
      <c r="E107" s="3117">
        <v>0.15</v>
      </c>
      <c r="F107" s="3117">
        <v>20</v>
      </c>
    </row>
    <row r="108" spans="1:6" ht="13.5">
      <c r="A108" s="3117">
        <v>36</v>
      </c>
      <c r="B108" s="3782"/>
      <c r="C108" s="3117" t="s">
        <v>2724</v>
      </c>
      <c r="D108" s="3091" t="s">
        <v>2725</v>
      </c>
      <c r="E108" s="3117">
        <v>0.15</v>
      </c>
      <c r="F108" s="3117">
        <v>20</v>
      </c>
    </row>
    <row r="109" spans="1:6" ht="13.5">
      <c r="A109" s="3117">
        <v>37</v>
      </c>
      <c r="B109" s="3782"/>
      <c r="C109" s="3117" t="s">
        <v>2726</v>
      </c>
      <c r="D109" s="3091" t="s">
        <v>2727</v>
      </c>
      <c r="E109" s="3117">
        <v>0.15</v>
      </c>
      <c r="F109" s="3117">
        <v>20</v>
      </c>
    </row>
    <row r="110" spans="1:6" ht="13.5">
      <c r="A110" s="3117">
        <v>38</v>
      </c>
      <c r="B110" s="3782"/>
      <c r="C110" s="3117" t="s">
        <v>2728</v>
      </c>
      <c r="D110" s="3091" t="s">
        <v>2729</v>
      </c>
      <c r="E110" s="3117">
        <v>0.1</v>
      </c>
      <c r="F110" s="3117">
        <v>15</v>
      </c>
    </row>
    <row r="111" spans="1:6" ht="24">
      <c r="A111" s="3117">
        <v>39</v>
      </c>
      <c r="B111" s="3782"/>
      <c r="C111" s="3117" t="s">
        <v>2730</v>
      </c>
      <c r="D111" s="3091" t="s">
        <v>2731</v>
      </c>
      <c r="E111" s="3117">
        <v>0.1</v>
      </c>
      <c r="F111" s="3117">
        <v>15</v>
      </c>
    </row>
    <row r="112" spans="1:6" ht="24">
      <c r="A112" s="3117">
        <v>40</v>
      </c>
      <c r="B112" s="3791"/>
      <c r="C112" s="3117" t="s">
        <v>2732</v>
      </c>
      <c r="D112" s="3091" t="s">
        <v>2733</v>
      </c>
      <c r="E112" s="3117">
        <v>0.1</v>
      </c>
      <c r="F112" s="3117">
        <v>15</v>
      </c>
    </row>
    <row r="113" spans="1:6" ht="13.5">
      <c r="A113" s="3117">
        <v>41</v>
      </c>
      <c r="B113" s="3792" t="s">
        <v>2734</v>
      </c>
      <c r="C113" s="3117" t="s">
        <v>2735</v>
      </c>
      <c r="D113" s="3091" t="s">
        <v>2736</v>
      </c>
      <c r="E113" s="3117">
        <v>0.1</v>
      </c>
      <c r="F113" s="3117">
        <v>15</v>
      </c>
    </row>
    <row r="114" spans="1:6" ht="13.5">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13.5">
      <c r="A116" s="3117">
        <v>44</v>
      </c>
      <c r="B116" s="3787" t="s">
        <v>2741</v>
      </c>
      <c r="C116" s="3117" t="s">
        <v>2742</v>
      </c>
      <c r="D116" s="3091" t="s">
        <v>2743</v>
      </c>
      <c r="E116" s="3117">
        <v>0.1</v>
      </c>
      <c r="F116" s="3117">
        <v>15</v>
      </c>
    </row>
    <row r="117" spans="1:6" ht="24">
      <c r="A117" s="3117">
        <v>45</v>
      </c>
      <c r="B117" s="3791"/>
      <c r="C117" s="3091" t="s">
        <v>2744</v>
      </c>
      <c r="D117" s="3091" t="s">
        <v>2745</v>
      </c>
      <c r="E117" s="3117">
        <v>0.1</v>
      </c>
      <c r="F117" s="3117">
        <v>15</v>
      </c>
    </row>
    <row r="118" spans="1:6" ht="24">
      <c r="A118" s="3117">
        <v>46</v>
      </c>
      <c r="B118" s="3787" t="s">
        <v>2746</v>
      </c>
      <c r="C118" s="3117" t="s">
        <v>2747</v>
      </c>
      <c r="D118" s="3091" t="s">
        <v>2748</v>
      </c>
      <c r="E118" s="3117">
        <v>0.1</v>
      </c>
      <c r="F118" s="3117">
        <v>15</v>
      </c>
    </row>
    <row r="119" spans="1:6" ht="24">
      <c r="A119" s="3117">
        <v>47</v>
      </c>
      <c r="B119" s="3791"/>
      <c r="C119" s="3117" t="s">
        <v>2749</v>
      </c>
      <c r="D119" s="3091" t="s">
        <v>2750</v>
      </c>
      <c r="E119" s="3117">
        <v>0.1</v>
      </c>
      <c r="F119" s="3117">
        <v>15</v>
      </c>
    </row>
    <row r="120" spans="1:6" ht="13.5">
      <c r="A120" s="3117">
        <v>48</v>
      </c>
      <c r="B120" s="3787" t="s">
        <v>2751</v>
      </c>
      <c r="C120" s="3117" t="s">
        <v>2752</v>
      </c>
      <c r="D120" s="3091" t="s">
        <v>2753</v>
      </c>
      <c r="E120" s="3117">
        <v>0.1</v>
      </c>
      <c r="F120" s="3117">
        <v>15</v>
      </c>
    </row>
    <row r="121" spans="1:6" ht="13.5">
      <c r="A121" s="3117">
        <v>49</v>
      </c>
      <c r="B121" s="3791"/>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2" t="s">
        <v>2769</v>
      </c>
      <c r="C127" s="3117" t="s">
        <v>2770</v>
      </c>
      <c r="D127" s="3091" t="s">
        <v>2771</v>
      </c>
      <c r="E127" s="3117">
        <v>0.1</v>
      </c>
      <c r="F127" s="3117">
        <v>15</v>
      </c>
    </row>
    <row r="128" spans="1:6" ht="13.5">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13.5">
      <c r="A131" s="3117">
        <v>59</v>
      </c>
      <c r="B131" s="3792"/>
      <c r="C131" s="3117" t="s">
        <v>2779</v>
      </c>
      <c r="D131" s="3091" t="s">
        <v>2780</v>
      </c>
      <c r="E131" s="3117">
        <v>0.1</v>
      </c>
      <c r="F131" s="3117">
        <v>15</v>
      </c>
    </row>
    <row r="132" spans="1:6" ht="13.5">
      <c r="A132" s="3117">
        <v>60</v>
      </c>
      <c r="B132" s="3787" t="s">
        <v>2781</v>
      </c>
      <c r="C132" s="3117" t="s">
        <v>2782</v>
      </c>
      <c r="D132" s="3091" t="s">
        <v>2783</v>
      </c>
      <c r="E132" s="3117">
        <v>0.1</v>
      </c>
      <c r="F132" s="3117">
        <v>15</v>
      </c>
    </row>
    <row r="133" spans="1:6" ht="13.5">
      <c r="A133" s="3117">
        <v>61</v>
      </c>
      <c r="B133" s="3791"/>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2" t="s">
        <v>2789</v>
      </c>
      <c r="C135" s="3117" t="s">
        <v>2790</v>
      </c>
      <c r="D135" s="3091" t="s">
        <v>2791</v>
      </c>
      <c r="E135" s="3117">
        <v>0.1</v>
      </c>
      <c r="F135" s="3117">
        <v>15</v>
      </c>
    </row>
    <row r="136" spans="1:6" ht="13.5">
      <c r="A136" s="3117">
        <v>64</v>
      </c>
      <c r="B136" s="379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54777</v>
      </c>
      <c r="E5" s="1490"/>
    </row>
    <row r="6" spans="1:5" ht="15.75">
      <c r="A6" s="1490"/>
      <c r="B6" s="3476"/>
      <c r="C6" s="1493" t="s">
        <v>911</v>
      </c>
      <c r="D6" s="850" t="str">
        <f ca="1">NUMBERSTRING(INT(D5*10000),2)&amp;"元整"</f>
        <v>伍亿肆仟柒佰柒拾柒万元整</v>
      </c>
      <c r="E6" s="1490"/>
    </row>
    <row r="7" spans="1:5" ht="15.75">
      <c r="A7" s="1490"/>
      <c r="B7" s="3481"/>
      <c r="C7" s="1494" t="s">
        <v>912</v>
      </c>
      <c r="D7" s="851">
        <f ca="1">结果表!H102</f>
        <v>9332</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54777</v>
      </c>
      <c r="E13" s="1490"/>
    </row>
    <row r="14" spans="1:5" ht="15.75">
      <c r="A14" s="1490"/>
      <c r="B14" s="3476"/>
      <c r="C14" s="1493" t="s">
        <v>911</v>
      </c>
      <c r="D14" s="850" t="str">
        <f ca="1">NUMBERSTRING(INT(D13*10000),2)&amp;"元整"</f>
        <v>伍亿肆仟柒佰柒拾柒万元整</v>
      </c>
      <c r="E14" s="1490"/>
    </row>
    <row r="15" spans="1:5" ht="15">
      <c r="A15" s="1490"/>
      <c r="B15" s="3481"/>
      <c r="C15" s="1494" t="s">
        <v>921</v>
      </c>
      <c r="D15" s="859">
        <f ca="1">结果表!H108</f>
        <v>9332</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4.抵押净值</v>
      </c>
      <c r="C19" s="1498" t="s">
        <v>910</v>
      </c>
      <c r="D19" s="851">
        <f ca="1">结果表!H111</f>
        <v>53155</v>
      </c>
      <c r="E19" s="1490"/>
    </row>
    <row r="20" spans="1:5" ht="15.75">
      <c r="A20" s="1490"/>
      <c r="B20" s="3476"/>
      <c r="C20" s="1493" t="s">
        <v>923</v>
      </c>
      <c r="D20" s="850" t="str">
        <f ca="1">NUMBERSTRING(INT(D19*10000),2)&amp;"元整"</f>
        <v>伍亿叁仟壹佰伍拾伍万元整</v>
      </c>
      <c r="E20" s="1490"/>
    </row>
    <row r="21" spans="1:5" ht="15.75" thickBot="1">
      <c r="A21" s="1490"/>
      <c r="B21" s="3477"/>
      <c r="C21" s="1500" t="s">
        <v>921</v>
      </c>
      <c r="D21" s="860">
        <f ca="1">结果表!H112</f>
        <v>9055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63747</v>
      </c>
      <c r="C2" s="2" t="s">
        <v>106</v>
      </c>
      <c r="D2" s="199"/>
      <c r="E2" s="199"/>
      <c r="F2" s="199"/>
      <c r="G2" s="199"/>
    </row>
    <row r="3" spans="1:7" s="200" customFormat="1" ht="18" customHeight="1" thickBot="1">
      <c r="A3" s="203" t="s">
        <v>58</v>
      </c>
      <c r="B3" s="204">
        <f ca="1">ROUND(B2*10000/'数据-汇总表'!E3,0)</f>
        <v>10860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1115</v>
      </c>
      <c r="D10" s="845">
        <f>'数据-汇总表'!E6</f>
        <v>58700.09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1174</v>
      </c>
      <c r="D19" s="849">
        <f>'数据-汇总表'!E3</f>
        <v>58700.09</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2004</v>
      </c>
      <c r="D22" s="235">
        <f ca="1">C26</f>
        <v>8.9999999999999998E-4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1878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107</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2222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2222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29306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26415</v>
      </c>
      <c r="D34" s="217"/>
      <c r="E34" s="220"/>
      <c r="F34" s="257">
        <f>IF('数据-取费表'!B24=0,1,'数据-取费表'!N16)</f>
        <v>1</v>
      </c>
      <c r="G34" s="219" t="s">
        <v>89</v>
      </c>
    </row>
    <row r="35" spans="1:7" ht="13.5" customHeight="1">
      <c r="A35" s="780" t="s">
        <v>351</v>
      </c>
      <c r="B35" s="215" t="s">
        <v>33</v>
      </c>
      <c r="C35" s="220">
        <f>ROUND(C34*F35,0)</f>
        <v>1321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1174</v>
      </c>
      <c r="D37" s="217">
        <f>'数据-汇总表'!E3</f>
        <v>58700.09</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586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1306</v>
      </c>
      <c r="D42" s="238"/>
      <c r="E42" s="238"/>
      <c r="F42" s="239"/>
      <c r="G42" s="3699" t="s">
        <v>94</v>
      </c>
    </row>
    <row r="43" spans="1:7" ht="13.5" customHeight="1">
      <c r="A43" s="780" t="s">
        <v>347</v>
      </c>
      <c r="B43" s="215" t="s">
        <v>426</v>
      </c>
      <c r="C43" s="238">
        <f ca="1">ROUND(IF('数据-取费表'!B22&lt;=1,C39*F22*'数据-取费表'!B21/2,C39*(POWER((1+F22),'数据-取费表'!B21/2)-1)),0)</f>
        <v>26</v>
      </c>
      <c r="D43" s="238"/>
      <c r="E43" s="238"/>
      <c r="F43" s="239"/>
      <c r="G43" s="3700"/>
    </row>
    <row r="44" spans="1:7" ht="13.5" customHeight="1">
      <c r="A44" s="780" t="s">
        <v>348</v>
      </c>
      <c r="B44" s="215" t="s">
        <v>428</v>
      </c>
      <c r="C44" s="238">
        <f ca="1">ROUND(IF('数据-取费表'!B22&lt;=1,C40*F22*'数据-取费表'!B21/2,C40*(POWER((1+F22),'数据-取费表'!B21/2)-1)),4)</f>
        <v>8.9999999999999998E-4</v>
      </c>
      <c r="D44" s="238"/>
      <c r="E44" s="238"/>
      <c r="F44" s="239"/>
      <c r="G44" s="3701"/>
    </row>
    <row r="45" spans="1:7" s="214" customFormat="1" ht="13.5" customHeight="1">
      <c r="A45" s="777" t="s">
        <v>341</v>
      </c>
      <c r="B45" s="244" t="s">
        <v>85</v>
      </c>
      <c r="C45" s="245">
        <f>C46</f>
        <v>2989</v>
      </c>
      <c r="D45" s="235">
        <f>C47</f>
        <v>2E-3</v>
      </c>
      <c r="E45" s="236" t="s">
        <v>102</v>
      </c>
      <c r="F45" s="246"/>
      <c r="G45" s="247" t="s">
        <v>434</v>
      </c>
    </row>
    <row r="46" spans="1:7" s="214" customFormat="1" ht="13.5" customHeight="1">
      <c r="A46" s="780" t="s">
        <v>349</v>
      </c>
      <c r="B46" s="248" t="s">
        <v>427</v>
      </c>
      <c r="C46" s="249">
        <f>ROUND((C33+C39)*F27,0)</f>
        <v>2989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36998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35148</v>
      </c>
      <c r="D51" s="232"/>
      <c r="E51" s="232"/>
      <c r="F51" s="264"/>
      <c r="G51" s="234" t="s">
        <v>37</v>
      </c>
    </row>
    <row r="52" spans="1:7" s="208" customFormat="1" ht="16.5" thickBot="1">
      <c r="A52" s="265" t="s">
        <v>38</v>
      </c>
      <c r="B52" s="266"/>
      <c r="C52" s="267">
        <f ca="1">C31+C51</f>
        <v>63747</v>
      </c>
      <c r="D52" s="266"/>
      <c r="E52" s="266"/>
      <c r="F52" s="266"/>
      <c r="G52" s="268"/>
    </row>
    <row r="55" spans="1:7" ht="15">
      <c r="B55" s="270" t="s">
        <v>39</v>
      </c>
      <c r="C55" s="271"/>
    </row>
    <row r="56" spans="1:7">
      <c r="B56" s="273" t="s">
        <v>40</v>
      </c>
      <c r="C56" s="274">
        <f ca="1">ROUND(C51/C52,3)</f>
        <v>0.55100000000000005</v>
      </c>
    </row>
    <row r="57" spans="1:7">
      <c r="B57" s="273" t="s">
        <v>41</v>
      </c>
      <c r="C57" s="275">
        <f ca="1">1-C56</f>
        <v>0.44899999999999995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5" t="s">
        <v>2841</v>
      </c>
      <c r="B1" s="3795"/>
      <c r="C1" s="3795"/>
      <c r="D1" s="3795"/>
      <c r="E1" s="3795"/>
      <c r="F1" s="3795"/>
      <c r="G1" s="3796"/>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93" t="s">
        <v>2868</v>
      </c>
      <c r="B3" s="3229"/>
      <c r="C3" s="3230" t="s">
        <v>2811</v>
      </c>
      <c r="D3" s="3230" t="s">
        <v>2869</v>
      </c>
      <c r="E3" s="3230" t="s">
        <v>2813</v>
      </c>
      <c r="F3" s="3230" t="s">
        <v>2870</v>
      </c>
      <c r="G3" s="3230" t="s">
        <v>2631</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94"/>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3183</v>
      </c>
      <c r="B1" s="3797"/>
    </row>
    <row r="2" spans="1:7" ht="14.25" thickBot="1">
      <c r="A2" s="3254"/>
      <c r="B2" s="3254"/>
    </row>
    <row r="3" spans="1:7" ht="14.25" thickBot="1">
      <c r="A3" s="3254"/>
      <c r="B3" s="3254"/>
      <c r="C3" s="3255" t="s">
        <v>2811</v>
      </c>
      <c r="D3" s="3255" t="s">
        <v>2869</v>
      </c>
      <c r="E3" s="3255" t="s">
        <v>2813</v>
      </c>
      <c r="F3" s="3255" t="s">
        <v>2870</v>
      </c>
      <c r="G3" s="3255" t="s">
        <v>2631</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8" t="s">
        <v>3234</v>
      </c>
      <c r="B1" s="3798"/>
      <c r="C1" s="3798"/>
      <c r="D1" s="3798"/>
      <c r="E1" s="3798"/>
      <c r="F1" s="3799"/>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45112</v>
      </c>
      <c r="B1" s="3209" t="s">
        <v>2840</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3370</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3373</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3366</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3357</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2820</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2821</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2822</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2823</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2824</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3368</v>
      </c>
    </row>
    <row r="19" spans="1:30" s="3008" customFormat="1">
      <c r="I19" s="3207" t="s">
        <v>2825</v>
      </c>
    </row>
    <row r="20" spans="1:30" s="3008" customFormat="1"/>
    <row r="21" spans="1:30" s="3208" customFormat="1" ht="12.75">
      <c r="B21" s="3209" t="s">
        <v>2826</v>
      </c>
      <c r="C21" s="3210"/>
      <c r="D21" s="3210"/>
      <c r="E21" s="3210"/>
      <c r="F21" s="3210"/>
      <c r="G21" s="3210"/>
      <c r="H21" s="3210"/>
      <c r="I21" s="3210"/>
      <c r="J21" s="3164"/>
      <c r="K21" s="3210" t="s">
        <v>2827</v>
      </c>
      <c r="L21" s="3210"/>
      <c r="M21" s="3210"/>
      <c r="N21" s="3210"/>
      <c r="O21" s="3210"/>
      <c r="P21" s="3210"/>
      <c r="Q21" s="3164"/>
      <c r="R21" s="3800" t="s">
        <v>2828</v>
      </c>
      <c r="S21" s="3801"/>
      <c r="T21" s="3801"/>
      <c r="U21" s="3801"/>
      <c r="V21" s="3801"/>
      <c r="W21" s="3801"/>
      <c r="X21" s="3164"/>
      <c r="Y21" s="3800" t="s">
        <v>2829</v>
      </c>
      <c r="Z21" s="3801"/>
      <c r="AA21" s="3801"/>
      <c r="AB21" s="3801"/>
      <c r="AC21" s="3801"/>
      <c r="AD21" s="3801"/>
    </row>
    <row r="22" spans="1:30" s="3142" customFormat="1" ht="14.25" thickBot="1">
      <c r="B22" s="3143"/>
      <c r="C22" s="3144"/>
      <c r="D22" s="3145" t="s">
        <v>2830</v>
      </c>
      <c r="E22" s="3146" t="s">
        <v>2831</v>
      </c>
      <c r="F22" s="3146" t="s">
        <v>2832</v>
      </c>
      <c r="G22" s="3146" t="s">
        <v>2833</v>
      </c>
      <c r="H22" s="3146"/>
      <c r="I22" s="3146" t="s">
        <v>2834</v>
      </c>
      <c r="J22" s="3147"/>
      <c r="K22" s="3145" t="s">
        <v>2830</v>
      </c>
      <c r="L22" s="3146" t="s">
        <v>2831</v>
      </c>
      <c r="M22" s="3146" t="s">
        <v>2832</v>
      </c>
      <c r="N22" s="3146" t="s">
        <v>2833</v>
      </c>
      <c r="O22" s="3146"/>
      <c r="P22" s="3146" t="s">
        <v>2834</v>
      </c>
      <c r="Q22" s="3147"/>
      <c r="R22" s="3145" t="s">
        <v>2830</v>
      </c>
      <c r="S22" s="3146" t="s">
        <v>2831</v>
      </c>
      <c r="T22" s="3146" t="s">
        <v>2832</v>
      </c>
      <c r="U22" s="3146" t="s">
        <v>2833</v>
      </c>
      <c r="V22" s="3146"/>
      <c r="W22" s="3146" t="s">
        <v>2834</v>
      </c>
      <c r="X22" s="3147"/>
      <c r="Y22" s="3145" t="s">
        <v>2830</v>
      </c>
      <c r="Z22" s="3146" t="s">
        <v>2831</v>
      </c>
      <c r="AA22" s="3146" t="s">
        <v>2832</v>
      </c>
      <c r="AB22" s="3146" t="s">
        <v>2833</v>
      </c>
      <c r="AC22" s="3146"/>
      <c r="AD22" s="3146" t="s">
        <v>2834</v>
      </c>
    </row>
    <row r="23" spans="1:30" s="3160" customFormat="1" ht="12.75">
      <c r="A23" s="3148" t="s">
        <v>2835</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3370</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3373</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3367</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3357</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2836</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2837</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2838</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2839</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2824</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45112</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2309</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58700.09</v>
      </c>
      <c r="C4" s="854">
        <f>项目基本情况!C18</f>
        <v>32779.72</v>
      </c>
      <c r="D4" s="854">
        <f ca="1">结果表!D118</f>
        <v>18022</v>
      </c>
      <c r="E4" s="854">
        <f ca="1">结果表!E118</f>
        <v>3071</v>
      </c>
      <c r="F4" s="854">
        <f ca="1">结果表!F118</f>
        <v>36755</v>
      </c>
      <c r="G4" s="854">
        <f ca="1">结果表!G118</f>
        <v>6261</v>
      </c>
      <c r="H4" s="854">
        <f ca="1">结果表!H118</f>
        <v>54777</v>
      </c>
      <c r="I4" s="854">
        <f ca="1">结果表!I118</f>
        <v>9332</v>
      </c>
    </row>
    <row r="5" spans="1:9" ht="30" customHeight="1">
      <c r="A5" s="3487" t="s">
        <v>927</v>
      </c>
      <c r="B5" s="3487"/>
      <c r="C5" s="3487"/>
      <c r="D5" s="3487" t="str">
        <f ca="1">结果表!D119</f>
        <v>壹亿捌仟零贰拾贰万元整</v>
      </c>
      <c r="E5" s="3487"/>
      <c r="F5" s="3487" t="str">
        <f ca="1">结果表!F119</f>
        <v>叁亿陆仟柒佰伍拾伍万元整</v>
      </c>
      <c r="G5" s="3487"/>
      <c r="H5" s="3487" t="str">
        <f ca="1">结果表!H119</f>
        <v>伍亿肆仟柒佰柒拾柒万元整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54777</v>
      </c>
      <c r="E8" s="3488"/>
      <c r="F8" s="3488"/>
      <c r="G8" s="3488"/>
      <c r="H8" s="3488"/>
      <c r="I8" s="3488"/>
    </row>
    <row r="9" spans="1:9" ht="15">
      <c r="A9" s="3487" t="s">
        <v>927</v>
      </c>
      <c r="B9" s="3487"/>
      <c r="C9" s="3487"/>
      <c r="D9" s="3487" t="str">
        <f ca="1">结果表!D123</f>
        <v>伍亿肆仟柒佰柒拾柒万元整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抵押净值</v>
      </c>
      <c r="B12" s="3488"/>
      <c r="C12" s="3488"/>
      <c r="D12" s="3488">
        <f ca="1">结果表!D126</f>
        <v>53155</v>
      </c>
      <c r="E12" s="3488"/>
      <c r="F12" s="3488"/>
      <c r="G12" s="3488"/>
      <c r="H12" s="3488"/>
      <c r="I12" s="3488"/>
    </row>
    <row r="13" spans="1:9" ht="15.75" thickBot="1">
      <c r="A13" s="3492" t="s">
        <v>927</v>
      </c>
      <c r="B13" s="3492"/>
      <c r="C13" s="3492"/>
      <c r="D13" s="3492" t="str">
        <f ca="1">结果表!D127</f>
        <v>伍亿叁仟壹佰伍拾伍万元整</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4" t="s">
        <v>949</v>
      </c>
      <c r="B1" s="3494"/>
      <c r="C1" s="3494"/>
      <c r="D1" s="3494"/>
    </row>
    <row r="2" spans="1:4" ht="18">
      <c r="A2" s="3495" t="s">
        <v>933</v>
      </c>
      <c r="B2" s="3495"/>
      <c r="C2" s="3495"/>
      <c r="D2" s="3495"/>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5" t="s">
        <v>939</v>
      </c>
      <c r="B6" s="3495"/>
      <c r="C6" s="3495"/>
      <c r="D6" s="349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45113</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f ca="1">IF(C4&lt;B2,"已过期",1119970066)</f>
        <v>1119970066</v>
      </c>
      <c r="C4" s="2344">
        <v>45937</v>
      </c>
      <c r="D4" s="2345" t="str">
        <f ca="1">A4&amp;"（注册号："&amp;B4&amp;"）"</f>
        <v>梁津（注册号：1119970066）</v>
      </c>
      <c r="E4" s="2346" t="s">
        <v>2144</v>
      </c>
      <c r="F4" s="1303">
        <f ca="1">IF(G4&lt;B2,"已过期",96010014)</f>
        <v>96010014</v>
      </c>
      <c r="G4" s="2347">
        <v>47118</v>
      </c>
      <c r="H4" s="2348" t="str">
        <f ca="1">E4&amp;"（注册号："&amp;F4&amp;"）"</f>
        <v>梁津（注册号：96010014）</v>
      </c>
    </row>
    <row r="5" spans="1:8" ht="24" customHeight="1">
      <c r="A5" s="1303" t="s">
        <v>2145</v>
      </c>
      <c r="B5" s="1303">
        <f ca="1">IF(C5&lt;B2,"已过期",1119970111)</f>
        <v>1119970111</v>
      </c>
      <c r="C5" s="2344">
        <v>45937</v>
      </c>
      <c r="D5" s="2345" t="str">
        <f t="shared" ref="D5:D15" ca="1" si="0">A5&amp;"（注册号："&amp;B5&amp;"）"</f>
        <v>叶凌（注册号：1119970111）</v>
      </c>
      <c r="E5" s="2346" t="s">
        <v>2145</v>
      </c>
      <c r="F5" s="1303">
        <f ca="1">IF(G5&lt;B2,"已过期",94010078)</f>
        <v>94010078</v>
      </c>
      <c r="G5" s="2347">
        <v>46387</v>
      </c>
      <c r="H5" s="2348" t="str">
        <f t="shared" ref="H5:H16" ca="1" si="1">E5&amp;"（注册号："&amp;F5&amp;"）"</f>
        <v>叶凌（注册号：94010078）</v>
      </c>
    </row>
    <row r="6" spans="1:8" ht="24" customHeight="1">
      <c r="A6" s="1303" t="s">
        <v>2146</v>
      </c>
      <c r="B6" s="1303">
        <f ca="1">IF(C6&lt;B2,"已过期",1120050019)</f>
        <v>1120050019</v>
      </c>
      <c r="C6" s="2344">
        <v>45410</v>
      </c>
      <c r="D6" s="2345" t="str">
        <f t="shared" ca="1" si="0"/>
        <v>王鹏（注册号：1120050019）</v>
      </c>
      <c r="E6" s="2346" t="s">
        <v>2146</v>
      </c>
      <c r="F6" s="1303">
        <f ca="1">IF(G6&lt;B2,"已过期",2002110030)</f>
        <v>2002110030</v>
      </c>
      <c r="G6" s="2347">
        <v>46387</v>
      </c>
      <c r="H6" s="2348" t="str">
        <f t="shared" ca="1" si="1"/>
        <v>王鹏（注册号：2002110030）</v>
      </c>
    </row>
    <row r="7" spans="1:8" ht="24" customHeight="1">
      <c r="A7" s="1303" t="s">
        <v>2147</v>
      </c>
      <c r="B7" s="1303">
        <f ca="1">IF(C7&lt;B2,"已过期",1120000080)</f>
        <v>1120000080</v>
      </c>
      <c r="C7" s="2344">
        <v>45937</v>
      </c>
      <c r="D7" s="2345" t="str">
        <f t="shared" ca="1" si="0"/>
        <v>欧红伟（注册号：1120000080）</v>
      </c>
      <c r="E7" s="2346" t="s">
        <v>2147</v>
      </c>
      <c r="F7" s="1303">
        <f ca="1">IF(G7&lt;B2,"已过期",2000110082)</f>
        <v>2000110082</v>
      </c>
      <c r="G7" s="2347">
        <v>46387</v>
      </c>
      <c r="H7" s="2348" t="str">
        <f t="shared" ca="1" si="1"/>
        <v>欧红伟（注册号：2000110082）</v>
      </c>
    </row>
    <row r="8" spans="1:8" ht="24" customHeight="1">
      <c r="A8" s="1303" t="s">
        <v>2148</v>
      </c>
      <c r="B8" s="1303">
        <f ca="1">IF(C8&lt;B2,"已过期",1419970001)</f>
        <v>1419970001</v>
      </c>
      <c r="C8" s="2344">
        <v>45937</v>
      </c>
      <c r="D8" s="2345" t="str">
        <f t="shared" ca="1" si="0"/>
        <v>吴薇（注册号：1419970001）</v>
      </c>
      <c r="E8" s="2346" t="s">
        <v>2148</v>
      </c>
      <c r="F8" s="1303">
        <f ca="1">IF(G8&lt;B2,"已过期",2002110125)</f>
        <v>2002110125</v>
      </c>
      <c r="G8" s="2347">
        <v>47118</v>
      </c>
      <c r="H8" s="2348" t="str">
        <f t="shared" ca="1" si="1"/>
        <v>吴薇（注册号：2002110125）</v>
      </c>
    </row>
    <row r="9" spans="1:8" ht="24" customHeight="1">
      <c r="A9" s="1303" t="s">
        <v>2149</v>
      </c>
      <c r="B9" s="1303">
        <f ca="1">IF(C9&lt;B2,"已过期",1120060040)</f>
        <v>1120060040</v>
      </c>
      <c r="C9" s="2349">
        <v>45592</v>
      </c>
      <c r="D9" s="2345" t="str">
        <f t="shared" ca="1" si="0"/>
        <v>陈颖（注册号：1120060040）</v>
      </c>
      <c r="E9" s="2346" t="s">
        <v>2149</v>
      </c>
      <c r="F9" s="1303">
        <f ca="1">IF(G9&lt;B2,"已过期",2004110096)</f>
        <v>2004110096</v>
      </c>
      <c r="G9" s="2347">
        <v>47118</v>
      </c>
      <c r="H9" s="2348" t="str">
        <f t="shared" ca="1" si="1"/>
        <v>陈颖（注册号：2004110096）</v>
      </c>
    </row>
    <row r="10" spans="1:8" ht="24" customHeight="1">
      <c r="A10" s="1303" t="s">
        <v>2150</v>
      </c>
      <c r="B10" s="1303">
        <f ca="1">IF(C10&lt;B2,"已过期",1120100036)</f>
        <v>1120100036</v>
      </c>
      <c r="C10" s="2349">
        <v>45752</v>
      </c>
      <c r="D10" s="2345" t="str">
        <f t="shared" ca="1" si="0"/>
        <v>崔锴（注册号：1120100036）</v>
      </c>
      <c r="E10" s="2346" t="s">
        <v>2150</v>
      </c>
      <c r="F10" s="1303">
        <f ca="1">IF(G10&lt;B2,"已过期",2010110070)</f>
        <v>2010110070</v>
      </c>
      <c r="G10" s="2347">
        <v>47907</v>
      </c>
      <c r="H10" s="2348" t="str">
        <f t="shared" ca="1" si="1"/>
        <v>崔锴（注册号：2010110070）</v>
      </c>
    </row>
    <row r="11" spans="1:8" ht="24" customHeight="1">
      <c r="A11" s="1303" t="s">
        <v>2151</v>
      </c>
      <c r="B11" s="1303">
        <f ca="1">IF(C11&lt;B2,"已过期",1120070131)</f>
        <v>1120070131</v>
      </c>
      <c r="C11" s="2344">
        <v>45937</v>
      </c>
      <c r="D11" s="2345" t="str">
        <f t="shared" ca="1" si="0"/>
        <v>郑燚（注册号：1120070131）</v>
      </c>
      <c r="E11" s="2346" t="s">
        <v>2151</v>
      </c>
      <c r="F11" s="1303">
        <f ca="1">IF(G11&lt;B2,"已过期",2014110011)</f>
        <v>2014110011</v>
      </c>
      <c r="G11" s="2347">
        <v>49302</v>
      </c>
      <c r="H11" s="2348" t="str">
        <f t="shared" ca="1" si="1"/>
        <v>郑燚（注册号：2014110011）</v>
      </c>
    </row>
    <row r="12" spans="1:8" ht="24" customHeight="1">
      <c r="A12" s="1303" t="s">
        <v>2152</v>
      </c>
      <c r="B12" s="1303">
        <f ca="1">IF(C12&lt;B2,"已过期",1120040230)</f>
        <v>1120040230</v>
      </c>
      <c r="C12" s="2349">
        <v>45937</v>
      </c>
      <c r="D12" s="2345" t="str">
        <f t="shared" ca="1" si="0"/>
        <v>苏海（注册号：1120040230）</v>
      </c>
      <c r="E12" s="2346" t="s">
        <v>2152</v>
      </c>
      <c r="F12" s="1303">
        <f ca="1">IF(G12&lt;B2,"已过期",98030020)</f>
        <v>98030020</v>
      </c>
      <c r="G12" s="2347">
        <v>47118</v>
      </c>
      <c r="H12" s="2348" t="str">
        <f t="shared" ca="1" si="1"/>
        <v>苏海（注册号：98030020）</v>
      </c>
    </row>
    <row r="13" spans="1:8" ht="24" customHeight="1">
      <c r="A13" s="1303" t="s">
        <v>2153</v>
      </c>
      <c r="B13" s="1303">
        <f ca="1">IF(C13&lt;B2,"已过期",1120020033)</f>
        <v>1120020033</v>
      </c>
      <c r="C13" s="2344">
        <v>45375</v>
      </c>
      <c r="D13" s="2345" t="str">
        <f t="shared" ca="1" si="0"/>
        <v>刘敬东（注册号：1120020033）</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2156</v>
      </c>
      <c r="B17" s="3511"/>
      <c r="C17" s="3511"/>
      <c r="D17" s="3511"/>
      <c r="E17" s="3511"/>
      <c r="F17" s="3511"/>
      <c r="G17" s="3511"/>
      <c r="H17" s="3511"/>
    </row>
    <row r="18" spans="1:8" ht="24" customHeight="1">
      <c r="A18" s="3512" t="s">
        <v>2157</v>
      </c>
      <c r="B18" s="3512"/>
      <c r="C18" s="3512"/>
      <c r="D18" s="2342"/>
      <c r="E18" s="3513" t="s">
        <v>2158</v>
      </c>
      <c r="F18" s="3512"/>
      <c r="G18" s="3512"/>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2023-07-06T05:13:15Z</dcterms:modified>
</cp:coreProperties>
</file>